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5E8276FA-FEAF-4C5D-BC75-95D7E34EDCB4}" xr6:coauthVersionLast="47" xr6:coauthVersionMax="47" xr10:uidLastSave="{00000000-0000-0000-0000-000000000000}"/>
  <bookViews>
    <workbookView xWindow="-110" yWindow="-110" windowWidth="25820" windowHeight="15500" firstSheet="1" activeTab="1" xr2:uid="{00000000-000D-0000-FFFF-FFFF00000000}"/>
  </bookViews>
  <sheets>
    <sheet name="__FDSCACHE__" sheetId="2" state="veryHidden" r:id="rId1"/>
    <sheet name="Aset class Rankings" sheetId="59" r:id="rId2"/>
    <sheet name="Global Value" sheetId="69" r:id="rId3"/>
    <sheet name="Asset class" sheetId="60" r:id="rId4"/>
    <sheet name="Asset class prev month" sheetId="71" r:id="rId5"/>
    <sheet name="Momnetum ranking" sheetId="12" r:id="rId6"/>
    <sheet name="Factset Price Data" sheetId="61" r:id="rId7"/>
    <sheet name="Index earnings" sheetId="70" r:id="rId8"/>
    <sheet name="Chart1" sheetId="36" state="hidden" r:id="rId9"/>
  </sheets>
  <definedNames>
    <definedName name="_xlnm._FilterDatabase" localSheetId="5" hidden="1">'Momnetum ranking'!$A$2:$AI$18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" i="71" l="1"/>
  <c r="C15" i="71"/>
  <c r="C14" i="71"/>
  <c r="C13" i="71"/>
  <c r="C12" i="71"/>
  <c r="C11" i="71"/>
  <c r="C10" i="71"/>
  <c r="C9" i="71"/>
  <c r="C8" i="71"/>
  <c r="C7" i="71"/>
  <c r="C6" i="71"/>
  <c r="C5" i="71"/>
  <c r="C4" i="71"/>
  <c r="C3" i="71"/>
  <c r="M2" i="71"/>
  <c r="L2" i="71"/>
  <c r="K2" i="71"/>
  <c r="H3" i="70" a="1"/>
  <c r="K6" i="61" a="1"/>
  <c r="P26" i="12" a="1"/>
  <c r="P22" i="12" a="1"/>
  <c r="P18" i="12" a="1"/>
  <c r="P12" i="12" a="1"/>
  <c r="P8" i="12" a="1"/>
  <c r="P4" i="12" a="1"/>
  <c r="L24" i="12" a="1"/>
  <c r="K19" i="12" a="1"/>
  <c r="M11" i="12" a="1"/>
  <c r="L6" i="12" a="1"/>
  <c r="E26" i="12" a="1"/>
  <c r="G20" i="12" a="1"/>
  <c r="F13" i="12" a="1"/>
  <c r="E8" i="12" a="1"/>
  <c r="B15" i="12" a="1"/>
  <c r="E16" i="71" a="1"/>
  <c r="E12" i="71" a="1"/>
  <c r="E8" i="71" a="1"/>
  <c r="E4" i="71" a="1"/>
  <c r="E14" i="60" a="1"/>
  <c r="E10" i="60" a="1"/>
  <c r="E6" i="60" a="1"/>
  <c r="B13" i="60" a="1"/>
  <c r="K4" i="69" a="1"/>
  <c r="G6" i="69" a="1"/>
  <c r="C7" i="69" a="1"/>
  <c r="G3" i="70" a="1"/>
  <c r="J6" i="61" a="1"/>
  <c r="O26" i="12" a="1"/>
  <c r="O22" i="12" a="1"/>
  <c r="O18" i="12" a="1"/>
  <c r="O12" i="12" a="1"/>
  <c r="O8" i="12" a="1"/>
  <c r="O4" i="12" a="1"/>
  <c r="K24" i="12" a="1"/>
  <c r="M18" i="12" a="1"/>
  <c r="L11" i="12" a="1"/>
  <c r="K6" i="12" a="1"/>
  <c r="G25" i="12" a="1"/>
  <c r="F20" i="12" a="1"/>
  <c r="E13" i="12" a="1"/>
  <c r="Q6" i="61" a="1"/>
  <c r="R27" i="12" a="1"/>
  <c r="R23" i="12" a="1"/>
  <c r="R19" i="12" a="1"/>
  <c r="R13" i="12" a="1"/>
  <c r="R9" i="12" a="1"/>
  <c r="R5" i="12" a="1"/>
  <c r="L26" i="12" a="1"/>
  <c r="K21" i="12" a="1"/>
  <c r="M13" i="12" a="1"/>
  <c r="L8" i="12" a="1"/>
  <c r="E21" i="12" a="1"/>
  <c r="N6" i="61" a="1"/>
  <c r="R25" i="12" a="1"/>
  <c r="O21" i="12" a="1"/>
  <c r="P14" i="12" a="1"/>
  <c r="P9" i="12" a="1"/>
  <c r="Q4" i="12" a="1"/>
  <c r="K23" i="12" a="1"/>
  <c r="M14" i="12" a="1"/>
  <c r="E27" i="12" a="1"/>
  <c r="E12" i="12" a="1"/>
  <c r="E6" i="12" a="1"/>
  <c r="B7" i="12" a="1"/>
  <c r="G13" i="60" a="1"/>
  <c r="E9" i="60" a="1"/>
  <c r="G4" i="60" a="1"/>
  <c r="B5" i="60" a="1"/>
  <c r="K8" i="12" a="1"/>
  <c r="E20" i="12" a="1"/>
  <c r="F13" i="71" a="1"/>
  <c r="H8" i="71" a="1"/>
  <c r="F4" i="71" a="1"/>
  <c r="H7" i="69" a="1"/>
  <c r="F3" i="69" a="1"/>
  <c r="M6" i="61" a="1"/>
  <c r="Q25" i="12" a="1"/>
  <c r="R20" i="12" a="1"/>
  <c r="O14" i="12" a="1"/>
  <c r="O9" i="12" a="1"/>
  <c r="R3" i="12" a="1"/>
  <c r="M22" i="12" a="1"/>
  <c r="L14" i="12" a="1"/>
  <c r="G26" i="12" a="1"/>
  <c r="G11" i="12" a="1"/>
  <c r="G5" i="12" a="1"/>
  <c r="B6" i="12" a="1"/>
  <c r="H3" i="71" a="1"/>
  <c r="F13" i="60" a="1"/>
  <c r="H8" i="60" a="1"/>
  <c r="F4" i="60" a="1"/>
  <c r="B4" i="60" a="1"/>
  <c r="M7" i="12" a="1"/>
  <c r="G19" i="12" a="1"/>
  <c r="B5" i="12" a="1"/>
  <c r="E13" i="71" a="1"/>
  <c r="G8" i="71" a="1"/>
  <c r="B3" i="60" a="1"/>
  <c r="G7" i="69" a="1"/>
  <c r="C9" i="69" a="1"/>
  <c r="L6" i="61" a="1"/>
  <c r="P25" i="12" a="1"/>
  <c r="Q20" i="12" a="1"/>
  <c r="Q13" i="12" a="1"/>
  <c r="R8" i="12" a="1"/>
  <c r="Q3" i="12" a="1"/>
  <c r="L22" i="12" a="1"/>
  <c r="K14" i="12" a="1"/>
  <c r="F26" i="12" a="1"/>
  <c r="F11" i="12" a="1"/>
  <c r="E18" i="12" a="1"/>
  <c r="B12" i="12" a="1"/>
  <c r="F14" i="71" a="1"/>
  <c r="F3" i="71" a="1"/>
  <c r="F12" i="60" a="1"/>
  <c r="B12" i="60" a="1"/>
  <c r="F9" i="69" a="1"/>
  <c r="F4" i="69" a="1"/>
  <c r="F3" i="70" a="1"/>
  <c r="C6" i="61" a="1"/>
  <c r="Q22" i="12" a="1"/>
  <c r="Q14" i="12" a="1"/>
  <c r="Q7" i="12" a="1"/>
  <c r="M26" i="12" a="1"/>
  <c r="L18" i="12" a="1"/>
  <c r="K9" i="12" a="1"/>
  <c r="E25" i="12" a="1"/>
  <c r="G8" i="12" a="1"/>
  <c r="E9" i="71" a="1"/>
  <c r="E7" i="60" a="1"/>
  <c r="I3" i="69" a="1"/>
  <c r="G15" i="12" a="1"/>
  <c r="B11" i="12" a="1"/>
  <c r="E14" i="71" a="1"/>
  <c r="E3" i="71" a="1"/>
  <c r="E12" i="60" a="1"/>
  <c r="B11" i="60" a="1"/>
  <c r="I8" i="69" a="1"/>
  <c r="E3" i="70" a="1"/>
  <c r="B6" i="61" a="1"/>
  <c r="R21" i="12" a="1"/>
  <c r="P13" i="12" a="1"/>
  <c r="P7" i="12" a="1"/>
  <c r="K26" i="12" a="1"/>
  <c r="K18" i="12" a="1"/>
  <c r="M8" i="12" a="1"/>
  <c r="G24" i="12" a="1"/>
  <c r="F15" i="12" a="1"/>
  <c r="F8" i="12" a="1"/>
  <c r="F8" i="71" a="1"/>
  <c r="H6" i="60" a="1"/>
  <c r="H3" i="69" a="1"/>
  <c r="L7" i="12" a="1"/>
  <c r="G7" i="12" a="1"/>
  <c r="B10" i="12" a="1"/>
  <c r="H13" i="71" a="1"/>
  <c r="H7" i="71" a="1"/>
  <c r="H16" i="60" a="1"/>
  <c r="H11" i="60" a="1"/>
  <c r="B10" i="60" a="1"/>
  <c r="K4" i="12" a="1"/>
  <c r="G21" i="12" a="1"/>
  <c r="E11" i="12" a="1"/>
  <c r="H15" i="71" a="1"/>
  <c r="H10" i="71" a="1"/>
  <c r="H5" i="71" a="1"/>
  <c r="F9" i="60" a="1"/>
  <c r="H3" i="60" a="1"/>
  <c r="H5" i="69" a="1"/>
  <c r="I6" i="61" a="1"/>
  <c r="P24" i="12" a="1"/>
  <c r="Q18" i="12" a="1"/>
  <c r="Q10" i="12" a="1"/>
  <c r="R4" i="12" a="1"/>
  <c r="L21" i="12" a="1"/>
  <c r="K11" i="12" a="1"/>
  <c r="E4" i="12" a="1"/>
  <c r="G5" i="71" a="1"/>
  <c r="G14" i="60" a="1"/>
  <c r="G3" i="60" a="1"/>
  <c r="K6" i="69" a="1"/>
  <c r="M3" i="12" a="1"/>
  <c r="F21" i="12" a="1"/>
  <c r="G10" i="12" a="1"/>
  <c r="G15" i="71" a="1"/>
  <c r="G10" i="71" a="1"/>
  <c r="G8" i="60" a="1"/>
  <c r="G5" i="69" a="1"/>
  <c r="H6" i="61" a="1"/>
  <c r="O24" i="12" a="1"/>
  <c r="R15" i="12" a="1"/>
  <c r="P10" i="12" a="1"/>
  <c r="P3" i="12" a="1"/>
  <c r="M20" i="12" a="1"/>
  <c r="M10" i="12" a="1"/>
  <c r="G3" i="12" a="1"/>
  <c r="F5" i="71" a="1"/>
  <c r="F14" i="60" a="1"/>
  <c r="F3" i="60" a="1"/>
  <c r="K5" i="69" a="1"/>
  <c r="L3" i="12" a="1"/>
  <c r="F19" i="12" a="1"/>
  <c r="F10" i="12" a="1"/>
  <c r="F15" i="71" a="1"/>
  <c r="F10" i="71" a="1"/>
  <c r="H13" i="60" a="1"/>
  <c r="F8" i="60" a="1"/>
  <c r="K3" i="69" a="1"/>
  <c r="F5" i="69" a="1"/>
  <c r="G6" i="61" a="1"/>
  <c r="Q23" i="12" a="1"/>
  <c r="Q15" i="12" a="1"/>
  <c r="O10" i="12" a="1"/>
  <c r="O3" i="12" a="1"/>
  <c r="L20" i="12" a="1"/>
  <c r="L10" i="12" a="1"/>
  <c r="K3" i="12" a="1"/>
  <c r="D3" i="70" a="1"/>
  <c r="D6" i="61" a="1"/>
  <c r="P19" i="12" a="1"/>
  <c r="O7" i="12" a="1"/>
  <c r="K7" i="12" a="1"/>
  <c r="F7" i="12" a="1"/>
  <c r="F9" i="71" a="1"/>
  <c r="G7" i="60" a="1"/>
  <c r="B6" i="60" a="1"/>
  <c r="I4" i="69" a="1"/>
  <c r="F7" i="60" a="1"/>
  <c r="H4" i="69" a="1"/>
  <c r="P27" i="12" a="1"/>
  <c r="R18" i="12" a="1"/>
  <c r="Q6" i="12" a="1"/>
  <c r="M5" i="12" a="1"/>
  <c r="G6" i="12" a="1"/>
  <c r="F7" i="71" a="1"/>
  <c r="G4" i="69" a="1"/>
  <c r="O27" i="12" a="1"/>
  <c r="K20" i="12" a="1"/>
  <c r="G18" i="12" a="1"/>
  <c r="E15" i="71" a="1"/>
  <c r="H14" i="60" a="1"/>
  <c r="F6" i="60" a="1"/>
  <c r="K8" i="69" a="1"/>
  <c r="P15" i="12" a="1"/>
  <c r="P6" i="12" a="1"/>
  <c r="L5" i="12" a="1"/>
  <c r="F6" i="12" a="1"/>
  <c r="E7" i="71" a="1"/>
  <c r="H5" i="60" a="1"/>
  <c r="R26" i="12" a="1"/>
  <c r="M19" i="12" a="1"/>
  <c r="F18" i="12" a="1"/>
  <c r="H14" i="71" a="1"/>
  <c r="E13" i="60" a="1"/>
  <c r="K7" i="69" a="1"/>
  <c r="G3" i="69" a="1"/>
  <c r="O15" i="12" a="1"/>
  <c r="O6" i="12" a="1"/>
  <c r="K5" i="12" a="1"/>
  <c r="F5" i="12" a="1"/>
  <c r="H6" i="71" a="1"/>
  <c r="G5" i="60" a="1"/>
  <c r="Q26" i="12" a="1"/>
  <c r="L19" i="12" a="1"/>
  <c r="E15" i="12" a="1"/>
  <c r="G14" i="71" a="1"/>
  <c r="H12" i="60" a="1"/>
  <c r="I9" i="69" a="1"/>
  <c r="R14" i="12" a="1"/>
  <c r="Q5" i="12" a="1"/>
  <c r="M15" i="12" a="1"/>
  <c r="M4" i="12" a="1"/>
  <c r="E5" i="12" a="1"/>
  <c r="G6" i="71" a="1"/>
  <c r="F5" i="60" a="1"/>
  <c r="C6" i="69" a="1"/>
  <c r="O25" i="12" a="1"/>
  <c r="O13" i="12" a="1"/>
  <c r="G14" i="12" a="1"/>
  <c r="G4" i="12" a="1"/>
  <c r="G13" i="71" a="1"/>
  <c r="G12" i="60" a="1"/>
  <c r="H9" i="69" a="1"/>
  <c r="P5" i="12" a="1"/>
  <c r="L15" i="12" a="1"/>
  <c r="L4" i="12" a="1"/>
  <c r="F6" i="71" a="1"/>
  <c r="E5" i="60" a="1"/>
  <c r="C5" i="69" a="1"/>
  <c r="R24" i="12" a="1"/>
  <c r="R12" i="12" a="1"/>
  <c r="F14" i="12" a="1"/>
  <c r="F4" i="12" a="1"/>
  <c r="H12" i="71" a="1"/>
  <c r="G11" i="60" a="1"/>
  <c r="G9" i="69" a="1"/>
  <c r="C3" i="70" a="1"/>
  <c r="O5" i="12" a="1"/>
  <c r="K15" i="12" a="1"/>
  <c r="F3" i="12" a="1"/>
  <c r="E6" i="71" a="1"/>
  <c r="H4" i="60" a="1"/>
  <c r="C4" i="69" a="1"/>
  <c r="Q24" i="12" a="1"/>
  <c r="Q12" i="12" a="1"/>
  <c r="G27" i="12" a="1"/>
  <c r="E14" i="12" a="1"/>
  <c r="G12" i="71" a="1"/>
  <c r="F11" i="60" a="1"/>
  <c r="H8" i="69" a="1"/>
  <c r="B3" i="70" a="1"/>
  <c r="M27" i="12" a="1"/>
  <c r="L13" i="12" a="1"/>
  <c r="E3" i="12" a="1"/>
  <c r="E5" i="71" a="1"/>
  <c r="E4" i="60" a="1"/>
  <c r="C3" i="69" a="1"/>
  <c r="P23" i="12" a="1"/>
  <c r="R11" i="12" a="1"/>
  <c r="F27" i="12" a="1"/>
  <c r="G13" i="12" a="1"/>
  <c r="B14" i="12" a="1"/>
  <c r="F12" i="71" a="1"/>
  <c r="E11" i="60" a="1"/>
  <c r="G8" i="69" a="1"/>
  <c r="A3" i="70" a="1"/>
  <c r="Q27" i="12" a="1"/>
  <c r="K22" i="12" a="1"/>
  <c r="E22" i="12" a="1"/>
  <c r="G16" i="71" a="1"/>
  <c r="F15" i="60" a="1"/>
  <c r="O19" i="12" a="1"/>
  <c r="R6" i="12" a="1"/>
  <c r="M6" i="12" a="1"/>
  <c r="E7" i="12" a="1"/>
  <c r="G7" i="71" a="1"/>
  <c r="M21" i="12" a="1"/>
  <c r="E19" i="12" a="1"/>
  <c r="F16" i="71" a="1"/>
  <c r="E15" i="60" a="1"/>
  <c r="G6" i="60" a="1"/>
  <c r="K9" i="69" a="1"/>
  <c r="C8" i="69" a="1"/>
  <c r="R10" i="12" a="1"/>
  <c r="B13" i="12" a="1"/>
  <c r="S6" i="61" a="1"/>
  <c r="L9" i="12" a="1"/>
  <c r="G16" i="60" a="1"/>
  <c r="B8" i="60" a="1"/>
  <c r="Q9" i="12" a="1"/>
  <c r="R6" i="61" a="1"/>
  <c r="B9" i="12" a="1"/>
  <c r="F16" i="60" a="1"/>
  <c r="B7" i="60" a="1"/>
  <c r="Q8" i="12" a="1"/>
  <c r="F25" i="12" a="1"/>
  <c r="P6" i="61" a="1"/>
  <c r="F24" i="12" a="1"/>
  <c r="B8" i="12" a="1"/>
  <c r="E16" i="60" a="1"/>
  <c r="R7" i="12" a="1"/>
  <c r="F8" i="69" a="1"/>
  <c r="I7" i="69" a="1"/>
  <c r="B4" i="12" a="1"/>
  <c r="G15" i="60" a="1"/>
  <c r="F6" i="61" a="1"/>
  <c r="G23" i="12" a="1"/>
  <c r="F7" i="69" a="1"/>
  <c r="M25" i="12" a="1"/>
  <c r="F23" i="12" a="1"/>
  <c r="I6" i="69" a="1"/>
  <c r="H16" i="71" a="1"/>
  <c r="G10" i="60" a="1"/>
  <c r="O23" i="12" a="1"/>
  <c r="E23" i="12" a="1"/>
  <c r="G22" i="12" a="1"/>
  <c r="F10" i="60" a="1"/>
  <c r="F6" i="69" a="1"/>
  <c r="G11" i="71" a="1"/>
  <c r="H9" i="60" a="1"/>
  <c r="F11" i="71" a="1"/>
  <c r="M23" i="12" a="1"/>
  <c r="O6" i="61" a="1"/>
  <c r="L27" i="12" a="1"/>
  <c r="E24" i="12" a="1"/>
  <c r="H15" i="60" a="1"/>
  <c r="K27" i="12" a="1"/>
  <c r="B3" i="12" a="1"/>
  <c r="H10" i="60" a="1"/>
  <c r="E6" i="61" a="1"/>
  <c r="L25" i="12" a="1"/>
  <c r="H11" i="71" a="1"/>
  <c r="H6" i="69" a="1"/>
  <c r="K25" i="12" a="1"/>
  <c r="R22" i="12" a="1"/>
  <c r="Q21" i="12" a="1"/>
  <c r="M24" i="12" a="1"/>
  <c r="F22" i="12" a="1"/>
  <c r="I5" i="69" a="1"/>
  <c r="G9" i="60" a="1"/>
  <c r="P21" i="12" a="1"/>
  <c r="G12" i="12" a="1"/>
  <c r="E11" i="71" a="1"/>
  <c r="P20" i="12" a="1"/>
  <c r="L23" i="12" a="1"/>
  <c r="F12" i="12" a="1"/>
  <c r="E8" i="60" a="1"/>
  <c r="K13" i="12" a="1"/>
  <c r="O20" i="12" a="1"/>
  <c r="E10" i="71" a="1"/>
  <c r="H7" i="60" a="1"/>
  <c r="M12" i="12" a="1"/>
  <c r="E10" i="12" a="1"/>
  <c r="E3" i="60" a="1"/>
  <c r="Q19" i="12" a="1"/>
  <c r="H9" i="71" a="1"/>
  <c r="L12" i="12" a="1"/>
  <c r="G9" i="12" a="1"/>
  <c r="G9" i="71" a="1"/>
  <c r="B16" i="60" a="1"/>
  <c r="Q11" i="12" a="1"/>
  <c r="K12" i="12" a="1"/>
  <c r="F9" i="12" a="1"/>
  <c r="H4" i="71" a="1"/>
  <c r="B15" i="60" a="1"/>
  <c r="P11" i="12" a="1"/>
  <c r="K10" i="12" a="1"/>
  <c r="E9" i="12" a="1"/>
  <c r="G4" i="71" a="1"/>
  <c r="B14" i="60" a="1"/>
  <c r="O11" i="12" a="1"/>
  <c r="G3" i="71" a="1"/>
  <c r="M9" i="12" a="1"/>
  <c r="B9" i="60" a="1"/>
  <c r="B9" i="60" l="1"/>
  <c r="M9" i="12"/>
  <c r="G3" i="71"/>
  <c r="O11" i="12"/>
  <c r="B14" i="60"/>
  <c r="G4" i="71"/>
  <c r="E9" i="12"/>
  <c r="K10" i="12"/>
  <c r="P11" i="12"/>
  <c r="B15" i="60"/>
  <c r="H4" i="71"/>
  <c r="F9" i="12"/>
  <c r="K12" i="12"/>
  <c r="Q11" i="12"/>
  <c r="B16" i="60"/>
  <c r="G9" i="71"/>
  <c r="G9" i="12"/>
  <c r="L12" i="12"/>
  <c r="H9" i="71"/>
  <c r="Q19" i="12"/>
  <c r="E3" i="60"/>
  <c r="E10" i="12"/>
  <c r="M12" i="12"/>
  <c r="H7" i="60"/>
  <c r="E10" i="71"/>
  <c r="O20" i="12"/>
  <c r="K13" i="12"/>
  <c r="E8" i="60"/>
  <c r="F12" i="12"/>
  <c r="L23" i="12"/>
  <c r="P20" i="12"/>
  <c r="E11" i="71"/>
  <c r="G12" i="12"/>
  <c r="P21" i="12"/>
  <c r="G9" i="60"/>
  <c r="I5" i="69"/>
  <c r="F22" i="12"/>
  <c r="M24" i="12"/>
  <c r="Q21" i="12"/>
  <c r="R22" i="12"/>
  <c r="K25" i="12"/>
  <c r="H6" i="69"/>
  <c r="H11" i="71"/>
  <c r="L25" i="12"/>
  <c r="E6" i="61"/>
  <c r="H10" i="60"/>
  <c r="B3" i="12"/>
  <c r="K27" i="12"/>
  <c r="H15" i="60"/>
  <c r="E24" i="12"/>
  <c r="L27" i="12"/>
  <c r="O6" i="61"/>
  <c r="M23" i="12"/>
  <c r="F11" i="71"/>
  <c r="H9" i="60"/>
  <c r="G11" i="71"/>
  <c r="F6" i="69"/>
  <c r="F10" i="60"/>
  <c r="G22" i="12"/>
  <c r="E23" i="12"/>
  <c r="O23" i="12"/>
  <c r="G10" i="60"/>
  <c r="H16" i="71"/>
  <c r="I6" i="69"/>
  <c r="F23" i="12"/>
  <c r="M25" i="12"/>
  <c r="F7" i="69"/>
  <c r="G23" i="12"/>
  <c r="F6" i="61"/>
  <c r="G15" i="60"/>
  <c r="B4" i="12"/>
  <c r="I7" i="69"/>
  <c r="F8" i="69"/>
  <c r="R7" i="12"/>
  <c r="E16" i="60"/>
  <c r="B8" i="12"/>
  <c r="F24" i="12"/>
  <c r="P6" i="61"/>
  <c r="F25" i="12"/>
  <c r="Q8" i="12"/>
  <c r="B7" i="60"/>
  <c r="F16" i="60"/>
  <c r="B9" i="12"/>
  <c r="R6" i="61"/>
  <c r="Q9" i="12"/>
  <c r="B8" i="60"/>
  <c r="G16" i="60"/>
  <c r="L9" i="12"/>
  <c r="S6" i="61"/>
  <c r="B13" i="12"/>
  <c r="R10" i="12"/>
  <c r="C8" i="69"/>
  <c r="K9" i="69"/>
  <c r="G6" i="60"/>
  <c r="E15" i="60"/>
  <c r="F16" i="71"/>
  <c r="E19" i="12"/>
  <c r="M21" i="12"/>
  <c r="G7" i="71"/>
  <c r="E7" i="12"/>
  <c r="M6" i="12"/>
  <c r="R6" i="12"/>
  <c r="O19" i="12"/>
  <c r="F15" i="60"/>
  <c r="G16" i="71"/>
  <c r="E22" i="12"/>
  <c r="K22" i="12"/>
  <c r="Q27" i="12"/>
  <c r="A3" i="70"/>
  <c r="G8" i="69"/>
  <c r="E11" i="60"/>
  <c r="F12" i="71"/>
  <c r="B14" i="12"/>
  <c r="G13" i="12"/>
  <c r="F27" i="12"/>
  <c r="R11" i="12"/>
  <c r="P23" i="12"/>
  <c r="C3" i="69"/>
  <c r="E4" i="60"/>
  <c r="E5" i="71"/>
  <c r="E3" i="12"/>
  <c r="L13" i="12"/>
  <c r="M27" i="12"/>
  <c r="B3" i="70"/>
  <c r="H8" i="69"/>
  <c r="F11" i="60"/>
  <c r="G12" i="71"/>
  <c r="E14" i="12"/>
  <c r="G27" i="12"/>
  <c r="Q12" i="12"/>
  <c r="Q24" i="12"/>
  <c r="C4" i="69"/>
  <c r="H4" i="60"/>
  <c r="E6" i="71"/>
  <c r="F3" i="12"/>
  <c r="K15" i="12"/>
  <c r="O5" i="12"/>
  <c r="C3" i="70"/>
  <c r="G9" i="69"/>
  <c r="G11" i="60"/>
  <c r="H12" i="71"/>
  <c r="F4" i="12"/>
  <c r="F14" i="12"/>
  <c r="R12" i="12"/>
  <c r="R24" i="12"/>
  <c r="C5" i="69"/>
  <c r="E5" i="60"/>
  <c r="F6" i="71"/>
  <c r="L4" i="12"/>
  <c r="L15" i="12"/>
  <c r="P5" i="12"/>
  <c r="H9" i="69"/>
  <c r="G12" i="60"/>
  <c r="G13" i="71"/>
  <c r="G4" i="12"/>
  <c r="G14" i="12"/>
  <c r="O13" i="12"/>
  <c r="O25" i="12"/>
  <c r="C6" i="69"/>
  <c r="F5" i="60"/>
  <c r="G6" i="71"/>
  <c r="E5" i="12"/>
  <c r="M4" i="12"/>
  <c r="M15" i="12"/>
  <c r="Q5" i="12"/>
  <c r="R14" i="12"/>
  <c r="I9" i="69"/>
  <c r="H12" i="60"/>
  <c r="G14" i="71"/>
  <c r="E15" i="12"/>
  <c r="L19" i="12"/>
  <c r="Q26" i="12"/>
  <c r="G5" i="60"/>
  <c r="H6" i="71"/>
  <c r="F5" i="12"/>
  <c r="K5" i="12"/>
  <c r="O6" i="12"/>
  <c r="O15" i="12"/>
  <c r="G3" i="69"/>
  <c r="K7" i="69"/>
  <c r="E13" i="60"/>
  <c r="H14" i="71"/>
  <c r="F18" i="12"/>
  <c r="M19" i="12"/>
  <c r="R26" i="12"/>
  <c r="H5" i="60"/>
  <c r="E7" i="71"/>
  <c r="F6" i="12"/>
  <c r="L5" i="12"/>
  <c r="P6" i="12"/>
  <c r="P15" i="12"/>
  <c r="K8" i="69"/>
  <c r="F6" i="60"/>
  <c r="H14" i="60"/>
  <c r="E15" i="71"/>
  <c r="G18" i="12"/>
  <c r="K20" i="12"/>
  <c r="O27" i="12"/>
  <c r="G4" i="69"/>
  <c r="F7" i="71"/>
  <c r="G6" i="12"/>
  <c r="M5" i="12"/>
  <c r="Q6" i="12"/>
  <c r="R18" i="12"/>
  <c r="P27" i="12"/>
  <c r="H4" i="69"/>
  <c r="F7" i="60"/>
  <c r="I4" i="69"/>
  <c r="B6" i="60"/>
  <c r="G7" i="60"/>
  <c r="F9" i="71"/>
  <c r="F7" i="12"/>
  <c r="K7" i="12"/>
  <c r="O7" i="12"/>
  <c r="P19" i="12"/>
  <c r="D6" i="61"/>
  <c r="D3" i="70"/>
  <c r="K3" i="12"/>
  <c r="L10" i="12"/>
  <c r="L20" i="12"/>
  <c r="O3" i="12"/>
  <c r="O10" i="12"/>
  <c r="Q15" i="12"/>
  <c r="Q23" i="12"/>
  <c r="G6" i="61"/>
  <c r="F5" i="69"/>
  <c r="K3" i="69"/>
  <c r="F8" i="60"/>
  <c r="H13" i="60"/>
  <c r="F10" i="71"/>
  <c r="F15" i="71"/>
  <c r="F10" i="12"/>
  <c r="F19" i="12"/>
  <c r="L3" i="12"/>
  <c r="K5" i="69"/>
  <c r="F3" i="60"/>
  <c r="F14" i="60"/>
  <c r="F5" i="71"/>
  <c r="G3" i="12"/>
  <c r="M10" i="12"/>
  <c r="M20" i="12"/>
  <c r="P3" i="12"/>
  <c r="P10" i="12"/>
  <c r="R15" i="12"/>
  <c r="O24" i="12"/>
  <c r="H6" i="61"/>
  <c r="G5" i="69"/>
  <c r="G8" i="60"/>
  <c r="G10" i="71"/>
  <c r="G15" i="71"/>
  <c r="G10" i="12"/>
  <c r="F21" i="12"/>
  <c r="M3" i="12"/>
  <c r="K6" i="69"/>
  <c r="G3" i="60"/>
  <c r="G14" i="60"/>
  <c r="G5" i="71"/>
  <c r="E4" i="12"/>
  <c r="K11" i="12"/>
  <c r="L21" i="12"/>
  <c r="R4" i="12"/>
  <c r="Q10" i="12"/>
  <c r="Q18" i="12"/>
  <c r="P24" i="12"/>
  <c r="I6" i="61"/>
  <c r="H5" i="69"/>
  <c r="H3" i="60"/>
  <c r="F9" i="60"/>
  <c r="H5" i="71"/>
  <c r="H10" i="71"/>
  <c r="H15" i="71"/>
  <c r="E11" i="12"/>
  <c r="G21" i="12"/>
  <c r="K4" i="12"/>
  <c r="B10" i="60"/>
  <c r="H11" i="60"/>
  <c r="H16" i="60"/>
  <c r="H7" i="71"/>
  <c r="H13" i="71"/>
  <c r="B10" i="12"/>
  <c r="G7" i="12"/>
  <c r="L7" i="12"/>
  <c r="H3" i="69"/>
  <c r="H6" i="60"/>
  <c r="F8" i="71"/>
  <c r="F8" i="12"/>
  <c r="F15" i="12"/>
  <c r="G24" i="12"/>
  <c r="M8" i="12"/>
  <c r="K18" i="12"/>
  <c r="K26" i="12"/>
  <c r="P7" i="12"/>
  <c r="P13" i="12"/>
  <c r="R21" i="12"/>
  <c r="B6" i="61"/>
  <c r="E3" i="70"/>
  <c r="I8" i="69"/>
  <c r="B11" i="60"/>
  <c r="E12" i="60"/>
  <c r="E3" i="71"/>
  <c r="E14" i="71"/>
  <c r="B11" i="12"/>
  <c r="G15" i="12"/>
  <c r="I3" i="69"/>
  <c r="E7" i="60"/>
  <c r="E9" i="71"/>
  <c r="G8" i="12"/>
  <c r="E25" i="12"/>
  <c r="K9" i="12"/>
  <c r="L18" i="12"/>
  <c r="M26" i="12"/>
  <c r="Q7" i="12"/>
  <c r="Q14" i="12"/>
  <c r="Q22" i="12"/>
  <c r="C6" i="61"/>
  <c r="F3" i="70"/>
  <c r="F4" i="69"/>
  <c r="F9" i="69"/>
  <c r="B12" i="60"/>
  <c r="F12" i="60"/>
  <c r="F3" i="71"/>
  <c r="F14" i="71"/>
  <c r="L14" i="71" s="1"/>
  <c r="B12" i="12"/>
  <c r="E18" i="12"/>
  <c r="F11" i="12"/>
  <c r="F26" i="12"/>
  <c r="K14" i="12"/>
  <c r="L22" i="12"/>
  <c r="Q3" i="12"/>
  <c r="R8" i="12"/>
  <c r="Q13" i="12"/>
  <c r="Q20" i="12"/>
  <c r="P25" i="12"/>
  <c r="L6" i="61"/>
  <c r="C9" i="69"/>
  <c r="G7" i="69"/>
  <c r="B3" i="60"/>
  <c r="G8" i="71"/>
  <c r="E13" i="71"/>
  <c r="B5" i="12"/>
  <c r="G19" i="12"/>
  <c r="M7" i="12"/>
  <c r="B4" i="60"/>
  <c r="F4" i="60"/>
  <c r="H8" i="60"/>
  <c r="F13" i="60"/>
  <c r="H3" i="71"/>
  <c r="B6" i="12"/>
  <c r="G5" i="12"/>
  <c r="G11" i="12"/>
  <c r="G26" i="12"/>
  <c r="L14" i="12"/>
  <c r="M22" i="12"/>
  <c r="R3" i="12"/>
  <c r="O9" i="12"/>
  <c r="O14" i="12"/>
  <c r="R20" i="12"/>
  <c r="Q25" i="12"/>
  <c r="M6" i="61"/>
  <c r="F3" i="69"/>
  <c r="H7" i="69"/>
  <c r="F4" i="71"/>
  <c r="H8" i="71"/>
  <c r="K8" i="71" s="1"/>
  <c r="F13" i="71"/>
  <c r="E20" i="12"/>
  <c r="K8" i="12"/>
  <c r="B5" i="60"/>
  <c r="G4" i="60"/>
  <c r="E9" i="60"/>
  <c r="G13" i="60"/>
  <c r="B7" i="12"/>
  <c r="E6" i="12"/>
  <c r="E12" i="12"/>
  <c r="E27" i="12"/>
  <c r="M14" i="12"/>
  <c r="K23" i="12"/>
  <c r="Q4" i="12"/>
  <c r="P9" i="12"/>
  <c r="P14" i="12"/>
  <c r="O21" i="12"/>
  <c r="R25" i="12"/>
  <c r="N6" i="61"/>
  <c r="E21" i="12"/>
  <c r="L8" i="12"/>
  <c r="M13" i="12"/>
  <c r="K21" i="12"/>
  <c r="L26" i="12"/>
  <c r="R5" i="12"/>
  <c r="R9" i="12"/>
  <c r="R13" i="12"/>
  <c r="R19" i="12"/>
  <c r="R23" i="12"/>
  <c r="R27" i="12"/>
  <c r="Q6" i="61"/>
  <c r="E13" i="12"/>
  <c r="F20" i="12"/>
  <c r="G25" i="12"/>
  <c r="K6" i="12"/>
  <c r="L11" i="12"/>
  <c r="M18" i="12"/>
  <c r="K24" i="12"/>
  <c r="O4" i="12"/>
  <c r="O8" i="12"/>
  <c r="O12" i="12"/>
  <c r="O18" i="12"/>
  <c r="O22" i="12"/>
  <c r="O26" i="12"/>
  <c r="J6" i="61"/>
  <c r="G3" i="70"/>
  <c r="C7" i="69"/>
  <c r="G6" i="69"/>
  <c r="K4" i="69"/>
  <c r="B13" i="60"/>
  <c r="E6" i="60"/>
  <c r="E10" i="60"/>
  <c r="E14" i="60"/>
  <c r="E4" i="71"/>
  <c r="E8" i="71"/>
  <c r="E12" i="71"/>
  <c r="E16" i="71"/>
  <c r="B15" i="12"/>
  <c r="E8" i="12"/>
  <c r="F13" i="12"/>
  <c r="G20" i="12"/>
  <c r="E26" i="12"/>
  <c r="L6" i="12"/>
  <c r="M11" i="12"/>
  <c r="K19" i="12"/>
  <c r="L24" i="12"/>
  <c r="P4" i="12"/>
  <c r="P8" i="12"/>
  <c r="P12" i="12"/>
  <c r="P18" i="12"/>
  <c r="P22" i="12"/>
  <c r="P26" i="12"/>
  <c r="K6" i="61"/>
  <c r="H3" i="70"/>
  <c r="M8" i="71" l="1"/>
  <c r="K7" i="71"/>
  <c r="K9" i="71"/>
  <c r="M9" i="71"/>
  <c r="M4" i="71"/>
  <c r="K16" i="71"/>
  <c r="K13" i="71"/>
  <c r="M11" i="71"/>
  <c r="K12" i="71"/>
  <c r="L8" i="71"/>
  <c r="L11" i="71"/>
  <c r="L10" i="71"/>
  <c r="K3" i="71"/>
  <c r="L5" i="71"/>
  <c r="K6" i="71"/>
  <c r="K10" i="71"/>
  <c r="K5" i="71"/>
  <c r="L6" i="71"/>
  <c r="M16" i="71"/>
  <c r="M3" i="71"/>
  <c r="M14" i="71"/>
  <c r="L12" i="71"/>
  <c r="L9" i="71"/>
  <c r="M10" i="71"/>
  <c r="K15" i="71"/>
  <c r="M15" i="71"/>
  <c r="K14" i="71"/>
  <c r="K4" i="71"/>
  <c r="M12" i="71"/>
  <c r="M6" i="71"/>
  <c r="L16" i="71"/>
  <c r="M13" i="71"/>
  <c r="M5" i="71"/>
  <c r="L3" i="71"/>
  <c r="L13" i="71"/>
  <c r="M7" i="71"/>
  <c r="L15" i="71"/>
  <c r="K11" i="71"/>
  <c r="L4" i="71"/>
  <c r="L7" i="71"/>
  <c r="P8" i="71" l="1"/>
  <c r="Q8" i="71"/>
  <c r="Q4" i="71"/>
  <c r="P4" i="71"/>
  <c r="P14" i="71"/>
  <c r="Q14" i="71"/>
  <c r="Q15" i="71"/>
  <c r="P15" i="71"/>
  <c r="P5" i="71"/>
  <c r="Q5" i="71"/>
  <c r="P10" i="71"/>
  <c r="Q10" i="71"/>
  <c r="P6" i="71"/>
  <c r="Q6" i="71"/>
  <c r="Q3" i="71"/>
  <c r="P3" i="71"/>
  <c r="Q12" i="71"/>
  <c r="P12" i="71"/>
  <c r="P11" i="71"/>
  <c r="Q11" i="71"/>
  <c r="Q13" i="71"/>
  <c r="P13" i="71"/>
  <c r="Q16" i="71"/>
  <c r="P16" i="71"/>
  <c r="Q9" i="71"/>
  <c r="P9" i="71"/>
  <c r="Q7" i="71"/>
  <c r="P7" i="71"/>
  <c r="S13" i="71" l="1"/>
  <c r="F25" i="59" s="1"/>
  <c r="S11" i="71"/>
  <c r="F23" i="59" s="1"/>
  <c r="S3" i="71"/>
  <c r="F15" i="59" s="1"/>
  <c r="S10" i="71"/>
  <c r="F22" i="59" s="1"/>
  <c r="S14" i="71"/>
  <c r="F26" i="59" s="1"/>
  <c r="S8" i="71"/>
  <c r="F20" i="59" s="1"/>
  <c r="S15" i="71"/>
  <c r="F27" i="59" s="1"/>
  <c r="S4" i="71"/>
  <c r="F16" i="59" s="1"/>
  <c r="S16" i="71"/>
  <c r="F28" i="59" s="1"/>
  <c r="S12" i="71"/>
  <c r="F24" i="59" s="1"/>
  <c r="S6" i="71"/>
  <c r="F18" i="59" s="1"/>
  <c r="S5" i="71"/>
  <c r="F17" i="59" s="1"/>
  <c r="S7" i="71"/>
  <c r="F19" i="59" s="1"/>
  <c r="S9" i="71"/>
  <c r="F21" i="59" s="1"/>
  <c r="S208" i="61" l="1"/>
  <c r="S212" i="61" l="1"/>
  <c r="S209" i="61"/>
  <c r="S210" i="61"/>
  <c r="S211" i="61"/>
  <c r="S214" i="61" l="1"/>
  <c r="S213" i="61"/>
  <c r="S215" i="61"/>
  <c r="C16" i="60" l="1"/>
  <c r="R212" i="61" l="1"/>
  <c r="R211" i="61"/>
  <c r="R210" i="61"/>
  <c r="R209" i="61"/>
  <c r="R208" i="61"/>
  <c r="R213" i="61" l="1"/>
  <c r="R215" i="61"/>
  <c r="R214" i="61"/>
  <c r="C15" i="60" l="1"/>
  <c r="C14" i="60"/>
  <c r="G39" i="59" l="1"/>
  <c r="I37" i="59"/>
  <c r="G34" i="59"/>
  <c r="H37" i="59"/>
  <c r="H41" i="59"/>
  <c r="I34" i="59"/>
  <c r="I38" i="59"/>
  <c r="I42" i="59"/>
  <c r="G42" i="59"/>
  <c r="G37" i="59"/>
  <c r="H35" i="59"/>
  <c r="I36" i="59"/>
  <c r="G38" i="59"/>
  <c r="G40" i="59"/>
  <c r="H38" i="59"/>
  <c r="I39" i="59"/>
  <c r="H42" i="59"/>
  <c r="H34" i="59"/>
  <c r="G35" i="59"/>
  <c r="I40" i="59"/>
  <c r="H39" i="59"/>
  <c r="I35" i="59"/>
  <c r="I41" i="59"/>
  <c r="H36" i="59"/>
  <c r="H40" i="59"/>
  <c r="G41" i="59"/>
  <c r="G36" i="59"/>
  <c r="C25" i="12"/>
  <c r="C26" i="12"/>
  <c r="C27" i="12"/>
  <c r="E24" i="70" l="1"/>
  <c r="E26" i="70" s="1" a="1"/>
  <c r="E26" i="70" s="1"/>
  <c r="J6" i="69" s="1"/>
  <c r="L6" i="69" s="1"/>
  <c r="M6" i="69" s="1"/>
  <c r="F61" i="59" s="1"/>
  <c r="B24" i="70"/>
  <c r="B26" i="70" s="1" a="1"/>
  <c r="B26" i="70" s="1"/>
  <c r="J3" i="69" s="1"/>
  <c r="L3" i="69" s="1"/>
  <c r="M3" i="69" s="1"/>
  <c r="F58" i="59" s="1"/>
  <c r="D24" i="70"/>
  <c r="D26" i="70" s="1" a="1"/>
  <c r="D26" i="70" s="1"/>
  <c r="J5" i="69" s="1"/>
  <c r="L5" i="69" s="1"/>
  <c r="M5" i="69" s="1"/>
  <c r="F60" i="59" s="1"/>
  <c r="G24" i="70"/>
  <c r="G26" i="70" s="1" a="1"/>
  <c r="G26" i="70" s="1"/>
  <c r="J8" i="69" s="1"/>
  <c r="L8" i="69" s="1"/>
  <c r="M8" i="69" s="1"/>
  <c r="F63" i="59" s="1"/>
  <c r="F24" i="70"/>
  <c r="F26" i="70" s="1" a="1"/>
  <c r="F26" i="70" s="1"/>
  <c r="J7" i="69" s="1"/>
  <c r="L7" i="69" s="1"/>
  <c r="M7" i="69" s="1"/>
  <c r="F62" i="59" s="1"/>
  <c r="H24" i="70"/>
  <c r="H26" i="70" s="1" a="1"/>
  <c r="H26" i="70" s="1"/>
  <c r="J9" i="69" s="1"/>
  <c r="L9" i="69" s="1"/>
  <c r="M9" i="69" s="1"/>
  <c r="F64" i="59" s="1"/>
  <c r="C24" i="70"/>
  <c r="C26" i="70" s="1" a="1"/>
  <c r="C26" i="70" s="1"/>
  <c r="J4" i="69" s="1"/>
  <c r="L4" i="69" s="1"/>
  <c r="M4" i="69" s="1"/>
  <c r="F59" i="59" s="1"/>
  <c r="I27" i="12"/>
  <c r="M55" i="59" s="1"/>
  <c r="I26" i="12"/>
  <c r="M54" i="59" s="1"/>
  <c r="H26" i="12"/>
  <c r="L54" i="59" s="1"/>
  <c r="H27" i="12"/>
  <c r="L55" i="59" s="1"/>
  <c r="I25" i="12"/>
  <c r="M53" i="59" s="1"/>
  <c r="J27" i="12" l="1"/>
  <c r="F42" i="59" s="1"/>
  <c r="J26" i="12"/>
  <c r="F41" i="59" s="1"/>
  <c r="H25" i="12"/>
  <c r="J25" i="12" l="1"/>
  <c r="F40" i="59" s="1"/>
  <c r="L53" i="59"/>
  <c r="E37" i="59"/>
  <c r="E36" i="59"/>
  <c r="E35" i="59"/>
  <c r="E34" i="59"/>
  <c r="E33" i="59"/>
  <c r="Q208" i="61" l="1"/>
  <c r="P208" i="61"/>
  <c r="O208" i="61"/>
  <c r="N208" i="61"/>
  <c r="M208" i="61"/>
  <c r="L208" i="61"/>
  <c r="K208" i="61"/>
  <c r="J208" i="61"/>
  <c r="I208" i="61"/>
  <c r="H208" i="61"/>
  <c r="G208" i="61"/>
  <c r="F208" i="61"/>
  <c r="E208" i="61"/>
  <c r="D208" i="61"/>
  <c r="C208" i="61"/>
  <c r="K28" i="59" l="1"/>
  <c r="J28" i="59"/>
  <c r="I28" i="59"/>
  <c r="J27" i="59"/>
  <c r="H9" i="59"/>
  <c r="G9" i="59"/>
  <c r="K27" i="59"/>
  <c r="F9" i="59"/>
  <c r="I27" i="59"/>
  <c r="J212" i="61"/>
  <c r="J210" i="61"/>
  <c r="J211" i="61"/>
  <c r="J209" i="61"/>
  <c r="H212" i="61"/>
  <c r="H210" i="61"/>
  <c r="H211" i="61"/>
  <c r="H209" i="61"/>
  <c r="F209" i="61"/>
  <c r="F211" i="61"/>
  <c r="F210" i="61"/>
  <c r="F212" i="61"/>
  <c r="K211" i="61"/>
  <c r="K210" i="61"/>
  <c r="K212" i="61"/>
  <c r="K209" i="61"/>
  <c r="N210" i="61"/>
  <c r="N212" i="61"/>
  <c r="N209" i="61"/>
  <c r="N211" i="61"/>
  <c r="M209" i="61"/>
  <c r="M210" i="61"/>
  <c r="M212" i="61"/>
  <c r="M211" i="61"/>
  <c r="O209" i="61"/>
  <c r="O210" i="61"/>
  <c r="O212" i="61"/>
  <c r="O211" i="61"/>
  <c r="I209" i="61"/>
  <c r="I212" i="61"/>
  <c r="I210" i="61"/>
  <c r="I211" i="61"/>
  <c r="E212" i="61"/>
  <c r="E209" i="61"/>
  <c r="E210" i="61"/>
  <c r="E211" i="61"/>
  <c r="Q211" i="61"/>
  <c r="Q212" i="61"/>
  <c r="Q209" i="61"/>
  <c r="Q210" i="61"/>
  <c r="D211" i="61"/>
  <c r="D210" i="61"/>
  <c r="D209" i="61"/>
  <c r="D212" i="61"/>
  <c r="L211" i="61"/>
  <c r="L210" i="61"/>
  <c r="L212" i="61"/>
  <c r="L209" i="61"/>
  <c r="C211" i="61"/>
  <c r="C210" i="61"/>
  <c r="C209" i="61"/>
  <c r="C212" i="61"/>
  <c r="P211" i="61"/>
  <c r="P210" i="61"/>
  <c r="P212" i="61"/>
  <c r="P209" i="61"/>
  <c r="G212" i="61"/>
  <c r="G211" i="61"/>
  <c r="G210" i="61"/>
  <c r="G209" i="61"/>
  <c r="P214" i="61" l="1"/>
  <c r="H54" i="59" s="1"/>
  <c r="Q214" i="61"/>
  <c r="J26" i="59" s="1"/>
  <c r="O215" i="61"/>
  <c r="I51" i="59" s="1"/>
  <c r="C214" i="61"/>
  <c r="J15" i="59" s="1"/>
  <c r="K214" i="61"/>
  <c r="J23" i="59" s="1"/>
  <c r="M215" i="61"/>
  <c r="K25" i="59" s="1"/>
  <c r="G215" i="61"/>
  <c r="K19" i="59" s="1"/>
  <c r="L214" i="61"/>
  <c r="J24" i="59" s="1"/>
  <c r="K213" i="61"/>
  <c r="I23" i="59" s="1"/>
  <c r="J213" i="61"/>
  <c r="I22" i="59" s="1"/>
  <c r="C213" i="61"/>
  <c r="I15" i="59" s="1"/>
  <c r="J215" i="61"/>
  <c r="K22" i="59" s="1"/>
  <c r="G213" i="61"/>
  <c r="I19" i="59" s="1"/>
  <c r="E215" i="61"/>
  <c r="K17" i="59" s="1"/>
  <c r="G214" i="61"/>
  <c r="J19" i="59" s="1"/>
  <c r="F214" i="61"/>
  <c r="J18" i="59" s="1"/>
  <c r="P213" i="61"/>
  <c r="G54" i="59" s="1"/>
  <c r="I215" i="61"/>
  <c r="K21" i="59" s="1"/>
  <c r="N215" i="61"/>
  <c r="H213" i="61"/>
  <c r="I20" i="59" s="1"/>
  <c r="D213" i="61"/>
  <c r="I16" i="59" s="1"/>
  <c r="N213" i="61"/>
  <c r="H215" i="61"/>
  <c r="K20" i="59" s="1"/>
  <c r="D214" i="61"/>
  <c r="J16" i="59" s="1"/>
  <c r="I214" i="61"/>
  <c r="J21" i="59" s="1"/>
  <c r="I213" i="61"/>
  <c r="I21" i="59" s="1"/>
  <c r="O214" i="61"/>
  <c r="H51" i="59" s="1"/>
  <c r="O213" i="61"/>
  <c r="G51" i="59" s="1"/>
  <c r="I49" i="59"/>
  <c r="M214" i="61"/>
  <c r="J25" i="59" s="1"/>
  <c r="P215" i="61"/>
  <c r="I54" i="59" s="1"/>
  <c r="M213" i="61"/>
  <c r="I25" i="59" s="1"/>
  <c r="C215" i="61"/>
  <c r="K15" i="59" s="1"/>
  <c r="N214" i="61"/>
  <c r="G4" i="59" s="1"/>
  <c r="L213" i="61"/>
  <c r="I24" i="59" s="1"/>
  <c r="L215" i="61"/>
  <c r="K24" i="59" s="1"/>
  <c r="F215" i="61"/>
  <c r="K18" i="59" s="1"/>
  <c r="F213" i="61"/>
  <c r="I18" i="59" s="1"/>
  <c r="Q213" i="61"/>
  <c r="I26" i="59" s="1"/>
  <c r="H214" i="61"/>
  <c r="J20" i="59" s="1"/>
  <c r="Q215" i="61"/>
  <c r="K26" i="59" s="1"/>
  <c r="E213" i="61"/>
  <c r="I17" i="59" s="1"/>
  <c r="J214" i="61"/>
  <c r="J22" i="59" s="1"/>
  <c r="H52" i="59"/>
  <c r="K215" i="61"/>
  <c r="K23" i="59" s="1"/>
  <c r="D215" i="61"/>
  <c r="K16" i="59" s="1"/>
  <c r="E214" i="61"/>
  <c r="J17" i="59" s="1"/>
  <c r="H7" i="59" l="1"/>
  <c r="G48" i="59"/>
  <c r="F4" i="59"/>
  <c r="F7" i="59"/>
  <c r="I48" i="59"/>
  <c r="H4" i="59"/>
  <c r="H5" i="59"/>
  <c r="F8" i="59"/>
  <c r="G6" i="59"/>
  <c r="G8" i="59"/>
  <c r="H6" i="59"/>
  <c r="G5" i="59"/>
  <c r="G47" i="59"/>
  <c r="F6" i="59"/>
  <c r="F5" i="59"/>
  <c r="G7" i="59"/>
  <c r="H8" i="59"/>
  <c r="H50" i="59"/>
  <c r="G50" i="59"/>
  <c r="H46" i="59"/>
  <c r="I53" i="59"/>
  <c r="G46" i="59"/>
  <c r="H47" i="59"/>
  <c r="G53" i="59"/>
  <c r="H53" i="59"/>
  <c r="I52" i="59"/>
  <c r="G52" i="59"/>
  <c r="H48" i="59"/>
  <c r="I50" i="59"/>
  <c r="I47" i="59"/>
  <c r="I46" i="59"/>
  <c r="G49" i="59"/>
  <c r="H49" i="59"/>
  <c r="M2" i="60" l="1"/>
  <c r="L2" i="60"/>
  <c r="K2" i="60"/>
  <c r="C24" i="12" l="1"/>
  <c r="H24" i="12" l="1"/>
  <c r="L52" i="59" s="1"/>
  <c r="I24" i="12"/>
  <c r="M52" i="59" s="1"/>
  <c r="J24" i="12" l="1"/>
  <c r="F39" i="59" s="1"/>
  <c r="C12" i="60"/>
  <c r="C23" i="12" l="1"/>
  <c r="I23" i="12" l="1"/>
  <c r="M51" i="59" s="1"/>
  <c r="G33" i="59"/>
  <c r="H33" i="59"/>
  <c r="H23" i="12"/>
  <c r="L51" i="59" s="1"/>
  <c r="I33" i="59"/>
  <c r="N36" i="59" l="1"/>
  <c r="N38" i="59"/>
  <c r="N37" i="59"/>
  <c r="N41" i="59"/>
  <c r="N39" i="59"/>
  <c r="N34" i="59"/>
  <c r="N40" i="59"/>
  <c r="N35" i="59"/>
  <c r="N42" i="59"/>
  <c r="L42" i="59"/>
  <c r="L41" i="59"/>
  <c r="L35" i="59"/>
  <c r="L38" i="59"/>
  <c r="L37" i="59"/>
  <c r="L34" i="59"/>
  <c r="L39" i="59"/>
  <c r="L36" i="59"/>
  <c r="L40" i="59"/>
  <c r="M38" i="59"/>
  <c r="M37" i="59"/>
  <c r="M42" i="59"/>
  <c r="M36" i="59"/>
  <c r="M35" i="59"/>
  <c r="M34" i="59"/>
  <c r="M41" i="59"/>
  <c r="M39" i="59"/>
  <c r="M40" i="59"/>
  <c r="N33" i="59"/>
  <c r="M33" i="59"/>
  <c r="L33" i="59"/>
  <c r="J23" i="12"/>
  <c r="F38" i="59" s="1"/>
  <c r="C13" i="60" l="1"/>
  <c r="C11" i="60"/>
  <c r="C10" i="60"/>
  <c r="C9" i="60"/>
  <c r="C8" i="60"/>
  <c r="C7" i="60"/>
  <c r="C6" i="60"/>
  <c r="C5" i="60"/>
  <c r="C4" i="60"/>
  <c r="C3" i="60"/>
  <c r="K15" i="60" l="1"/>
  <c r="K4" i="60"/>
  <c r="K16" i="60"/>
  <c r="K13" i="60"/>
  <c r="K5" i="60"/>
  <c r="K14" i="60"/>
  <c r="K6" i="60"/>
  <c r="K3" i="60"/>
  <c r="K7" i="60"/>
  <c r="K10" i="60"/>
  <c r="K12" i="60"/>
  <c r="K8" i="60"/>
  <c r="K9" i="60"/>
  <c r="K11" i="60"/>
  <c r="M14" i="60"/>
  <c r="M3" i="60"/>
  <c r="M13" i="60"/>
  <c r="M12" i="60"/>
  <c r="M4" i="60"/>
  <c r="M15" i="60"/>
  <c r="M16" i="60"/>
  <c r="M5" i="60"/>
  <c r="M11" i="60"/>
  <c r="M6" i="60"/>
  <c r="M7" i="60"/>
  <c r="M9" i="60"/>
  <c r="M8" i="60"/>
  <c r="M10" i="60"/>
  <c r="L14" i="60"/>
  <c r="L16" i="60"/>
  <c r="L15" i="60"/>
  <c r="L4" i="60"/>
  <c r="L5" i="60"/>
  <c r="L6" i="60"/>
  <c r="L3" i="60"/>
  <c r="L13" i="60"/>
  <c r="L7" i="60"/>
  <c r="L9" i="60"/>
  <c r="L8" i="60"/>
  <c r="L10" i="60"/>
  <c r="L11" i="60"/>
  <c r="L12" i="60"/>
  <c r="Q7" i="60" l="1"/>
  <c r="P7" i="60"/>
  <c r="Q3" i="60"/>
  <c r="P3" i="60"/>
  <c r="Q6" i="60"/>
  <c r="P6" i="60"/>
  <c r="Q12" i="60"/>
  <c r="P12" i="60"/>
  <c r="Q14" i="60"/>
  <c r="P14" i="60"/>
  <c r="Q5" i="60"/>
  <c r="P5" i="60"/>
  <c r="Q9" i="60"/>
  <c r="P9" i="60"/>
  <c r="Q13" i="60"/>
  <c r="P13" i="60"/>
  <c r="Q16" i="60"/>
  <c r="P16" i="60"/>
  <c r="Q11" i="60"/>
  <c r="P11" i="60"/>
  <c r="Q10" i="60"/>
  <c r="P10" i="60"/>
  <c r="Q4" i="60"/>
  <c r="P4" i="60"/>
  <c r="Q8" i="60"/>
  <c r="P8" i="60"/>
  <c r="Q15" i="60"/>
  <c r="P15" i="60"/>
  <c r="AD4" i="12"/>
  <c r="AD5" i="12"/>
  <c r="AD6" i="12"/>
  <c r="AD7" i="12"/>
  <c r="AD8" i="12"/>
  <c r="AD9" i="12"/>
  <c r="AD10" i="12"/>
  <c r="AD11" i="12"/>
  <c r="AD12" i="12"/>
  <c r="AD13" i="12"/>
  <c r="AD14" i="12"/>
  <c r="AD15" i="12"/>
  <c r="AD3" i="12"/>
  <c r="AC4" i="12"/>
  <c r="AC5" i="12"/>
  <c r="AC6" i="12"/>
  <c r="AC7" i="12"/>
  <c r="AC8" i="12"/>
  <c r="AC9" i="12"/>
  <c r="AC10" i="12"/>
  <c r="AC11" i="12"/>
  <c r="AC12" i="12"/>
  <c r="AC13" i="12"/>
  <c r="AC14" i="12"/>
  <c r="AC15" i="12"/>
  <c r="AC3" i="12"/>
  <c r="Z4" i="12" a="1"/>
  <c r="Z4" i="12" s="1"/>
  <c r="Z5" i="12" a="1"/>
  <c r="Z5" i="12" s="1"/>
  <c r="Z6" i="12" a="1"/>
  <c r="Z6" i="12" s="1"/>
  <c r="Z7" i="12" a="1"/>
  <c r="Z7" i="12" s="1"/>
  <c r="Z8" i="12" a="1"/>
  <c r="Z8" i="12" s="1"/>
  <c r="Z9" i="12" a="1"/>
  <c r="Z9" i="12" s="1"/>
  <c r="Z10" i="12" a="1"/>
  <c r="Z10" i="12" s="1"/>
  <c r="Z11" i="12" a="1"/>
  <c r="Z11" i="12" s="1"/>
  <c r="Z12" i="12" a="1"/>
  <c r="Z12" i="12" s="1"/>
  <c r="Z13" i="12" a="1"/>
  <c r="Z13" i="12" s="1"/>
  <c r="Z14" i="12" a="1"/>
  <c r="Z14" i="12" s="1"/>
  <c r="Z15" i="12" a="1"/>
  <c r="Z15" i="12" s="1"/>
  <c r="Z3" i="12" a="1"/>
  <c r="Z3" i="12" s="1"/>
  <c r="X4" i="12" a="1"/>
  <c r="X4" i="12" s="1"/>
  <c r="X5" i="12" a="1"/>
  <c r="X5" i="12" s="1"/>
  <c r="X6" i="12" a="1"/>
  <c r="X6" i="12" s="1"/>
  <c r="X7" i="12" a="1"/>
  <c r="X7" i="12" s="1"/>
  <c r="X8" i="12" a="1"/>
  <c r="X8" i="12" s="1"/>
  <c r="X9" i="12" a="1"/>
  <c r="X9" i="12" s="1"/>
  <c r="X10" i="12" a="1"/>
  <c r="X10" i="12" s="1"/>
  <c r="X11" i="12" a="1"/>
  <c r="X11" i="12" s="1"/>
  <c r="X12" i="12" a="1"/>
  <c r="X12" i="12" s="1"/>
  <c r="X13" i="12" a="1"/>
  <c r="X13" i="12" s="1"/>
  <c r="X14" i="12" a="1"/>
  <c r="X14" i="12" s="1"/>
  <c r="X15" i="12" a="1"/>
  <c r="X15" i="12" s="1"/>
  <c r="X3" i="12" a="1"/>
  <c r="X3" i="12" s="1"/>
  <c r="W4" i="12" a="1"/>
  <c r="W4" i="12" s="1"/>
  <c r="W5" i="12" a="1"/>
  <c r="W5" i="12" s="1"/>
  <c r="W6" i="12" a="1"/>
  <c r="W6" i="12" s="1"/>
  <c r="W7" i="12" a="1"/>
  <c r="W7" i="12" s="1"/>
  <c r="W8" i="12" a="1"/>
  <c r="W8" i="12" s="1"/>
  <c r="W9" i="12" a="1"/>
  <c r="W9" i="12" s="1"/>
  <c r="W10" i="12" a="1"/>
  <c r="W10" i="12" s="1"/>
  <c r="W11" i="12" a="1"/>
  <c r="W11" i="12" s="1"/>
  <c r="W12" i="12" a="1"/>
  <c r="W12" i="12" s="1"/>
  <c r="W13" i="12" a="1"/>
  <c r="W13" i="12" s="1"/>
  <c r="W14" i="12" a="1"/>
  <c r="W14" i="12" s="1"/>
  <c r="W15" i="12" a="1"/>
  <c r="W15" i="12" s="1"/>
  <c r="W3" i="12" a="1"/>
  <c r="W3" i="12" s="1"/>
  <c r="V4" i="12" a="1"/>
  <c r="V4" i="12" s="1"/>
  <c r="V5" i="12" a="1"/>
  <c r="V5" i="12" s="1"/>
  <c r="V6" i="12" a="1"/>
  <c r="V6" i="12" s="1"/>
  <c r="V7" i="12" a="1"/>
  <c r="V7" i="12" s="1"/>
  <c r="V8" i="12" a="1"/>
  <c r="V8" i="12" s="1"/>
  <c r="V9" i="12" a="1"/>
  <c r="V9" i="12" s="1"/>
  <c r="V10" i="12" a="1"/>
  <c r="V10" i="12" s="1"/>
  <c r="V11" i="12" a="1"/>
  <c r="V11" i="12" s="1"/>
  <c r="V12" i="12" a="1"/>
  <c r="V12" i="12" s="1"/>
  <c r="V13" i="12" a="1"/>
  <c r="V13" i="12" s="1"/>
  <c r="V14" i="12" a="1"/>
  <c r="V14" i="12" s="1"/>
  <c r="V15" i="12" a="1"/>
  <c r="V15" i="12" s="1"/>
  <c r="V3" i="12" a="1"/>
  <c r="V3" i="12" s="1"/>
  <c r="T4" i="12" a="1"/>
  <c r="T4" i="12" s="1"/>
  <c r="T5" i="12" a="1"/>
  <c r="T5" i="12" s="1"/>
  <c r="T6" i="12" a="1"/>
  <c r="T6" i="12" s="1"/>
  <c r="T7" i="12" a="1"/>
  <c r="T7" i="12" s="1"/>
  <c r="T8" i="12" a="1"/>
  <c r="T8" i="12" s="1"/>
  <c r="T9" i="12" a="1"/>
  <c r="T9" i="12" s="1"/>
  <c r="T10" i="12" a="1"/>
  <c r="T10" i="12" s="1"/>
  <c r="T11" i="12" a="1"/>
  <c r="T11" i="12" s="1"/>
  <c r="T12" i="12" a="1"/>
  <c r="T12" i="12" s="1"/>
  <c r="T13" i="12" a="1"/>
  <c r="T13" i="12" s="1"/>
  <c r="T14" i="12" a="1"/>
  <c r="T14" i="12" s="1"/>
  <c r="T15" i="12" a="1"/>
  <c r="T15" i="12" s="1"/>
  <c r="T3" i="12" a="1"/>
  <c r="T3" i="12" s="1"/>
  <c r="D4" i="12"/>
  <c r="D5" i="12"/>
  <c r="D6" i="12"/>
  <c r="D7" i="12"/>
  <c r="D8" i="12"/>
  <c r="D9" i="12"/>
  <c r="D10" i="12"/>
  <c r="D11" i="12"/>
  <c r="D12" i="12"/>
  <c r="D13" i="12"/>
  <c r="D14" i="12"/>
  <c r="D15" i="12"/>
  <c r="D3" i="12"/>
  <c r="S8" i="60" l="1"/>
  <c r="G20" i="59" s="1"/>
  <c r="S4" i="60"/>
  <c r="G16" i="59" s="1"/>
  <c r="S9" i="60"/>
  <c r="G21" i="59" s="1"/>
  <c r="S5" i="60"/>
  <c r="G17" i="59" s="1"/>
  <c r="S14" i="60"/>
  <c r="G26" i="59" s="1"/>
  <c r="H26" i="59" s="1"/>
  <c r="S12" i="60"/>
  <c r="G24" i="59" s="1"/>
  <c r="H24" i="59" s="1"/>
  <c r="S6" i="60"/>
  <c r="G18" i="59" s="1"/>
  <c r="S15" i="60"/>
  <c r="G27" i="59" s="1"/>
  <c r="H27" i="59" s="1"/>
  <c r="S10" i="60"/>
  <c r="G22" i="59" s="1"/>
  <c r="S3" i="60"/>
  <c r="G15" i="59" s="1"/>
  <c r="S16" i="60"/>
  <c r="G28" i="59" s="1"/>
  <c r="H28" i="59" s="1"/>
  <c r="S13" i="60"/>
  <c r="G25" i="59" s="1"/>
  <c r="H25" i="59" s="1"/>
  <c r="S7" i="60"/>
  <c r="G19" i="59" s="1"/>
  <c r="S11" i="60"/>
  <c r="G23" i="59" s="1"/>
  <c r="AE9" i="12"/>
  <c r="AE13" i="12"/>
  <c r="AE12" i="12"/>
  <c r="AE15" i="12"/>
  <c r="AE11" i="12"/>
  <c r="AE7" i="12"/>
  <c r="AE8" i="12"/>
  <c r="AE14" i="12"/>
  <c r="AE10" i="12"/>
  <c r="AE6" i="12"/>
  <c r="AE5" i="12"/>
  <c r="AE3" i="12"/>
  <c r="AE4" i="12"/>
  <c r="H14" i="12" l="1"/>
  <c r="U13" i="12"/>
  <c r="I15" i="12"/>
  <c r="H13" i="12"/>
  <c r="U12" i="12"/>
  <c r="U14" i="12"/>
  <c r="U15" i="12"/>
  <c r="I14" i="12"/>
  <c r="H12" i="12" l="1"/>
  <c r="I12" i="12"/>
  <c r="J14" i="12"/>
  <c r="I13" i="12"/>
  <c r="J13" i="12" s="1"/>
  <c r="H15" i="12"/>
  <c r="J12" i="12" l="1"/>
  <c r="J15" i="12"/>
  <c r="AE2" i="12" l="1"/>
  <c r="C21" i="12" l="1"/>
  <c r="C22" i="12"/>
  <c r="H22" i="12" l="1"/>
  <c r="L50" i="59" s="1"/>
  <c r="H21" i="12"/>
  <c r="L49" i="59" s="1"/>
  <c r="I21" i="12" l="1"/>
  <c r="I22" i="12"/>
  <c r="M50" i="59" s="1"/>
  <c r="J21" i="12" l="1"/>
  <c r="F36" i="59" s="1"/>
  <c r="M49" i="59"/>
  <c r="J22" i="12"/>
  <c r="F37" i="59" s="1"/>
  <c r="C20" i="12" l="1"/>
  <c r="I20" i="12" l="1"/>
  <c r="M48" i="59" s="1"/>
  <c r="H20" i="12" l="1"/>
  <c r="J20" i="12" l="1"/>
  <c r="F35" i="59" s="1"/>
  <c r="L48" i="59"/>
  <c r="C19" i="12"/>
  <c r="I19" i="12" l="1"/>
  <c r="M47" i="59" s="1"/>
  <c r="H19" i="12"/>
  <c r="L47" i="59" s="1"/>
  <c r="J19" i="12" l="1"/>
  <c r="F34" i="59" s="1"/>
  <c r="C18" i="12" l="1"/>
  <c r="I18" i="12" l="1"/>
  <c r="M46" i="59" s="1"/>
  <c r="H18" i="12" l="1"/>
  <c r="L46" i="59" s="1"/>
  <c r="J18" i="12" l="1"/>
  <c r="F33" i="59" s="1"/>
  <c r="K42" i="59" l="1"/>
  <c r="O42" i="59" s="1"/>
  <c r="K41" i="59"/>
  <c r="O41" i="59" s="1"/>
  <c r="K40" i="59"/>
  <c r="O40" i="59" s="1"/>
  <c r="K39" i="59"/>
  <c r="O39" i="59" s="1"/>
  <c r="K38" i="59"/>
  <c r="O38" i="59" s="1"/>
  <c r="K37" i="59"/>
  <c r="O37" i="59" s="1"/>
  <c r="K36" i="59"/>
  <c r="O36" i="59" s="1"/>
  <c r="K35" i="59"/>
  <c r="O35" i="59" s="1"/>
  <c r="P35" i="59" s="1"/>
  <c r="K34" i="59"/>
  <c r="O34" i="59" s="1"/>
  <c r="K33" i="59"/>
  <c r="P34" i="59" l="1"/>
  <c r="P36" i="59"/>
  <c r="P37" i="59"/>
  <c r="P39" i="59"/>
  <c r="P40" i="59"/>
  <c r="P41" i="59"/>
  <c r="P38" i="59"/>
  <c r="P42" i="59"/>
  <c r="U2" i="12"/>
  <c r="U11" i="12" l="1"/>
  <c r="U7" i="12"/>
  <c r="U3" i="12"/>
  <c r="U10" i="12"/>
  <c r="U9" i="12"/>
  <c r="U8" i="12"/>
  <c r="U6" i="12"/>
  <c r="U5" i="12"/>
  <c r="U4" i="12"/>
  <c r="AC2" i="12" l="1"/>
  <c r="AD2" i="12"/>
  <c r="Z2" i="12" l="1"/>
  <c r="AB2" i="12"/>
  <c r="AA2" i="12"/>
  <c r="W2" i="12"/>
  <c r="X2" i="12"/>
  <c r="V2" i="12"/>
  <c r="AF2" i="12" l="1"/>
  <c r="I4" i="12" l="1"/>
  <c r="H3" i="12"/>
  <c r="I8" i="12"/>
  <c r="H4" i="12"/>
  <c r="H10" i="12"/>
  <c r="J4" i="12" l="1"/>
  <c r="I10" i="12"/>
  <c r="I11" i="12"/>
  <c r="H5" i="12"/>
  <c r="I9" i="12"/>
  <c r="I7" i="12"/>
  <c r="I5" i="12"/>
  <c r="H11" i="12"/>
  <c r="I3" i="12"/>
  <c r="J3" i="12" s="1"/>
  <c r="H6" i="12"/>
  <c r="H8" i="12"/>
  <c r="I6" i="12"/>
  <c r="H7" i="12"/>
  <c r="H9" i="12"/>
  <c r="J10" i="12" l="1"/>
  <c r="AA12" i="12" a="1"/>
  <c r="AA12" i="12" s="1"/>
  <c r="AA9" i="12" a="1"/>
  <c r="AA9" i="12" s="1"/>
  <c r="AA8" i="12" a="1"/>
  <c r="AA8" i="12" s="1"/>
  <c r="AA7" i="12" a="1"/>
  <c r="AA7" i="12" s="1"/>
  <c r="AA6" i="12" a="1"/>
  <c r="AA6" i="12" s="1"/>
  <c r="AA13" i="12" a="1"/>
  <c r="AA13" i="12" s="1"/>
  <c r="AA4" i="12" a="1"/>
  <c r="AA4" i="12" s="1"/>
  <c r="AA3" i="12" a="1"/>
  <c r="AA3" i="12" s="1"/>
  <c r="AA10" i="12" a="1"/>
  <c r="AA10" i="12" s="1"/>
  <c r="AA15" i="12" a="1"/>
  <c r="AA15" i="12" s="1"/>
  <c r="AA14" i="12" a="1"/>
  <c r="AA14" i="12" s="1"/>
  <c r="AA11" i="12" a="1"/>
  <c r="AA11" i="12" s="1"/>
  <c r="AA5" i="12" a="1"/>
  <c r="AA5" i="12" s="1"/>
  <c r="J9" i="12"/>
  <c r="J8" i="12"/>
  <c r="J7" i="12"/>
  <c r="J6" i="12"/>
  <c r="J11" i="12"/>
  <c r="J5" i="12"/>
  <c r="AB7" i="12" l="1" a="1"/>
  <c r="AB7" i="12" s="1"/>
  <c r="AB14" i="12" a="1"/>
  <c r="AB14" i="12" s="1"/>
  <c r="AF14" i="12" s="1"/>
  <c r="AB11" i="12" a="1"/>
  <c r="AB11" i="12" s="1"/>
  <c r="AB5" i="12" a="1"/>
  <c r="AB5" i="12" s="1"/>
  <c r="AF5" i="12" s="1"/>
  <c r="AB4" i="12" a="1"/>
  <c r="AB4" i="12" s="1"/>
  <c r="AF4" i="12" s="1"/>
  <c r="AB9" i="12" a="1"/>
  <c r="AB9" i="12" s="1"/>
  <c r="AF9" i="12" s="1"/>
  <c r="AB8" i="12" a="1"/>
  <c r="AB8" i="12" s="1"/>
  <c r="AF8" i="12" s="1"/>
  <c r="AB15" i="12" a="1"/>
  <c r="AB15" i="12" s="1"/>
  <c r="AF15" i="12" s="1"/>
  <c r="AB6" i="12" a="1"/>
  <c r="AB6" i="12" s="1"/>
  <c r="AF6" i="12" s="1"/>
  <c r="AB13" i="12" a="1"/>
  <c r="AB13" i="12" s="1"/>
  <c r="AI13" i="12" s="1"/>
  <c r="AB12" i="12" a="1"/>
  <c r="AB12" i="12" s="1"/>
  <c r="AF12" i="12" s="1"/>
  <c r="AB3" i="12" a="1"/>
  <c r="AB3" i="12" s="1"/>
  <c r="AI3" i="12" s="1"/>
  <c r="AB10" i="12" a="1"/>
  <c r="AB10" i="12" s="1"/>
  <c r="AI10" i="12" s="1"/>
  <c r="AF7" i="12"/>
  <c r="AF11" i="12"/>
  <c r="AI7" i="12"/>
  <c r="AI8" i="12" l="1"/>
  <c r="AI12" i="12"/>
  <c r="AF10" i="12"/>
  <c r="AF3" i="12"/>
  <c r="AI15" i="12"/>
  <c r="AI14" i="12"/>
  <c r="AF13" i="12"/>
  <c r="AI11" i="12"/>
  <c r="AI4" i="12"/>
  <c r="AI6" i="12"/>
  <c r="AI9" i="12"/>
  <c r="AI5" i="12"/>
  <c r="AH6" i="12" l="1" a="1"/>
  <c r="AH6" i="12" s="1"/>
  <c r="AH9" i="12" a="1"/>
  <c r="AH9" i="12" s="1"/>
  <c r="AH15" i="12" a="1"/>
  <c r="AH15" i="12" s="1"/>
  <c r="AH5" i="12" a="1"/>
  <c r="AH5" i="12" s="1"/>
  <c r="AH13" i="12" a="1"/>
  <c r="AH13" i="12" s="1"/>
  <c r="AH7" i="12" a="1"/>
  <c r="AH7" i="12" s="1"/>
  <c r="AH11" i="12" a="1"/>
  <c r="AH11" i="12" s="1"/>
  <c r="AH12" i="12" a="1"/>
  <c r="AH12" i="12" s="1"/>
  <c r="AH14" i="12" a="1"/>
  <c r="AH14" i="12" s="1"/>
  <c r="AH4" i="12" a="1"/>
  <c r="AH4" i="12" s="1"/>
  <c r="AH10" i="12" a="1"/>
  <c r="AH10" i="12" s="1"/>
  <c r="AH3" i="12" a="1"/>
  <c r="AH3" i="12" s="1"/>
  <c r="AH8" i="12" a="1"/>
  <c r="AH8" i="12" s="1"/>
  <c r="H20" i="59" l="1"/>
  <c r="H19" i="59"/>
  <c r="H22" i="59"/>
  <c r="H23" i="59"/>
  <c r="H15" i="59"/>
  <c r="H16" i="59"/>
  <c r="H18" i="59"/>
  <c r="H17" i="59"/>
  <c r="H21" i="59"/>
  <c r="O33" i="59" l="1"/>
  <c r="P33" i="59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F4013CE2-E288-422C-9AAB-B48D2B3E2F55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Timestamp="1722225808"&gt;&lt;FQL&gt;&lt;Q&gt;FC0000CN^FMA_EPS(NTMA,-20AY,0,CY,,"PORTAGG","MEANR")&lt;/Q&gt;&lt;R&gt;20&lt;/R&gt;&lt;C&gt;1&lt;/C&gt;&lt;D xsi:type="xsd:string"&gt;@NA&lt;/D&gt;&lt;D xsi:type="xsd:double"&gt;5.08495696671206&lt;/D&gt;&lt;D xsi:type="xsd:double"&gt;6.03381551719642&lt;/D&gt;&lt;D xsi:type="xsd:double"&gt;10.2264803534379&lt;/D&gt;&lt;D xsi:type="xsd:double"&gt;9.2256018344915&lt;/D&gt;&lt;D xsi:type="xsd:double"&gt;11.1721706350105&lt;/D&gt;&lt;D xsi:type="xsd:double"&gt;14.2299143361003&lt;/D&gt;&lt;D xsi:type="xsd:double"&gt;15.4690015453803&lt;/D&gt;&lt;D xsi:type="xsd:double"&gt;14.1959016123051&lt;/D&gt;&lt;D xsi:type="xsd:double"&gt;16.0802582554231&lt;/D&gt;&lt;D xsi:type="xsd:double"&gt;16.6306210914505&lt;/D&gt;&lt;D xsi:type="xsd:double"&gt;16.640425298627&lt;/D&gt;&lt;D xsi:type="xsd:double"&gt;16.5240809032362&lt;/D&gt;&lt;D xsi:type="xsd:double"&gt;19.0217107904337&lt;/D&gt;&lt;D xsi:type="xsd:double"&gt;18.005603285854&lt;/D&gt;&lt;D xsi:type="xsd:double"&gt;17.6357008672975&lt;/D&gt;&lt;D xsi:type="xsd:double"&gt;17.4924650007554&lt;/D&gt;&lt;D xsi:type="xsd:double"&gt;21.2717365636996&lt;/D&gt;&lt;D xsi:type="xsd:double"&gt;20.3664428201426&lt;/D&gt;&lt;D xsi:type="xsd:double"&gt;19.104997030769&lt;/D&gt;&lt;/FQL&gt;&lt;FQL&gt;&lt;Q&gt;VGK^FG_PRICE(0,-200D)&lt;/Q&gt;&lt;R&gt;201&lt;/R&gt;&lt;C&gt;1&lt;/C&gt;&lt;D xsi:type="xsd:double"&gt;68.12&lt;/D&gt;&lt;D xsi:type="xsd:double"&gt;67.17&lt;/D&gt;&lt;D xsi:type="xsd:double"&gt;67.4&lt;/D&gt;&lt;D xsi:type="xsd:double"&gt;68.03&lt;/D&gt;&lt;D xsi:type="xsd:double"&gt;68.62&lt;/D&gt;&lt;D xsi:type="xsd:double"&gt;67.67&lt;/D&gt;&lt;D xsi:type="xsd:double"&gt;68.08&lt;/D&gt;&lt;D xsi:type="xsd:double"&gt;68.64&lt;/D&gt;&lt;D xsi:type="xsd:double"&gt;69.01&lt;/D&gt;&lt;D xsi:type="xsd:double"&gt;68.75&lt;/D&gt;&lt;D xsi:type="xsd:double"&gt;69.5&lt;/D&gt;&lt;D xsi:type="xsd:double"&gt;68.68&lt;/D&gt;&lt;D xsi:type="xsd:double"&gt;68.35&lt;/D&gt;&lt;D xsi:type="xsd:double"&gt;67.51&lt;/D&gt;&lt;D xsi:type="xsd:double"&gt;68.05&lt;/D&gt;&lt;D xsi:type="xsd:double"&gt;68.39&lt;/D&gt;&lt;D xsi:type="xsd:double"&gt;67.83&lt;/D&gt;&lt;D xsi:type="xsd:double"&gt;66.99&lt;/D&gt;&lt;D xsi:type="xsd:double"&gt;67.17&lt;/D&gt;&lt;D xsi:type="xsd:double"&gt;66.77&lt;/D&gt;&lt;D xsi:type="xsd:double"&gt;66.86&lt;/D&gt;&lt;D xsi:type="xsd:double"&gt;66.93&lt;/D&gt;&lt;D xsi:type="xsd:double"&gt;67.53&lt;/D&gt;&lt;D xsi:type="xsd:double"&gt;67.66&lt;/D&gt;&lt;D xsi:type="xsd:double"&gt;67.06&lt;/D&gt;&lt;D xsi:type="xsd:double"&gt;68.64&lt;/D&gt;&lt;D xsi:type="xsd:double"&gt;68.47&lt;/D&gt;&lt;D xsi:type="xsd:double"&gt;68.13&lt;/D&gt;&lt;D xsi:type="xsd:double"&gt;67.59&lt;/D&gt;&lt;D xsi:type="xsd:double"&gt;68.71&lt;/D&gt;&lt;D xsi:type="xsd:double"&gt;69.78&lt;/D&gt;&lt;D xsi:type="xsd:double"&gt;68.7&lt;/D&gt;&lt;D xsi:type="xsd:double"&gt;69.54&lt;/D&gt;&lt;D xsi:type="xsd:double"&gt;69.75&lt;/D&gt;&lt;D xsi:type="xsd:double"&gt;70.67&lt;/D&gt;&lt;D xsi:type="xsd:double"&gt;70.39&lt;/D&gt;&lt;D xsi:type="xsd:double"&gt;69.72&lt;/D&gt;&lt;D xsi:type="xsd:double"&gt;69.94&lt;/D&gt;&lt;D xsi:type="xsd:double"&gt;69.85&lt;/D&gt;&lt;D xsi:type="xsd:double"&gt;69.21&lt;/D&gt;&lt;D xsi:type="xsd:double"&gt;68.56&lt;/D&gt;&lt;D xsi:type="xsd:double"&gt;69.59&lt;/D&gt;&lt;D xsi:type="xsd:double"&gt;69.72&lt;/D&gt;&lt;D xsi:type="xsd:double"&gt;69.18&lt;/D&gt;&lt;D xsi:type="xsd:double"&gt;69.5&lt;/D&gt;&lt;D xsi:type="xsd:double"&gt;70.05&lt;/D&gt;&lt;D xsi:type="xsd:double"&gt;70.06&lt;/D&gt;&lt;D xsi:type="xsd:double"&gt;70.09&lt;/D&gt;&lt;D xsi:type="xsd:double"&gt;69.9&lt;/D&gt;&lt;D xsi:type="xsd:double"&gt;70.31&lt;/D&gt;&lt;D xsi:type="xsd:double"&gt;69.55&lt;/D&gt;&lt;D xsi:type="xsd:double"&gt;68.97&lt;/D&gt;&lt;D xsi:type="xsd:double"&gt;68.93&lt;/D&gt;&lt;D xsi:type="xsd:double"&gt;68.62&lt;/D&gt;&lt;D xsi:type="xsd:double"&gt;68.02&lt;/D&gt;&lt;D xsi:type="xsd:double"&gt;67.77&lt;/D&gt;&lt;D xsi:type="xsd:double"&gt;67.33&lt;/D&gt;&lt;D xsi:type="xsd:double"&gt;66.79&lt;/D&gt;&lt;D xsi:type="xsd:double"&gt;66.19&lt;/D&gt;&lt;D xsi:type="xsd:double"&gt;65.54&lt;/D&gt;&lt;D xsi:type="xsd:double"&gt;65.62&lt;/D&gt;&lt;D xsi:type="xsd:double"&gt;66.6&lt;/D&gt;&lt;D xsi:type="xsd:double"&gt;66.39&lt;/D&gt;&lt;D xsi:type="xsd:double"&gt;65.89&lt;/D&gt;&lt;D xsi:type="xsd:double"&gt;66.01&lt;/D&gt;&lt;D xsi:type="xsd:double"&gt;66.32&lt;/D&gt;&lt;D xsi:type="xsd:double"&gt;65.4&lt;/D&gt;&lt;D xsi:type="xsd:double"&gt;64.68&lt;/D&gt;&lt;D xsi:type="xsd:double"&gt;64.52&lt;/D&gt;&lt;D xsi:type="xsd:double"&gt;64.67&lt;/D&gt;&lt;D xsi:type="xsd:double"&gt;64.45&lt;/D&gt;&lt;D xsi:type="xsd:double"&gt;64.97&lt;/D&gt;&lt;D xsi:type="xsd:double"&gt;65.07&lt;/D&gt;&lt;D xsi:type="xsd:double"&gt;66.21&lt;/D&gt;&lt;D xsi:type="xsd:double"&gt;66.17&lt;/D&gt;&lt;D xsi:type="xsd:double"&gt;66.96&lt;/D&gt;&lt;D xsi:type="xsd:double"&gt;67.1&lt;/D&gt;&lt;D xsi:type="xsd:double"&gt;66.76&lt;/D&gt;&lt;D xsi:type="xsd:double"&gt;66.59&lt;/D&gt;&lt;D xsi:type="xsd:double"&gt;67.11&lt;/D&gt;&lt;D xsi:type="xsd:double"&gt;66.64&lt;/D&gt;&lt;D xsi:type="xsd:double"&gt;67.22&lt;/D&gt;&lt;D xsi:type="xsd:double"&gt;67.34&lt;/D&gt;&lt;D xsi:type="xsd:double"&gt;67.46&lt;/D&gt;&lt;D xsi:type="xsd:double"&gt;67.05&lt;/D&gt;&lt;D xsi:type="xsd:double"&gt;66.95&lt;/D&gt;&lt;D xsi:type="xsd:double"&gt;66.88&lt;/D&gt;&lt;D xsi:type="xsd:double"&gt;67.04&lt;/D&gt;&lt;D xsi:type="xsd:double"&gt;67.21&lt;/D&gt;&lt;D xsi:type="xsd:double"&gt;66.41&lt;/D&gt;&lt;D xsi:type="xsd:double"&gt;66.3&lt;/D&gt;&lt;D xsi:type="xsd:double"&gt;66.69&lt;/D&gt;&lt;D xsi:type="xsd:double"&gt;67.12&lt;/D&gt;&lt;D xsi:type="xsd:double"&gt;67.62&lt;/D&gt;&lt;D xsi:type="xsd:double"&gt;67.5&lt;/D&gt;&lt;D xsi:type="xsd:double"&gt;66.85&lt;/D&gt;&lt;D xsi:type="xsd:double"&gt;66.84&lt;/D&gt;&lt;D xsi:type="xsd:double"&gt;67.14&lt;/D&gt;&lt;D xsi:type="xsd:double"&gt;66.11&lt;/D&gt;&lt;D xsi:type="xsd:double"&gt;65.41&lt;/D&gt;&lt;D xsi:type="xsd:double"&gt;65.68&lt;/D&gt;&lt;D xsi:type="xsd:double"&gt;65.77&lt;/D&gt;&lt;D xsi:type="xsd:double"&gt;65.22&lt;/D&gt;&lt;D xsi:type="xsd:double"&gt;65.19&lt;/D&gt;&lt;D xsi:type="xsd:double"&gt;65.52&lt;/D&gt;&lt;D xsi:type="xsd:double"&gt;65.41&lt;/D&gt;&lt;D xsi:type="xsd:double"&gt;65.48&lt;/D&gt;&lt;D xsi:type="xsd:double"&gt;65.4&lt;/D&gt;&lt;D xsi:type="xsd:double"&gt;64.75&lt;/D&gt;&lt;D xsi:type="xsd:double"&gt;64.67&lt;/D&gt;&lt;D xsi:type="xsd:double"&gt;64.34&lt;/D&gt;&lt;D xsi:type="xsd:double"&gt;64.24&lt;/D&gt;&lt;D xsi:type="xsd:double"&gt;63.54&lt;/D&gt;&lt;D xsi:type="xsd:double"&gt;62.66&lt;/D&gt;&lt;D xsi:type="xsd:double"&gt;63.9&lt;/D&gt;&lt;D xsi:type="xsd:double"&gt;63.85&lt;/D&gt;&lt;D xsi:type="xsd:double"&gt;63.63&lt;/D&gt;&lt;D xsi:type="xsd:double"&gt;63.63&lt;/D&gt;&lt;D xsi:type="xsd:double"&gt;63.84&lt;/D&gt;&lt;D xsi:type="xsd:double"&gt;63.33&lt;/D&gt;&lt;D xsi:type="xsd:double"&gt;63.7&lt;/D&gt;&lt;D xsi:type="xsd:double"&gt;64.32&lt;/D&gt;&lt;D xsi:type="xsd:double"&gt;63.69&lt;/D&gt;&lt;D xsi:type="xsd:double"&gt;64.17&lt;/D&gt;&lt;D xsi:type="xsd:double"&gt;64.14&lt;/D&gt;&lt;D xsi:type="xsd:double"&gt;63.93&lt;/D&gt;&lt;D xsi:type="xsd:double"&gt;63.36&lt;/D&gt;&lt;D xsi:type="xsd:double"&gt;63.07&lt;/D&gt;&lt;D xsi:type="xsd:double"&gt;62.45&lt;/D&gt;&lt;D xsi:type="xsd:double"&gt;62.6&lt;/D&gt;&lt;D xsi:type="xsd:double"&gt;62.49&lt;/D&gt;&lt;D xsi:type="xsd:double"&gt;62.47&lt;/D&gt;&lt;D xsi:type="xsd:double"&gt;61.92&lt;/D&gt;&lt;D xsi:type="xsd:double"&gt;62.41&lt;/D&gt;&lt;D xsi:type="xsd:double"&gt;63.62&lt;/D&gt;&lt;D xsi:type="xsd:double"&gt;63.44&lt;/D&gt;&lt;D xsi:type="xsd:double"&gt;63.72&lt;/D&gt;&lt;D xsi:type="xsd:double"&gt;63.45&lt;/D&gt;&lt;D xsi:type="xsd:double"&gt;64.09&lt;/D&gt;&lt;D xsi:type="xsd:double"&gt;63.37&lt;/D&gt;&lt;D xsi:type="xsd:double"&gt;63.49&lt;/D&gt;&lt;D xsi:type="xsd:double"&gt;63.13&lt;/D&gt;&lt;D xsi:type="xsd:double"&gt;63.67&lt;/D&gt;&lt;D xsi:type="xsd:double"&gt;64.48&lt;/D&gt;&lt;D xsi:type="xsd:double"&gt;64.42&lt;/D&gt;&lt;D xsi:type="xsd:double"&gt;64.86&lt;/D&gt;&lt;D xsi:type="xsd:double"&gt;64.5&lt;/D&gt;&lt;D xsi:type="xsd:double"&gt;64.1&lt;/D&gt;&lt;D xsi:type="xsd:double"&gt;64.06&lt;/D&gt;&lt;D xsi:type="xsd:double"&gt;63.12&lt;/D&gt;&lt;D xsi:type="xsd:double"&gt;63.87&lt;/D&gt;&lt;D xsi:type="xsd:double"&gt;63.21&lt;/D&gt;&lt;D xsi:type="xsd:double"&gt;63.48&lt;/D&gt;&lt;D xsi:type="xsd:double"&gt;64.19&lt;/D&gt;&lt;D xsi:type="xsd:double"&gt;63.46&lt;/D&gt;&lt;D xsi:type="xsd:double"&gt;62.58&lt;/D&gt;&lt;D xsi:type="xsd:double"&gt;62.47&lt;/D&gt;&lt;D xsi:type="xsd:double"&gt;62.38&lt;/D&gt;&lt;D xsi:type="xsd:double"&gt;62.04&lt;/D&gt;&lt;D xsi:type="xsd:double"&gt;61.82&lt;/D&gt;&lt;D xsi:type="xsd:double"&gt;61.81&lt;/D&gt;&lt;D xsi:type="xsd:double"&gt;61.87&lt;/D&gt;&lt;D xsi:type="xsd:double"&gt;62.21&lt;/D&gt;&lt;D xsi:type="xsd:double"&gt;61.62&lt;/D&gt;&lt;D xsi:type="xsd:double"&gt;61.76&lt;/D&gt;&lt;D xsi:type="xsd:double"&gt;61.48&lt;/D&gt;&lt;D xsi:type="xsd:double"&gt;61.48&lt;/D&gt;&lt;D xsi:type="xsd:double"&gt;61.67&lt;/D&gt;&lt;D xsi:type="xsd:double"&gt;61.02&lt;/D&gt;&lt;D xsi:type="xsd:double"&gt;60.92&lt;/D&gt;&lt;D xsi:type="xsd:double"&gt;61.18&lt;/D&gt;&lt;D xsi:type="xsd:double"&gt;60.9&lt;/D&gt;&lt;D xsi:type="xsd:double"&gt;60.07&lt;/D&gt;&lt;D xsi:type="xsd:double"&gt;60.2&lt;/D&gt;&lt;D xsi:type="xsd:double"&gt;60.21&lt;/D&gt;&lt;D xsi:type="xsd:double"&gt;58.48&lt;/D&gt;&lt;D xsi:type="xsd:double"&gt;58.33&lt;/D&gt;&lt;D xsi:type="xsd:double"&gt;58.06&lt;/D&gt;&lt;D xsi:type="xsd:double"&gt;58.07&lt;/D&gt;&lt;D xsi:type="xsd:double"&gt;57.79&lt;/D&gt;&lt;D xsi:type="xsd:double"&gt;58.05&lt;/D&gt;&lt;D xsi:type="xsd:double"&gt;58.24&lt;/D&gt;&lt;D xsi:type="xsd:double"&gt;57.76&lt;/D&gt;&lt;D xsi:type="xsd:double"&gt;56.52&lt;/D&gt;&lt;D xsi:type="xsd:double"&gt;56.14&lt;/D&gt;&lt;D xsi:type="xsd:double"&gt;56.04&lt;/D&gt;&lt;D xsi:type="xsd:double"&gt;55.18&lt;/D&gt;&lt;D xsi:type="xsd:double"&gt;55.57&lt;/D&gt;&lt;D xsi:type="xsd:double"&gt;55.81&lt;/D&gt;&lt;D xsi:type="xsd:double"&gt;56.31&lt;/D&gt;&lt;D xsi:type="xsd:double"&gt;56.1&lt;/D&gt;&lt;D xsi:type="xsd:double"&gt;55.98&lt;/D&gt;&lt;D xsi:type="xsd:double"&gt;56.52&lt;/D&gt;&lt;D xsi:type="xsd:double"&gt;56.99&lt;/D&gt;&lt;D xsi:type="xsd:double"&gt;58.06&lt;/D&gt;&lt;D xsi:type="xsd:double"&gt;58.12&lt;/D&gt;&lt;D xsi:type="xsd:double"&gt;57.59&lt;/D&gt;&lt;D xsi:type="xsd:double"&gt;58.12&lt;/D&gt;&lt;D xsi:type="xsd:double"&gt;58.79&lt;/D&gt;&lt;D xsi:type="xsd:double"&gt;58.4&lt;/D&gt;&lt;D xsi:type="xsd:double"&gt;57.5&lt;/D&gt;&lt;/FQL&gt;&lt;FQL&gt;&lt;Q&gt;IWM^FG_TOTAL_RETURNC(0,-6AM)&lt;/Q&gt;&lt;R&gt;1&lt;/R&gt;&lt;C&gt;1&lt;/C&gt;&lt;D xsi:type="xsd:double"&gt;15.018296&lt;/D&gt;&lt;/FQL&gt;&lt;FQL&gt;&lt;Q&gt;SPY^FG_TOTAL_RETURNC(0,-6AM)&lt;/Q&gt;&lt;R&gt;1&lt;/R&gt;&lt;C&gt;1&lt;/C&gt;&lt;D xsi:type="xsd:double"&gt;12.412035&lt;/D&gt;&lt;/FQL&gt;&lt;FQL&gt;&lt;Q&gt;VGK^FG_TOTAL_RETURNC(0,-6AM)&lt;/Q&gt;&lt;R&gt;1&lt;/R&gt;&lt;C&gt;1&lt;/C&gt;&lt;D xsi:type="xsd:double"&gt;8.79426&lt;/D&gt;&lt;/FQL&gt;&lt;FQL&gt;&lt;Q&gt;EWQ^FG_TOTAL_RETURNC(0,-6AM)&lt;/Q&gt;&lt;R&gt;1&lt;/R&gt;&lt;C&gt;1&lt;/C&gt;&lt;D xsi:type="xsd:double"&gt;1.4575124&lt;/D&gt;&lt;/FQL&gt;&lt;FQL&gt;&lt;Q&gt;EWL^FG_TOTAL_RETURNC(0,-6AM)&lt;/Q&gt;&lt;R&gt;1&lt;/R&gt;&lt;C&gt;1&lt;/C&gt;&lt;D xsi:type="xsd:double"&gt;6.8802357&lt;/D&gt;&lt;/FQL&gt;&lt;FQL&gt;&lt;Q&gt;EWA^FG_TOTAL_RETURNC(0,-6AM)&lt;/Q&gt;&lt;R&gt;1&lt;/R&gt;&lt;C&gt;1&lt;/C&gt;&lt;D xsi:type="xsd:double"&gt;6.209016&lt;/D&gt;&lt;/FQL&gt;&lt;FQL&gt;&lt;Q&gt;EMXC^PERCENT_CHANGE(FMA_EPS(+1,0,,,,"PORTAGG","MEAN"),FMA_EPS(+1,-1AM,,,,"PORTAGG","MEAN"))&lt;/Q&gt;&lt;R&gt;1&lt;/R&gt;&lt;C&gt;1&lt;/C&gt;&lt;D xsi:type="xsd:double"&gt;7.63043684386138&lt;/D&gt;&lt;/FQL&gt;&lt;FQL&gt;&lt;Q&gt;VWO^FMA_PCT_ABOVE_MAVG(200,0,,,,"PORTAGG")&lt;/Q&gt;&lt;R&gt;1&lt;/R&gt;&lt;C&gt;1&lt;/C&gt;&lt;D xsi:type="xsd:double"&gt;40.2586206896552&lt;/D&gt;&lt;/FQL&gt;&lt;FQL&gt;&lt;Q&gt;SPY^PERCENT_CHANGE(FMA_EPS(+1,0,,,,"PORTAGG","MEAN"),FMA_EPS(+1,-3AM,,,,"PORTAGG","MEAN"))&lt;/Q&gt;&lt;R&gt;1&lt;/R&gt;&lt;C&gt;1&lt;/C&gt;&lt;D xsi:type="xsd:double"&gt;-0.17176498470089&lt;/D&gt;&lt;/FQL&gt;&lt;FQL&gt;&lt;Q&gt;EWG^PERCENT_CHANGE(FMA_EPS(+1,0,,,,"PORTAGG","MEAN"),FMA_EPS(+1,-1AM,,,,"PORTAGG","MEAN"))&lt;/Q&gt;&lt;R&gt;1&lt;/R&gt;&lt;C&gt;1&lt;/C&gt;&lt;D xsi:type="xsd:double"&gt;0.212402660234644&lt;/D&gt;&lt;/FQL&gt;&lt;FQL&gt;&lt;Q&gt;IWM^FMA_COS_UP("EPS","1M",+1,0,,,"PORTAGG","MEANR")&lt;/Q&gt;&lt;R&gt;1&lt;/R&gt;&lt;C&gt;1&lt;/C&gt;&lt;D xsi:type="xsd:double"&gt;416&lt;/D&gt;&lt;/FQL&gt;&lt;FQL&gt;&lt;Q&gt;URTH^SIZE(FG_CONSTITUENTS)&lt;/Q&gt;&lt;R&gt;1&lt;/R&gt;&lt;C&gt;1&lt;/C&gt;&lt;D xsi:type="xsd:long"&gt;1430&lt;/D&gt;&lt;/FQL&gt;&lt;FQL&gt;&lt;Q&gt;EWN^FMA_COS_DOWN("EPS","1M",+1,0,,,"PORTAGG","MEANR")&lt;/Q&gt;&lt;R&gt;1&lt;/R&gt;&lt;C&gt;1&lt;/C&gt;&lt;D xsi:type="xsd:double"&gt;28&lt;/D&gt;&lt;/FQL&gt;&lt;FQL&gt;&lt;Q&gt;EWL^FMA_COS_UP("EPS","1M",+1,0,,,"PORTAGG","MEANR")&lt;/Q&gt;&lt;R&gt;1&lt;/R&gt;&lt;C&gt;1&lt;/C&gt;&lt;D xsi:type="xsd:double"&gt;22&lt;/D&gt;&lt;/FQL&gt;&lt;FQL&gt;&lt;Q&gt;EWI^FG_COMPANY_NAME&lt;/Q&gt;&lt;R&gt;1&lt;/R&gt;&lt;C&gt;1&lt;/C&gt;&lt;D xsi:type="xsd:string"&gt;iShares MSCI Italy ETF&lt;/D&gt;&lt;/FQL&gt;&lt;FQL&gt;&lt;Q&gt;BIGPX^FG_TOTAL_RETURNC(-1AM,-2AM)&lt;/Q&gt;&lt;R&gt;1&lt;/R&gt;&lt;C&gt;1&lt;/C&gt;&lt;D xsi:type="xsd:double"&gt;1.9961357&lt;/D&gt;&lt;/FQL&gt;&lt;FQL&gt;&lt;Q&gt;EMXC^FG_TOTAL_RETURNC(-1AM,-2AM)&lt;/Q&gt;&lt;R&gt;1&lt;/R&gt;&lt;C&gt;1&lt;/C&gt;&lt;D xsi:type="xsd:double"&gt;0.8410454&lt;/D&gt;&lt;/FQL&gt;&lt;FQL&gt;&lt;Q&gt;DBC^FG_TOTAL_RETURNC(-1AM,-2AM)&lt;/Q&gt;&lt;R&gt;1&lt;/R&gt;&lt;C&gt;1&lt;/C&gt;&lt;D xsi:type="xsd:double"&gt;-1.3180315&lt;/D&gt;&lt;/FQL&gt;&lt;FQL&gt;&lt;Q&gt;SPY^FG_TOTAL_RETURNC(-1AM,-2AM)&lt;/Q&gt;&lt;R&gt;1&lt;/R&gt;&lt;C&gt;1&lt;/C&gt;&lt;D xsi:type="xsd:double"&gt;3.3681393&lt;/D&gt;&lt;/FQL&gt;&lt;FQL&gt;&lt;Q&gt;FXI^FG_TOTAL_RETURNC(0,-1AM)&lt;/Q&gt;&lt;R&gt;1&lt;/R&gt;&lt;C&gt;1&lt;/C&gt;&lt;D xsi:type="xsd:double"&gt;-3.7707388&lt;/D&gt;&lt;/FQL&gt;&lt;FQL&gt;&lt;Q&gt;TLT^FG_TOTAL_RETURNC(0,-1AM)&lt;/Q&gt;&lt;R&gt;1&lt;/R&gt;&lt;C&gt;1&lt;/C&gt;&lt;D xsi:type="xsd:double"&gt;0.15144348&lt;/D&gt;&lt;/FQL&gt;&lt;FQL&gt;&lt;Q&gt;UUP^FG_TOTAL_RETURNC(0,-1AM)&lt;/Q&gt;&lt;R&gt;1&lt;/R&gt;&lt;C&gt;1&lt;/C&gt;&lt;D xsi:type="xsd:double"&gt;-1.1998653&lt;/D&gt;&lt;/FQL&gt;&lt;FQL&gt;&lt;Q&gt;EWJ^FG_COMPANY_NAME&lt;/Q&gt;&lt;R&gt;1&lt;/R&gt;&lt;C&gt;1&lt;/C&gt;&lt;D xsi:type="xsd:string"&gt;iShares MSCI Japan ETF&lt;/D&gt;&lt;/FQL&gt;&lt;FQL&gt;&lt;Q&gt;TRYUS10Y-FDS^FG_YIELD(0,,,,"YTM")&lt;/Q&gt;&lt;R&gt;1&lt;/R&gt;&lt;C&gt;1&lt;/C&gt;&lt;D xsi:type="xsd:double"&gt;4.1953&lt;/D&gt;&lt;/FQL&gt;&lt;FQL&gt;&lt;Q&gt;VWO^FG_PE_NTM(0,,,90,0)&lt;/Q&gt;&lt;R&gt;1&lt;/R&gt;&lt;C&gt;1&lt;/C&gt;&lt;D xsi:type="xsd:double"&gt;2.4051451307245&lt;/D&gt;&lt;/FQL&gt;&lt;FQL&gt;&lt;Q&gt;URTH^FG_COMPANY_NAME&lt;/Q&gt;&lt;R&gt;1&lt;/R&gt;&lt;C&gt;1&lt;/C&gt;&lt;D xsi:type="xsd:string"&gt;iShares MSCI World ETF&lt;/D&gt;&lt;/FQL&gt;&lt;FQL&gt;&lt;Q&gt;FC0000IN^FMA_EPS(NTMA,-20AY,0,CY,,"PORTAGG","MEANR")&lt;/Q&gt;&lt;R&gt;20&lt;/R&gt;&lt;C&gt;1&lt;/C&gt;&lt;D xsi:type="xsd:double"&gt;17.0027626869708&lt;/D&gt;&lt;D xsi:type="xsd:double"&gt;19.8227206360557&lt;/D&gt;&lt;D xsi:type="xsd:double"&gt;24.8656970951245&lt;/D&gt;&lt;D xsi:type="xsd:double"&gt;36.9882839444287&lt;/D&gt;&lt;D xsi:type="xsd:double"&gt;27.436164618175&lt;/D&gt;&lt;D xsi:type="xsd:double"&gt;31.1759922107968&lt;/D&gt;&lt;D xsi:type="xsd:double"&gt;39.3994482872955&lt;/D&gt;&lt;D xsi:type="xsd:double"&gt;33.2075700851179&lt;/D&gt;&lt;D xsi:type="xsd:double"&gt;33.4015998070445&lt;/D&gt;&lt;D xsi:type="xsd:double"&gt;29.9102522143572&lt;/D&gt;&lt;D xsi:type="xsd:double"&gt;32.6356733774262&lt;/D&gt;&lt;D xsi:type="xsd:double"&gt;32.8033724775519&lt;/D&gt;&lt;D xsi:type="xsd:double"&gt;33.3581868691557&lt;/D&gt;&lt;D xsi:type="xsd:double"&gt;38.0229713645291&lt;/D&gt;&lt;D xsi:type="xsd:double"&gt;36.6203986672657&lt;/D&gt;&lt;D xsi:type="xsd:double"&gt;36.3068316883199&lt;/D&gt;&lt;D xsi:type="xsd:double"&gt;33.7109241569627&lt;/D&gt;&lt;D xsi:type="xsd:double"&gt;47.0023162015005&lt;/D&gt;&lt;D xsi:type="xsd:double"&gt;46.0247516040106&lt;/D&gt;&lt;D xsi:type="xsd:double"&gt;54.6449439442713&lt;/D&gt;&lt;/FQL&gt;&lt;FQL&gt;&lt;Q&gt;TLT^FG_PRICE(0,-200D)&lt;/Q&gt;&lt;R&gt;201&lt;/R&gt;&lt;C&gt;1&lt;/C&gt;&lt;D xsi:type="xsd:double"&gt;92.99&lt;/D&gt;&lt;D xsi:type="xsd:double"&gt;92.27&lt;/D&gt;&lt;D xsi:type="xsd:double"&gt;91.52&lt;/D&gt;&lt;D xsi:type="xsd:double"&gt;92.52&lt;/D&gt;&lt;D xsi:type="xsd:double"&gt;92.65&lt;/D&gt;&lt;D xsi:type="xsd:double"&gt;92.92&lt;/D&gt;&lt;D xsi:type="xsd:double"&gt;93.47&lt;/D&gt;&lt;D xsi:type="xsd:double"&gt;94.19&lt;/D&gt;&lt;D xsi:type="xsd:double"&gt;94.17&lt;/D&gt;&lt;D xsi:type="xsd:double"&gt;92.86&lt;/D&gt;&lt;D xsi:type="xsd:double"&gt;93.94&lt;/D&gt;&lt;D xsi:type="xsd:double"&gt;93.54&lt;/D&gt;&lt;D xsi:type="xsd:double"&gt;92.64&lt;/D&gt;&lt;D xsi:type="xsd:double"&gt;92.35&lt;/D&gt;&lt;D xsi:type="xsd:double"&gt;92.76&lt;/D&gt;&lt;D xsi:type="xsd:double"&gt;92.56&lt;/D&gt;&lt;D xsi:type="xsd:double"&gt;91.8&lt;/D&gt;&lt;D xsi:type="xsd:double"&gt;90.61&lt;/D&gt;&lt;D xsi:type="xsd:double"&gt;89.91&lt;/D&gt;&lt;D xsi:type="xsd:double"&gt;91.78&lt;/D&gt;&lt;D xsi:type="xsd:double"&gt;93.52&lt;/D&gt;&lt;D xsi:type="xsd:double"&gt;93.15&lt;/D&gt;&lt;D xsi:type="xsd:double"&gt;94.5&lt;/D&gt;&lt;D xsi:type="xsd:double"&gt;94.34&lt;/D&gt;&lt;D xsi:type="xsd:double"&gt;93.96&lt;/D&gt;&lt;D xsi:type="xsd:double"&gt;93.96&lt;/D&gt;&lt;D xsi:type="xsd:double"&gt;94.59&lt;/D&gt;&lt;D xsi:type="xsd:double"&gt;93.73&lt;/D&gt;&lt;D xsi:type="xsd:double"&gt;94.67&lt;/D&gt;&lt;D xsi:type="xsd:double"&gt;93.88&lt;/D&gt;&lt;D xsi:type="xsd:double"&gt;92.52&lt;/D&gt;&lt;D xsi:type="xsd:double"&gt;91.83&lt;/D&gt;&lt;D xsi:type="xsd:double"&gt;90.89&lt;/D&gt;&lt;D xsi:type="xsd:double"&gt;91.5&lt;/D&gt;&lt;D xsi:type="xsd:double"&gt;93.21&lt;/D&gt;&lt;D xsi:type="xsd:double"&gt;93.35&lt;/D&gt;&lt;D xsi:type="xsd:double"&gt;92.67&lt;/D&gt;&lt;D xsi:type="xsd:double"&gt;91.6&lt;/D&gt;&lt;D xsi:type="xsd:double"&gt;90.45&lt;/D&gt;&lt;D xsi:type="xsd:double"&gt;89.84&lt;/D&gt;&lt;D xsi:type="xsd:double"&gt;88.98&lt;/D&gt;&lt;D xsi:type="xsd:double"&gt;90.07&lt;/D&gt;&lt;D xsi:type="xsd:double"&gt;91.38&lt;/D&gt;&lt;D xsi:type="xsd:double"&gt;91.11&lt;/D&gt;&lt;D xsi:type="xsd:double"&gt;91.7&lt;/D&gt;&lt;D xsi:type="xsd:double"&gt;91.59&lt;/D&gt;&lt;D xsi:type="xsd:double"&gt;91.12&lt;/D&gt;&lt;D xsi:type="xsd:double"&gt;91.39&lt;/D&gt;&lt;D xsi:type="xsd:double"&gt;92.01&lt;/D&gt;&lt;D xsi:type="xsd:double"&gt;92.1&lt;/D&gt;&lt;D xsi:type="xsd:double"&gt;90.86&lt;/D&gt;&lt;D xsi:type="xsd:double"&gt;90.35&lt;/D&gt;&lt;D xsi:type="xsd:double"&gt;90.12&lt;/D&gt;&lt;D xsi:type="xsd:double"&gt;90.63&lt;/D&gt;&lt;D xsi:type="xsd:double"&gt;90.19&lt;/D&gt;&lt;D xsi:type="xsd:double"&gt;90.74&lt;/D&gt;&lt;D xsi:type="xsd:double"&gt;90.19&lt;/D&gt;&lt;D xsi:type="xsd:double"&gt;89.84&lt;/D&gt;&lt;D xsi:type="xsd:double"&gt;88.94&lt;/D&gt;&lt;D xsi:type="xsd:double"&gt;88.56&lt;/D&gt;&lt;D xsi:type="xsd:double"&gt;88.22&lt;/D&gt;&lt;D xsi:type="xsd:double"&gt;88.98&lt;/D&gt;&lt;D xsi:type="xsd:double"&gt;88.24&lt;/D&gt;&lt;D xsi:type="xsd:double"&gt;87.78&lt;/D&gt;&lt;D xsi:type="xsd:double"&gt;88.4&lt;/D&gt;&lt;D xsi:type="xsd:double"&gt;89.03&lt;/D&gt;&lt;D xsi:type="xsd:double"&gt;89&lt;/D&gt;&lt;D xsi:type="xsd:double"&gt;89.15&lt;/D&gt;&lt;D xsi:type="xsd:double"&gt;88.83&lt;/D&gt;&lt;D xsi:type="xsd:double"&gt;89.28&lt;/D&gt;&lt;D xsi:type="xsd:double"&gt;88.3&lt;/D&gt;&lt;D xsi:type="xsd:double"&gt;88.89&lt;/D&gt;&lt;D xsi:type="xsd:double"&gt;90.29&lt;/D&gt;&lt;D xsi:type="xsd:double"&gt;89.81&lt;/D&gt;&lt;D xsi:type="xsd:double"&gt;90.22&lt;/D&gt;&lt;D xsi:type="xsd:double"&gt;92.23&lt;/D&gt;&lt;D xsi:type="xsd:double"&gt;91.38&lt;/D&gt;&lt;D xsi:type="xsd:double"&gt;91.39&lt;/D&gt;&lt;D xsi:type="xsd:double"&gt;92.68&lt;/D&gt;&lt;D xsi:type="xsd:double"&gt;92.02&lt;/D&gt;&lt;D xsi:type="xsd:double"&gt;92.04&lt;/D&gt;&lt;D xsi:type="xsd:double"&gt;92.55&lt;/D&gt;&lt;D xsi:type="xsd:double"&gt;94.62&lt;/D&gt;&lt;D xsi:type="xsd:double"&gt;94.7&lt;/D&gt;&lt;D xsi:type="xsd:double"&gt;93.77&lt;/D&gt;&lt;D xsi:type="xsd:double"&gt;93.51&lt;/D&gt;&lt;D xsi:type="xsd:double"&gt;93.98&lt;/D&gt;&lt;D xsi:type="xsd:double"&gt;93.09&lt;/D&gt;&lt;D xsi:type="xsd:double"&gt;92.89&lt;/D&gt;&lt;D xsi:type="xsd:double"&gt;92.92&lt;/D&gt;&lt;D xsi:type="xsd:double"&gt;92.66&lt;/D&gt;&lt;D xsi:type="xsd:double"&gt;92.94&lt;/D&gt;&lt;D xsi:type="xsd:double"&gt;92.97&lt;/D&gt;&lt;D xsi:type="xsd:double"&gt;94.42&lt;/D&gt;&lt;D xsi:type="xsd:double"&gt;94.88&lt;/D&gt;&lt;D xsi:type="xsd:double"&gt;95.68&lt;/D&gt;&lt;D xsi:type="xsd:double"&gt;95.73&lt;/D&gt;&lt;D xsi:type="xsd:double"&gt;95.9&lt;/D&gt;&lt;D xsi:type="xsd:double"&gt;95.99&lt;/D&gt;&lt;D xsi:type="xsd:double"&gt;95.43&lt;/D&gt;&lt;D xsi:type="xsd:double"&gt;94.09&lt;/D&gt;&lt;D xsi:type="xsd:double"&gt;94.47&lt;/D&gt;&lt;D xsi:type="xsd:double"&gt;94.18&lt;/D&gt;&lt;D xsi:type="xsd:double"&gt;93.52&lt;/D&gt;&lt;D xsi:type="xsd:double"&gt;92.93&lt;/D&gt;&lt;D xsi:type="xsd:double"&gt;93.59&lt;/D&gt;&lt;D xsi:type="xsd:double"&gt;93.87&lt;/D&gt;&lt;D xsi:type="xsd:double"&gt;92.63&lt;/D&gt;&lt;D xsi:type="xsd:double"&gt;92.18&lt;/D&gt;&lt;D xsi:type="xsd:double"&gt;92.84&lt;/D&gt;&lt;D xsi:type="xsd:double"&gt;92.76&lt;/D&gt;&lt;D xsi:type="xsd:double"&gt;93.3&lt;/D&gt;&lt;D xsi:type="xsd:double"&gt;92.82&lt;/D&gt;&lt;D xsi:type="xsd:double"&gt;92.35&lt;/D&gt;&lt;D xsi:type="xsd:double"&gt;93.96&lt;/D&gt;&lt;D xsi:type="xsd:double"&gt;93.85&lt;/D&gt;&lt;D xsi:type="xsd:double"&gt;94.04&lt;/D&gt;&lt;D xsi:type="xsd:double"&gt;94.59&lt;/D&gt;&lt;D xsi:type="xsd:double"&gt;95.05&lt;/D&gt;&lt;D xsi:type="xsd:double"&gt;94.13&lt;/D&gt;&lt;D xsi:type="xsd:double"&gt;96.07&lt;/D&gt;&lt;D xsi:type="xsd:double"&gt;98.24&lt;/D&gt;&lt;D xsi:type="xsd:double"&gt;96.66&lt;/D&gt;&lt;D xsi:type="xsd:double"&gt;95.72&lt;/D&gt;&lt;D xsi:type="xsd:double"&gt;94.86&lt;/D&gt;&lt;D xsi:type="xsd:double"&gt;93.78&lt;/D&gt;&lt;D xsi:type="xsd:double"&gt;93.96&lt;/D&gt;&lt;D xsi:type="xsd:double"&gt;93.35&lt;/D&gt;&lt;D xsi:type="xsd:double"&gt;93.9&lt;/D&gt;&lt;D xsi:type="xsd:double"&gt;94.65&lt;/D&gt;&lt;D xsi:type="xsd:double"&gt;94.09&lt;/D&gt;&lt;D xsi:type="xsd:double"&gt;93.79&lt;/D&gt;&lt;D xsi:type="xsd:double"&gt;94.67&lt;/D&gt;&lt;D xsi:type="xsd:double"&gt;94.82&lt;/D&gt;&lt;D xsi:type="xsd:double"&gt;96.52&lt;/D&gt;&lt;D xsi:type="xsd:double"&gt;96.71&lt;/D&gt;&lt;D xsi:type="xsd:double"&gt;96.17&lt;/D&gt;&lt;D xsi:type="xsd:double"&gt;96.62&lt;/D&gt;&lt;D xsi:type="xsd:double"&gt;97.24&lt;/D&gt;&lt;D xsi:type="xsd:double"&gt;96.29&lt;/D&gt;&lt;D xsi:type="xsd:double"&gt;97.22&lt;/D&gt;&lt;D xsi:type="xsd:double"&gt;98.72&lt;/D&gt;&lt;D xsi:type="xsd:double"&gt;98.31&lt;/D&gt;&lt;D xsi:type="xsd:double"&gt;98.88&lt;/D&gt;&lt;D xsi:type="xsd:double"&gt;99.78&lt;/D&gt;&lt;D xsi:type="xsd:double"&gt;100.51&lt;/D&gt;&lt;D xsi:type="xsd:double"&gt;98.76&lt;/D&gt;&lt;D xsi:type="xsd:double"&gt;98.475&lt;/D&gt;&lt;D xsi:type="xsd:double"&gt;98.93&lt;/D&gt;&lt;D xsi:type="xsd:double"&gt;99.56&lt;/D&gt;&lt;D xsi:type="xsd:double"&gt;98.89&lt;/D&gt;&lt;D xsi:type="xsd:double"&gt;98.36&lt;/D&gt;&lt;D xsi:type="xsd:double"&gt;99.15&lt;/D&gt;&lt;D xsi:type="xsd:double"&gt;99.04&lt;/D&gt;&lt;D xsi:type="xsd:double"&gt;96.84&lt;/D&gt;&lt;D xsi:type="xsd:double"&gt;94.62&lt;/D&gt;&lt;D xsi:type="xsd:double"&gt;94.34&lt;/D&gt;&lt;D xsi:type="xsd:double"&gt;94.54&lt;/D&gt;&lt;D xsi:type="xsd:double"&gt;95.32&lt;/D&gt;&lt;D xsi:type="xsd:double"&gt;95.87&lt;/D&gt;&lt;D xsi:type="xsd:double"&gt;94.61&lt;/D&gt;&lt;D xsi:type="xsd:double"&gt;92.615&lt;/D&gt;&lt;D xsi:type="xsd:double"&gt;92.99&lt;/D&gt;&lt;D xsi:type="xsd:double"&gt;91.56&lt;/D&gt;&lt;D xsi:type="xsd:double"&gt;92.63&lt;/D&gt;&lt;D xsi:type="xsd:double"&gt;91.48&lt;/D&gt;&lt;D xsi:type="xsd:double"&gt;91.3&lt;/D&gt;&lt;D xsi:type="xsd:double"&gt;89.8&lt;/D&gt;&lt;D xsi:type="xsd:double"&gt;90.87&lt;/D&gt;&lt;D xsi:type="xsd:double"&gt;90.55&lt;/D&gt;&lt;D xsi:type="xsd:double"&gt;90.59&lt;/D&gt;&lt;D xsi:type="xsd:double"&gt;90.04&lt;/D&gt;&lt;D xsi:type="xsd:double"&gt;89.62&lt;/D&gt;&lt;D xsi:type="xsd:double"&gt;88.52&lt;/D&gt;&lt;D xsi:type="xsd:double"&gt;89.78&lt;/D&gt;&lt;D xsi:type="xsd:double"&gt;87.79&lt;/D&gt;&lt;D xsi:type="xsd:double"&gt;87.99&lt;/D&gt;&lt;D xsi:type="xsd:double"&gt;87.5&lt;/D&gt;&lt;D xsi:type="xsd:double"&gt;89.56&lt;/D&gt;&lt;D xsi:type="xsd:double"&gt;88.06&lt;/D&gt;&lt;D xsi:type="xsd:double"&gt;86.78&lt;/D&gt;&lt;D xsi:type="xsd:double"&gt;87.63&lt;/D&gt;&lt;D xsi:type="xsd:double"&gt;87.04&lt;/D&gt;&lt;D xsi:type="xsd:double"&gt;85.1&lt;/D&gt;&lt;D xsi:type="xsd:double"&gt;83.58&lt;/D&gt;&lt;D xsi:type="xsd:double"&gt;83.99&lt;/D&gt;&lt;D xsi:type="xsd:double"&gt;84.37&lt;/D&gt;&lt;D xsi:type="xsd:double"&gt;84.73&lt;/D&gt;&lt;D xsi:type="xsd:double"&gt;83.45&lt;/D&gt;&lt;D xsi:type="xsd:double"&gt;85.35&lt;/D&gt;&lt;D xsi:type="xsd:double"&gt;84.24&lt;/D&gt;&lt;D xsi:type="xsd:double"&gt;83.24&lt;/D&gt;&lt;D xsi:type="xsd:double"&gt;82.77&lt;/D&gt;&lt;D xsi:type="xsd:double"&gt;84.5&lt;/D&gt;&lt;D xsi:type="xsd:double"&gt;85.25&lt;/D&gt;&lt;D xsi:type="xsd:double"&gt;86.2&lt;/D&gt;&lt;D xsi:type="xsd:double"&gt;87.61&lt;/D&gt;&lt;D xsi:type="xsd:double"&gt;86.07&lt;/D&gt;&lt;D xsi:type="xsd:double"&gt;88.47&lt;/D&gt;&lt;D xsi:type="xsd:double"&gt;86.66&lt;/D&gt;&lt;D xsi:type="xsd:double"&gt;86.78&lt;/D&gt;&lt;/FQL&gt;&lt;FQL&gt;&lt;Q&gt;IWM^FG_TOTAL_RETURNC(0,-3AM)&lt;/Q&gt;&lt;R&gt;1&lt;/R&gt;&lt;C&gt;1&lt;/C&gt;&lt;D xsi:type="xsd:double"&gt;13.353634&lt;/D&gt;&lt;/FQL&gt;&lt;FQL&gt;&lt;Q&gt;SPY^FG_TOTAL_RETURNC(0,-3AM)&lt;/Q&gt;&lt;R&gt;1&lt;/R&gt;&lt;C&gt;1&lt;/C&gt;&lt;D xsi:type="xsd:double"&gt;7.4644446&lt;/D&gt;&lt;/FQL&gt;&lt;FQL&gt;&lt;Q&gt;VGK^FG_TOTAL_RETURNC(0,-3AM)&lt;/Q&gt;&lt;R&gt;1&lt;/R&gt;&lt;C&gt;1&lt;/C&gt;&lt;D xsi:type="xsd:double"&gt;4.184389&lt;/D&gt;&lt;/FQL&gt;&lt;FQL&gt;&lt;Q&gt;EWQ^FG_TOTAL_RETURNC(0,-3AM)&lt;/Q&gt;&lt;R&gt;1&lt;/R&gt;&lt;C&gt;1&lt;/C&gt;&lt;D xsi:type="xsd:double"&gt;-2.6836157&lt;/D&gt;&lt;/FQL&gt;&lt;FQL&gt;&lt;Q&gt;EWL^FG_TOTAL_RETURNC(0,-3AM)&lt;/Q&gt;&lt;R&gt;1&lt;/R&gt;&lt;C&gt;1&lt;/C&gt;&lt;D xsi:type="xsd:double"&gt;11.254096&lt;/D&gt;&lt;/FQL&gt;&lt;FQL&gt;&lt;Q&gt;EWA^FG_TOTAL_RETURNC(0,-3AM)&lt;/Q&gt;&lt;R&gt;1&lt;/R&gt;&lt;C&gt;1&lt;/C&gt;&lt;D xsi:type="xsd:double"&gt;6.074691&lt;/D&gt;&lt;/FQL&gt;&lt;FQL&gt;&lt;Q&gt;EMXC^FMA_PCT_ABOVE_MAVG(200,0,,,,"PORTAGG")&lt;/Q&gt;&lt;R&gt;1&lt;/R&gt;&lt;C&gt;1&lt;/C&gt;&lt;D xsi:type="xsd:double"&gt;63.3928571428571&lt;/D&gt;&lt;/FQL&gt;&lt;FQL&gt;&lt;Q&gt;VGK^PERCENT_CHANGE(FMA_EPS(+1,0,,,,"PORTAGG","MEAN"),FMA_EPS(+1,-3AM,,,,"PORTAGG","MEAN"))&lt;/Q&gt;&lt;R&gt;1&lt;/R&gt;&lt;C&gt;1&lt;/C&gt;&lt;D xsi:type="xsd:double"&gt;0.288719961623054&lt;/D&gt;&lt;/FQL&gt;&lt;FQL&gt;&lt;Q&gt;SPY^PERCENT_CHANGE(FMA_EPS(+1,0,,,,"PORTAGG","MEAN"),FMA_EPS(+1,-1AM,,,,"PORTAGG","MEAN"))&lt;/Q&gt;&lt;R&gt;1&lt;/R&gt;&lt;C&gt;1&lt;/C&gt;&lt;D xsi:type="xsd:double"&gt;-0.128395106046291&lt;/D&gt;&lt;/FQL&gt;&lt;FQL&gt;&lt;Q&gt;EWG^FMA_PCT_ABOVE_MAVG(200,0,,,,"PORTAGG")&lt;/Q&gt;&lt;R&gt;1&lt;/R&gt;&lt;C&gt;1&lt;/C&gt;&lt;D xsi:type="xsd:double"&gt;58.6206896551724&lt;/D&gt;&lt;/FQL&gt;&lt;FQL&gt;&lt;Q&gt;QQQ^SIZE(FG_CONSTITUENTS)&lt;/Q&gt;&lt;R&gt;1&lt;/R&gt;&lt;C&gt;1&lt;/C&gt;&lt;D xsi:type="xsd:long"&gt;102&lt;/D&gt;&lt;/FQL&gt;&lt;FQL&gt;&lt;Q&gt;URTH^FMA_COS_DOWN("EPS","1M",+1,0,,,"PORTAGG","MEANR")&lt;/Q&gt;&lt;R&gt;1&lt;/R&gt;&lt;C&gt;1&lt;/C&gt;&lt;D xsi:type="xsd:double"&gt;623&lt;/D&gt;&lt;/FQL&gt;&lt;FQL&gt;&lt;Q&gt;EWN^FMA_COS_UP("EPS","1M",+1,0,,,"PORTAGG","MEANR")&lt;/Q&gt;&lt;R&gt;1&lt;/R&gt;&lt;C&gt;1&lt;/C&gt;&lt;D xsi:type="xsd:double"&gt;15&lt;/D&gt;&lt;/FQL&gt;&lt;FQL&gt;&lt;Q&gt;FXI^FG_PRICE(0,-200D)&lt;/Q&gt;&lt;R&gt;201&lt;/R&gt;&lt;C&gt;1&lt;/C&gt;&lt;D xsi:type="xsd:double"&gt;25.52&lt;/D&gt;&lt;D xsi:type="xsd:double"&gt;25.39&lt;/D&gt;&lt;D xsi:type="xsd:double"&gt;25.7&lt;/D&gt;&lt;D xsi:type="xsd:double"&gt;25.99&lt;/D&gt;&lt;D xsi:type="xsd:double"&gt;26.36&lt;/D&gt;&lt;D xsi:type="xsd:double"&gt;25.82&lt;/D&gt;&lt;D xsi:type="xsd:double"&gt;26.01&lt;/D&gt;&lt;D xsi:type="xsd:double"&gt;26.25&lt;/D&gt;&lt;D xsi:type="xsd:double"&gt;26.61&lt;/D&gt;&lt;D xsi:type="xsd:double"&gt;26.61&lt;/D&gt;&lt;D xsi:type="xsd:double"&gt;27.22&lt;/D&gt;&lt;D xsi:type="xsd:double"&gt;26.94&lt;/D&gt;&lt;D xsi:type="xsd:double"&gt;26.38&lt;/D&gt;&lt;D xsi:type="xsd:double"&gt;26.5&lt;/D&gt;&lt;D xsi:type="xsd:double"&gt;26.23&lt;/D&gt;&lt;D xsi:type="xsd:double"&gt;26.44&lt;/D&gt;&lt;D xsi:type="xsd:double"&gt;26.9&lt;/D&gt;&lt;D xsi:type="xsd:double"&gt;26.43&lt;/D&gt;&lt;D xsi:type="xsd:double"&gt;26.08&lt;/D&gt;&lt;D xsi:type="xsd:double"&gt;25.99&lt;/D&gt;&lt;D xsi:type="xsd:double"&gt;25.89&lt;/D&gt;&lt;D xsi:type="xsd:double"&gt;26.52&lt;/D&gt;&lt;D xsi:type="xsd:double"&gt;26.51&lt;/D&gt;&lt;D xsi:type="xsd:double"&gt;26.72&lt;/D&gt;&lt;D xsi:type="xsd:double"&gt;26.42&lt;/D&gt;&lt;D xsi:type="xsd:double"&gt;26.88&lt;/D&gt;&lt;D xsi:type="xsd:double"&gt;26.56&lt;/D&gt;&lt;D xsi:type="xsd:double"&gt;26.5&lt;/D&gt;&lt;D xsi:type="xsd:double"&gt;26.17&lt;/D&gt;&lt;D xsi:type="xsd:double"&gt;26.39&lt;/D&gt;&lt;D xsi:type="xsd:double"&gt;26.41&lt;/D&gt;&lt;D xsi:type="xsd:double"&gt;26.47&lt;/D&gt;&lt;D xsi:type="xsd:double"&gt;26.75&lt;/D&gt;&lt;D xsi:type="xsd:double"&gt;26.5&lt;/D&gt;&lt;D xsi:type="xsd:double"&gt;27.19&lt;/D&gt;&lt;D xsi:type="xsd:double"&gt;27.2&lt;/D&gt;&lt;D xsi:type="xsd:double"&gt;26.97&lt;/D&gt;&lt;D xsi:type="xsd:double"&gt;26.76&lt;/D&gt;&lt;D xsi:type="xsd:double"&gt;26.63&lt;/D&gt;&lt;D xsi:type="xsd:double"&gt;27.15&lt;/D&gt;&lt;D xsi:type="xsd:double"&gt;27.12&lt;/D&gt;&lt;D xsi:type="xsd:double"&gt;27.56&lt;/D&gt;&lt;D xsi:type="xsd:double"&gt;27.58&lt;/D&gt;&lt;D xsi:type="xsd:double"&gt;27.63&lt;/D&gt;&lt;D xsi:type="xsd:double"&gt;28.2&lt;/D&gt;&lt;D xsi:type="xsd:double"&gt;28.56&lt;/D&gt;&lt;D xsi:type="xsd:double"&gt;29.01&lt;/D&gt;&lt;D xsi:type="xsd:double"&gt;29.33&lt;/D&gt;&lt;D xsi:type="xsd:double"&gt;29.16&lt;/D&gt;&lt;D xsi:type="xsd:double"&gt;28.33&lt;/D&gt;&lt;D xsi:type="xsd:double"&gt;28.01&lt;/D&gt;&lt;D xsi:type="xsd:double"&gt;28.36&lt;/D&gt;&lt;D xsi:type="xsd:double"&gt;27.77&lt;/D&gt;&lt;D xsi:type="xsd:double"&gt;27.4&lt;/D&gt;&lt;D xsi:type="xsd:double"&gt;26.82&lt;/D&gt;&lt;D xsi:type="xsd:double"&gt;26.92&lt;/D&gt;&lt;D xsi:type="xsd:double"&gt;27.31&lt;/D&gt;&lt;D xsi:type="xsd:double"&gt;27.33&lt;/D&gt;&lt;D xsi:type="xsd:double"&gt;27.15&lt;/D&gt;&lt;D xsi:type="xsd:double"&gt;25.68&lt;/D&gt;&lt;D xsi:type="xsd:double"&gt;25.49&lt;/D&gt;&lt;D xsi:type="xsd:double"&gt;26.11&lt;/D&gt;&lt;D xsi:type="xsd:double"&gt;25.87&lt;/D&gt;&lt;D xsi:type="xsd:double"&gt;25.44&lt;/D&gt;&lt;D xsi:type="xsd:double"&gt;25.27&lt;/D&gt;&lt;D xsi:type="xsd:double"&gt;24.8&lt;/D&gt;&lt;D xsi:type="xsd:double"&gt;24.42&lt;/D&gt;&lt;D xsi:type="xsd:double"&gt;24.01&lt;/D&gt;&lt;D xsi:type="xsd:double"&gt;24.08&lt;/D&gt;&lt;D xsi:type="xsd:double"&gt;23.65&lt;/D&gt;&lt;D xsi:type="xsd:double"&gt;23.67&lt;/D&gt;&lt;D xsi:type="xsd:double"&gt;23.92&lt;/D&gt;&lt;D xsi:type="xsd:double"&gt;23.84&lt;/D&gt;&lt;D xsi:type="xsd:double"&gt;24.7&lt;/D&gt;&lt;D xsi:type="xsd:double"&gt;24.47&lt;/D&gt;&lt;D xsi:type="xsd:double"&gt;24.59&lt;/D&gt;&lt;D xsi:type="xsd:double"&gt;24.36&lt;/D&gt;&lt;D xsi:type="xsd:double"&gt;24.19&lt;/D&gt;&lt;D xsi:type="xsd:double"&gt;24.32&lt;/D&gt;&lt;D xsi:type="xsd:double"&gt;24.45&lt;/D&gt;&lt;D xsi:type="xsd:double"&gt;24.6&lt;/D&gt;&lt;D xsi:type="xsd:double"&gt;24.4&lt;/D&gt;&lt;D xsi:type="xsd:double"&gt;24.07&lt;/D&gt;&lt;D xsi:type="xsd:double"&gt;23.81&lt;/D&gt;&lt;D xsi:type="xsd:double"&gt;23.84&lt;/D&gt;&lt;D xsi:type="xsd:double"&gt;23.71&lt;/D&gt;&lt;D xsi:type="xsd:double"&gt;23.68&lt;/D&gt;&lt;D xsi:type="xsd:double"&gt;24.02&lt;/D&gt;&lt;D xsi:type="xsd:double"&gt;24.13&lt;/D&gt;&lt;D xsi:type="xsd:double"&gt;23.91&lt;/D&gt;&lt;D xsi:type="xsd:double"&gt;24.03&lt;/D&gt;&lt;D xsi:type="xsd:double"&gt;23.99&lt;/D&gt;&lt;D xsi:type="xsd:double"&gt;24.14&lt;/D&gt;&lt;D xsi:type="xsd:double"&gt;24.64&lt;/D&gt;&lt;D xsi:type="xsd:double"&gt;24.56&lt;/D&gt;&lt;D xsi:type="xsd:double"&gt;24.04&lt;/D&gt;&lt;D xsi:type="xsd:double"&gt;23.47&lt;/D&gt;&lt;D xsi:type="xsd:double"&gt;23.33&lt;/D&gt;&lt;D xsi:type="xsd:double"&gt;23.53&lt;/D&gt;&lt;D xsi:type="xsd:double"&gt;23.03&lt;/D&gt;&lt;D xsi:type="xsd:double"&gt;23.39&lt;/D&gt;&lt;D xsi:type="xsd:double"&gt;23.92&lt;/D&gt;&lt;D xsi:type="xsd:double"&gt;23.42&lt;/D&gt;&lt;D xsi:type="xsd:double"&gt;23.46&lt;/D&gt;&lt;D xsi:type="xsd:double"&gt;24.32&lt;/D&gt;&lt;D xsi:type="xsd:double"&gt;23.91&lt;/D&gt;&lt;D xsi:type="xsd:double"&gt;24.12&lt;/D&gt;&lt;D xsi:type="xsd:double"&gt;23.95&lt;/D&gt;&lt;D xsi:type="xsd:double"&gt;23.59&lt;/D&gt;&lt;D xsi:type="xsd:double"&gt;22.92&lt;/D&gt;&lt;D xsi:type="xsd:double"&gt;23.07&lt;/D&gt;&lt;D xsi:type="xsd:double"&gt;22.76&lt;/D&gt;&lt;D xsi:type="xsd:double"&gt;22.67&lt;/D&gt;&lt;D xsi:type="xsd:double"&gt;22.2&lt;/D&gt;&lt;D xsi:type="xsd:double"&gt;22.72&lt;/D&gt;&lt;D xsi:type="xsd:double"&gt;22.36&lt;/D&gt;&lt;D xsi:type="xsd:double"&gt;22.1&lt;/D&gt;&lt;D xsi:type="xsd:double"&gt;22.62&lt;/D&gt;&lt;D xsi:type="xsd:double"&gt;23.13&lt;/D&gt;&lt;D xsi:type="xsd:double"&gt;21.88&lt;/D&gt;&lt;D xsi:type="xsd:double"&gt;21.41&lt;/D&gt;&lt;D xsi:type="xsd:double"&gt;21.86&lt;/D&gt;&lt;D xsi:type="xsd:double"&gt;21.76&lt;/D&gt;&lt;D xsi:type="xsd:double"&gt;21.93&lt;/D&gt;&lt;D xsi:type="xsd:double"&gt;22.29&lt;/D&gt;&lt;D xsi:type="xsd:double"&gt;22.6&lt;/D&gt;&lt;D xsi:type="xsd:double"&gt;22.75&lt;/D&gt;&lt;D xsi:type="xsd:double"&gt;22.77&lt;/D&gt;&lt;D xsi:type="xsd:double"&gt;22.11&lt;/D&gt;&lt;D xsi:type="xsd:double"&gt;21.14&lt;/D&gt;&lt;D xsi:type="xsd:double"&gt;21.68&lt;/D&gt;&lt;D xsi:type="xsd:double"&gt;21.53&lt;/D&gt;&lt;D xsi:type="xsd:double"&gt;21.45&lt;/D&gt;&lt;D xsi:type="xsd:double"&gt;22.02&lt;/D&gt;&lt;D xsi:type="xsd:double"&gt;22.73&lt;/D&gt;&lt;D xsi:type="xsd:double"&gt;22.83&lt;/D&gt;&lt;D xsi:type="xsd:double"&gt;22.49&lt;/D&gt;&lt;D xsi:type="xsd:double"&gt;22.48&lt;/D&gt;&lt;D xsi:type="xsd:double"&gt;22.94&lt;/D&gt;&lt;D xsi:type="xsd:double"&gt;23.23&lt;/D&gt;&lt;D xsi:type="xsd:double"&gt;23.36&lt;/D&gt;&lt;D xsi:type="xsd:double"&gt;23.67&lt;/D&gt;&lt;D xsi:type="xsd:double"&gt;23.24&lt;/D&gt;&lt;D xsi:type="xsd:double"&gt;24.03&lt;/D&gt;&lt;D xsi:type="xsd:double"&gt;23.88&lt;/D&gt;&lt;D xsi:type="xsd:double"&gt;23.25&lt;/D&gt;&lt;D xsi:type="xsd:double"&gt;23.22&lt;/D&gt;&lt;D xsi:type="xsd:double"&gt;23.05&lt;/D&gt;&lt;D xsi:type="xsd:double"&gt;23.71&lt;/D&gt;&lt;D xsi:type="xsd:double"&gt;22.91&lt;/D&gt;&lt;D xsi:type="xsd:double"&gt;24.2&lt;/D&gt;&lt;D xsi:type="xsd:double"&gt;23.88&lt;/D&gt;&lt;D xsi:type="xsd:double"&gt;24.13&lt;/D&gt;&lt;D xsi:type="xsd:double"&gt;24.18&lt;/D&gt;&lt;D xsi:type="xsd:double"&gt;23.87&lt;/D&gt;&lt;D xsi:type="xsd:double"&gt;23.95&lt;/D&gt;&lt;D xsi:type="xsd:double"&gt;23.79&lt;/D&gt;&lt;D xsi:type="xsd:double"&gt;23.7&lt;/D&gt;&lt;D xsi:type="xsd:double"&gt;24.03&lt;/D&gt;&lt;D xsi:type="xsd:double"&gt;23.95&lt;/D&gt;&lt;D xsi:type="xsd:double"&gt;23.94&lt;/D&gt;&lt;D xsi:type="xsd:double"&gt;24.31&lt;/D&gt;&lt;D xsi:type="xsd:double"&gt;24.89&lt;/D&gt;&lt;D xsi:type="xsd:double"&gt;25.16&lt;/D&gt;&lt;D xsi:type="xsd:double"&gt;25.06&lt;/D&gt;&lt;D xsi:type="xsd:double"&gt;25.71&lt;/D&gt;&lt;D xsi:type="xsd:double"&gt;26.02&lt;/D&gt;&lt;D xsi:type="xsd:double"&gt;26.36&lt;/D&gt;&lt;D xsi:type="xsd:double"&gt;26.29&lt;/D&gt;&lt;D xsi:type="xsd:double"&gt;26.16&lt;/D&gt;&lt;D xsi:type="xsd:double"&gt;26.69&lt;/D&gt;&lt;D xsi:type="xsd:double"&gt;26.12&lt;/D&gt;&lt;D xsi:type="xsd:double"&gt;26.1&lt;/D&gt;&lt;D xsi:type="xsd:double"&gt;27.21&lt;/D&gt;&lt;D xsi:type="xsd:double"&gt;26.58&lt;/D&gt;&lt;D xsi:type="xsd:double"&gt;26.02&lt;/D&gt;&lt;D xsi:type="xsd:double"&gt;25.68&lt;/D&gt;&lt;D xsi:type="xsd:double"&gt;25.76&lt;/D&gt;&lt;D xsi:type="xsd:double"&gt;26.12&lt;/D&gt;&lt;D xsi:type="xsd:double"&gt;26.31&lt;/D&gt;&lt;D xsi:type="xsd:double"&gt;26.43&lt;/D&gt;&lt;D xsi:type="xsd:double"&gt;26.35&lt;/D&gt;&lt;D xsi:type="xsd:double"&gt;25.75&lt;/D&gt;&lt;D xsi:type="xsd:double"&gt;25.48&lt;/D&gt;&lt;D xsi:type="xsd:double"&gt;25.52&lt;/D&gt;&lt;D xsi:type="xsd:double"&gt;25.94&lt;/D&gt;&lt;D xsi:type="xsd:double"&gt;25.67&lt;/D&gt;&lt;D xsi:type="xsd:double"&gt;25.58&lt;/D&gt;&lt;D xsi:type="xsd:double"&gt;25.53&lt;/D&gt;&lt;D xsi:type="xsd:double"&gt;26.06&lt;/D&gt;&lt;D xsi:type="xsd:double"&gt;25.25&lt;/D&gt;&lt;D xsi:type="xsd:double"&gt;25.03&lt;/D&gt;&lt;D xsi:type="xsd:double"&gt;25.56&lt;/D&gt;&lt;D xsi:type="xsd:double"&gt;26.01&lt;/D&gt;&lt;D xsi:type="xsd:double"&gt;26.45&lt;/D&gt;&lt;D xsi:type="xsd:double"&gt;26.65&lt;/D&gt;&lt;D xsi:type="xsd:double"&gt;26.48&lt;/D&gt;&lt;D xsi:type="xsd:double"&gt;26.68&lt;/D&gt;&lt;D xsi:type="xsd:double"&gt;27.15&lt;/D&gt;&lt;D xsi:type="xsd:double"&gt;26.89&lt;/D&gt;&lt;D xsi:type="xsd:double"&gt;26.22&lt;/D&gt;&lt;/FQL&gt;&lt;FQL&gt;&lt;Q&gt;FXI^P_PRICE(0)/P_PRICE_LOW_PR(0,,,USD,,,"PRICE","INTRA","52W")-1&lt;/Q&gt;&lt;R&gt;1&lt;/R&gt;&lt;C&gt;1&lt;/C&gt;&lt;D xsi:type="xsd:double"&gt;0.22339404&lt;/D&gt;&lt;/FQL&gt;&lt;FQL&gt;&lt;Q&gt;INDA^P_PRICE(0)/P_PRICE_LOW_PR(0,,,USD,,,"PRICE","INTRA","52W")-1&lt;/Q&gt;&lt;R&gt;1&lt;/R&gt;&lt;C&gt;1&lt;/C&gt;&lt;D xsi:type="xsd:double"&gt;0.33161473&lt;/D&gt;&lt;/FQL&gt;&lt;FQL&gt;&lt;Q&gt;VWO^P_PRICE(0)/P_PRICE_LOW_PR(0,,,USD,,,"PRICE","INTRA","52W")-1&lt;/Q&gt;&lt;R&gt;1&lt;/R&gt;&lt;C&gt;1&lt;/C&gt;&lt;D xsi:type="xsd:double"&gt;0.16726732&lt;/D&gt;&lt;/FQL&gt;&lt;FQL&gt;&lt;Q&gt;EWN^P_PRICE(0)/P_PRICE_LOW_PR(0,,,USD,,,"PRICE","INTRA","52W")-1&lt;/Q&gt;&lt;R&gt;1&lt;/R&gt;&lt;C&gt;1&lt;/C&gt;&lt;D xsi:type="xsd:double"&gt;0.3438964&lt;/D&gt;&lt;/FQL&gt;&lt;FQL&gt;&lt;Q&gt;EWU^P_PRICE(0)/P_PRICE_LOW_PR(0,,,USD,,,"PRICE","INTRA","52W")-1&lt;/Q&gt;&lt;R&gt;1&lt;/R&gt;&lt;C&gt;1&lt;/C&gt;&lt;D xsi:type="xsd:double"&gt;0.19508958&lt;/D&gt;&lt;/FQL&gt;&lt;FQL&gt;&lt;Q&gt;EWC^P_PRICE(0)/P_PRICE_LOW_PR(0,,,USD,,,"PRICE","INTRA","52W")-1&lt;/Q&gt;&lt;R&gt;1&lt;/R&gt;&lt;C&gt;1&lt;/C&gt;&lt;D xsi:type="xsd:double"&gt;0.22031212&lt;/D&gt;&lt;/FQL&gt;&lt;FQL&gt;&lt;Q&gt;IWM^PERCENT_CHANGE(FMA_EPS(+1,0,,,,"PORTAGG","MEAN"),FMA_EPS(+1,-1AM,,,,"PORTAGG","MEAN"))&lt;/Q&gt;&lt;R&gt;1&lt;/R&gt;&lt;C&gt;1&lt;/C&gt;&lt;D xsi:type="xsd:double"&gt;-8.63531056973903&lt;/D&gt;&lt;/FQL&gt;&lt;FQL&gt;&lt;Q&gt;EWJ^FMA_PCT_ABOVE_MAVG(200,0,,,,"PORTAGG")&lt;/Q&gt;&lt;R&gt;1&lt;/R&gt;&lt;C&gt;1&lt;/C&gt;&lt;D xsi:type="xsd:double"&gt;62.2549019607843&lt;/D&gt;&lt;/FQL&gt;&lt;FQL&gt;&lt;Q&gt;EWN^PERCENT_CHANGE(FMA_EPS(+1,0,,,,"PORTAGG","MEAN"),FMA_EPS(+1,-3AM,,,,"PORTAGG","MEAN"))&lt;/Q&gt;&lt;R&gt;1&lt;/R&gt;&lt;C&gt;1&lt;/C&gt;&lt;D xsi:type="xsd:double"&gt;-2.73467406061201&lt;/D&gt;&lt;/FQL&gt;&lt;FQL&gt;&lt;Q&gt;EWL^PERCENT_CHANGE(FMA_EPS(+1,0,,,,"PORTAGG","MEAN"),FMA_EPS(+1,-1AM,,,,"PORTAGG","MEAN"))&lt;/Q&gt;&lt;R&gt;1&lt;/R&gt;&lt;C&gt;1&lt;/C&gt;&lt;D xsi:type="xsd:double"&gt;0.76299559821086&lt;/D&gt;&lt;/FQL&gt;&lt;FQL&gt;&lt;Q&gt;EWJ^FMA_COS_UP("EPS","1M",+1,0,,,"PORTAGG","MEANR")&lt;/Q&gt;&lt;R&gt;1&lt;/R&gt;&lt;C&gt;1&lt;/C&gt;&lt;D xsi:type="xsd:double"&gt;104&lt;/D&gt;&lt;/FQL&gt;&lt;FQL&gt;&lt;Q&gt;URTH^FG_PRICE(0,-200D)&lt;/Q&gt;&lt;R&gt;201&lt;/R&gt;&lt;C&gt;1&lt;/C&gt;&lt;D xsi:type="xsd:double"&gt;148.13&lt;/D&gt;&lt;D xsi:type="xsd:double"&gt;146.5&lt;/D&gt;&lt;D xsi:type="xsd:double"&gt;147.23&lt;/D&gt;&lt;D xsi:type="xsd:double"&gt;150.29&lt;/D&gt;&lt;D xsi:type="xsd:double"&gt;150.77&lt;/D&gt;&lt;D xsi:type="xsd:double"&gt;149.18&lt;/D&gt;&lt;D xsi:type="xsd:double"&gt;150.24&lt;/D&gt;&lt;D xsi:type="xsd:double"&gt;151.6&lt;/D&gt;&lt;D xsi:type="xsd:double"&gt;153.3&lt;/D&gt;&lt;D xsi:type="xsd:double"&gt;152.41&lt;/D&gt;&lt;D xsi:type="xsd:double"&gt;152.4&lt;/D&gt;&lt;D xsi:type="xsd:double"&gt;151.27&lt;/D&gt;&lt;D xsi:type="xsd:double"&gt;152.02&lt;/D&gt;&lt;D xsi:type="xsd:double"&gt;150.43&lt;/D&gt;&lt;D xsi:type="xsd:double"&gt;150.34&lt;/D&gt;&lt;D xsi:type="xsd:double"&gt;150.5&lt;/D&gt;&lt;D xsi:type="xsd:double"&gt;149.59&lt;/D&gt;&lt;D xsi:type="xsd:double"&gt;148.58&lt;/D&gt;&lt;D xsi:type="xsd:double"&gt;147.81&lt;/D&gt;&lt;D xsi:type="xsd:double"&gt;147.49&lt;/D&gt;&lt;D xsi:type="xsd:double"&gt;147.74&lt;/D&gt;&lt;D xsi:type="xsd:double"&gt;147.7&lt;/D&gt;&lt;D xsi:type="xsd:double"&gt;147.78&lt;/D&gt;&lt;D xsi:type="xsd:double"&gt;147.27&lt;/D&gt;&lt;D xsi:type="xsd:double"&gt;147.23&lt;/D&gt;&lt;D xsi:type="xsd:double"&gt;147.72&lt;/D&gt;&lt;D xsi:type="xsd:double"&gt;147.96&lt;/D&gt;&lt;D xsi:type="xsd:double"&gt;147.47&lt;/D&gt;&lt;D xsi:type="xsd:double"&gt;146.58&lt;/D&gt;&lt;D xsi:type="xsd:double"&gt;147.01&lt;/D&gt;&lt;D xsi:type="xsd:double"&gt;147.33&lt;/D&gt;&lt;D xsi:type="xsd:double"&gt;145.97&lt;/D&gt;&lt;D xsi:type="xsd:double"&gt;147.36&lt;/D&gt;&lt;D xsi:type="xsd:double"&gt;147.03&lt;/D&gt;&lt;D xsi:type="xsd:double"&gt;147.65&lt;/D&gt;&lt;D xsi:type="xsd:double"&gt;147.56&lt;/D&gt;&lt;D xsi:type="xsd:double"&gt;146.03&lt;/D&gt;&lt;D xsi:type="xsd:double"&gt;146.06&lt;/D&gt;&lt;D xsi:type="xsd:double"&gt;145.71&lt;/D&gt;&lt;D xsi:type="xsd:double"&gt;144.63&lt;/D&gt;&lt;D xsi:type="xsd:double"&gt;144.82&lt;/D&gt;&lt;D xsi:type="xsd:double"&gt;146.34&lt;/D&gt;&lt;D xsi:type="xsd:double"&gt;146.31&lt;/D&gt;&lt;D xsi:type="xsd:double"&gt;145.3&lt;/D&gt;&lt;D xsi:type="xsd:double"&gt;146.31&lt;/D&gt;&lt;D xsi:type="xsd:double"&gt;147.02&lt;/D&gt;&lt;D xsi:type="xsd:double"&gt;146.78&lt;/D&gt;&lt;D xsi:type="xsd:double"&gt;146.73&lt;/D&gt;&lt;D xsi:type="xsd:double"&gt;146.44&lt;/D&gt;&lt;D xsi:type="xsd:double"&gt;146.8&lt;/D&gt;&lt;D xsi:type="xsd:double"&gt;145.14&lt;/D&gt;&lt;D xsi:type="xsd:double"&gt;144.29&lt;/D&gt;&lt;D xsi:type="xsd:double"&gt;144.38&lt;/D&gt;&lt;D xsi:type="xsd:double"&gt;144.14&lt;/D&gt;&lt;D xsi:type="xsd:double"&gt;143.31&lt;/D&gt;&lt;D xsi:type="xsd:double"&gt;143.32&lt;/D&gt;&lt;D xsi:type="xsd:double"&gt;143.17&lt;/D&gt;&lt;D xsi:type="xsd:double"&gt;141.78&lt;/D&gt;&lt;D xsi:type="xsd:double"&gt;140.08&lt;/D&gt;&lt;D xsi:type="xsd:double"&gt;138.6&lt;/D&gt;&lt;D xsi:type="xsd:double"&gt;139.17&lt;/D&gt;&lt;D xsi:type="xsd:double"&gt;141.23&lt;/D&gt;&lt;D xsi:type="xsd:double"&gt;140.8&lt;/D&gt;&lt;D xsi:type="xsd:double"&gt;139.45&lt;/D&gt;&lt;D xsi:type="xsd:double"&gt;139.95&lt;/D&gt;&lt;D xsi:type="xsd:double"&gt;140.06&lt;/D&gt;&lt;D xsi:type="xsd:double"&gt;138.51&lt;/D&gt;&lt;D xsi:type="xsd:double"&gt;137.31&lt;/D&gt;&lt;D xsi:type="xsd:double"&gt;138.11&lt;/D&gt;&lt;D xsi:type="xsd:double"&gt;138.52&lt;/D&gt;&lt;D xsi:type="xsd:double"&gt;138.98&lt;/D&gt;&lt;D xsi:type="xsd:double"&gt;139.55&lt;/D&gt;&lt;D xsi:type="xsd:double"&gt;140.99&lt;/D&gt;&lt;D xsi:type="xsd:double"&gt;143.22&lt;/D&gt;&lt;D xsi:type="xsd:double"&gt;142.24&lt;/D&gt;&lt;D xsi:type="xsd:double"&gt;143.83&lt;/D&gt;&lt;D xsi:type="xsd:double"&gt;143.72&lt;/D&gt;&lt;D xsi:type="xsd:double"&gt;143.56&lt;/D&gt;&lt;D xsi:type="xsd:double"&gt;142.3&lt;/D&gt;&lt;D xsi:type="xsd:double"&gt;143.93&lt;/D&gt;&lt;D xsi:type="xsd:double"&gt;143.5&lt;/D&gt;&lt;D xsi:type="xsd:double"&gt;144.5&lt;/D&gt;&lt;D xsi:type="xsd:double"&gt;144.91&lt;/D&gt;&lt;D xsi:type="xsd:double"&gt;144.91&lt;/D&gt;&lt;D xsi:type="xsd:double"&gt;143.81&lt;/D&gt;&lt;D xsi:type="xsd:double"&gt;144&lt;/D&gt;&lt;D xsi:type="xsd:double"&gt;144.4&lt;/D&gt;&lt;D xsi:type="xsd:double"&gt;144.67&lt;/D&gt;&lt;D xsi:type="xsd:double"&gt;144.21&lt;/D&gt;&lt;D xsi:type="xsd:double"&gt;142.87&lt;/D&gt;&lt;D xsi:type="xsd:double"&gt;142.17&lt;/D&gt;&lt;D xsi:type="xsd:double"&gt;141.74&lt;/D&gt;&lt;D xsi:type="xsd:double"&gt;142.4&lt;/D&gt;&lt;D xsi:type="xsd:double"&gt;143.03&lt;/D&gt;&lt;D xsi:type="xsd:double"&gt;143.16&lt;/D&gt;&lt;D xsi:type="xsd:double"&gt;141.67&lt;/D&gt;&lt;D xsi:type="xsd:double"&gt;142.08&lt;/D&gt;&lt;D xsi:type="xsd:double"&gt;142.84&lt;/D&gt;&lt;D xsi:type="xsd:double"&gt;141.32&lt;/D&gt;&lt;D xsi:type="xsd:double"&gt;140.27&lt;/D&gt;&lt;D xsi:type="xsd:double"&gt;141.37&lt;/D&gt;&lt;D xsi:type="xsd:double"&gt;141.54&lt;/D&gt;&lt;D xsi:type="xsd:double"&gt;140.28&lt;/D&gt;&lt;D xsi:type="xsd:double"&gt;139.71&lt;/D&gt;&lt;D xsi:type="xsd:double"&gt;140.15&lt;/D&gt;&lt;D xsi:type="xsd:double"&gt;139.79&lt;/D&gt;&lt;D xsi:type="xsd:double"&gt;140.33&lt;/D&gt;&lt;D xsi:type="xsd:double"&gt;140.18&lt;/D&gt;&lt;D xsi:type="xsd:double"&gt;137.7&lt;/D&gt;&lt;D xsi:type="xsd:double"&gt;137.61&lt;/D&gt;&lt;D xsi:type="xsd:double"&gt;138.04&lt;/D&gt;&lt;D xsi:type="xsd:double"&gt;138.55&lt;/D&gt;&lt;D xsi:type="xsd:double"&gt;137.38&lt;/D&gt;&lt;D xsi:type="xsd:double"&gt;135.93&lt;/D&gt;&lt;D xsi:ty</t>
        </r>
      </text>
    </comment>
    <comment ref="A2" authorId="0" shapeId="0" xr:uid="{E287C7D6-70ED-4A16-8C94-2067898B577B}">
      <text>
        <r>
          <rPr>
            <b/>
            <sz val="9"/>
            <color indexed="81"/>
            <rFont val="Tahoma"/>
            <charset val="1"/>
          </rPr>
          <t>pe="xsd:double"&gt;138&lt;/D&gt;&lt;D xsi:type="xsd:double"&gt;137.9&lt;/D&gt;&lt;D xsi:type="xsd:double"&gt;137.23&lt;/D&gt;&lt;D xsi:type="xsd:double"&gt;137.15&lt;/D&gt;&lt;D xsi:type="xsd:double"&gt;136.37&lt;/D&gt;&lt;D xsi:type="xsd:double"&gt;135.84&lt;/D&gt;&lt;D xsi:type="xsd:double"&gt;136.45&lt;/D&gt;&lt;D xsi:type="xsd:double"&gt;135.75&lt;/D&gt;&lt;D xsi:type="xsd:double"&gt;134.2&lt;/D&gt;&lt;D xsi:type="xsd:double"&gt;135.99&lt;/D&gt;&lt;D xsi:type="xsd:double"&gt;136.11&lt;/D&gt;&lt;D xsi:type="xsd:double"&gt;135.07&lt;/D&gt;&lt;D xsi:type="xsd:double"&gt;134.95&lt;/D&gt;&lt;D xsi:type="xsd:double"&gt;134.42&lt;/D&gt;&lt;D xsi:type="xsd:double"&gt;134.11&lt;/D&gt;&lt;D xsi:type="xsd:double"&gt;133.94&lt;/D&gt;&lt;D xsi:type="xsd:double"&gt;133.63&lt;/D&gt;&lt;D xsi:type="xsd:double"&gt;132.25&lt;/D&gt;&lt;D xsi:type="xsd:double"&gt;131.15&lt;/D&gt;&lt;D xsi:type="xsd:double"&gt;132.01&lt;/D&gt;&lt;D xsi:type="xsd:double"&gt;132.93&lt;/D&gt;&lt;D xsi:type="xsd:double"&gt;132.82&lt;/D&gt;&lt;D xsi:type="xsd:double"&gt;132.83&lt;/D&gt;&lt;D xsi:type="xsd:double"&gt;132.06&lt;/D&gt;&lt;D xsi:type="xsd:double"&gt;132.59&lt;/D&gt;&lt;D xsi:type="xsd:double"&gt;130.86&lt;/D&gt;&lt;D xsi:type="xsd:double"&gt;130.7&lt;/D&gt;&lt;D xsi:type="xsd:double"&gt;130.85&lt;/D&gt;&lt;D xsi:type="xsd:double"&gt;131.91&lt;/D&gt;&lt;D xsi:type="xsd:double"&gt;133.02&lt;/D&gt;&lt;D xsi:type="xsd:double"&gt;133.28&lt;/D&gt;&lt;D xsi:type="xsd:double"&gt;133.36&lt;/D&gt;&lt;D xsi:type="xsd:double"&gt;132.98&lt;/D&gt;&lt;D xsi:type="xsd:double"&gt;132.43&lt;/D&gt;&lt;D xsi:type="xsd:double"&gt;132.16&lt;/D&gt;&lt;D xsi:type="xsd:double"&gt;130.63&lt;/D&gt;&lt;D xsi:type="xsd:double"&gt;133.48&lt;/D&gt;&lt;D xsi:type="xsd:double"&gt;132.56&lt;/D&gt;&lt;D xsi:type="xsd:double"&gt;131.95&lt;/D&gt;&lt;D xsi:type="xsd:double"&gt;132.36&lt;/D&gt;&lt;D xsi:type="xsd:double"&gt;131.67&lt;/D&gt;&lt;D xsi:type="xsd:double"&gt;129.75&lt;/D&gt;&lt;D xsi:type="xsd:double"&gt;129.41&lt;/D&gt;&lt;D xsi:type="xsd:double"&gt;128.92&lt;/D&gt;&lt;D xsi:type="xsd:double"&gt;128.46&lt;/D&gt;&lt;D xsi:type="xsd:double"&gt;127.54&lt;/D&gt;&lt;D xsi:type="xsd:double"&gt;127.84&lt;/D&gt;&lt;D xsi:type="xsd:double"&gt;128.04&lt;/D&gt;&lt;D xsi:type="xsd:double"&gt;128.76&lt;/D&gt;&lt;D xsi:type="xsd:double"&gt;127.78&lt;/D&gt;&lt;D xsi:type="xsd:double"&gt;127.43&lt;/D&gt;&lt;D xsi:type="xsd:double"&gt;127.41&lt;/D&gt;&lt;D xsi:type="xsd:double"&gt;127.31&lt;/D&gt;&lt;D xsi:type="xsd:double"&gt;127.52&lt;/D&gt;&lt;D xsi:type="xsd:double"&gt;127.23&lt;/D&gt;&lt;D xsi:type="xsd:double"&gt;126.8&lt;/D&gt;&lt;D xsi:type="xsd:double"&gt;127.07&lt;/D&gt;&lt;D xsi:type="xsd:double"&gt;126.3&lt;/D&gt;&lt;D xsi:type="xsd:double"&gt;125.66&lt;/D&gt;&lt;D xsi:type="xsd:double"&gt;125.66&lt;/D&gt;&lt;D xsi:type="xsd:double"&gt;125.46&lt;/D&gt;&lt;D xsi:type="xsd:double"&gt;122.88&lt;/D&gt;&lt;D xsi:type="xsd:double"&gt;122.84&lt;/D&gt;&lt;D xsi:type="xsd:double"&gt;121.31&lt;/D&gt;&lt;D xsi:type="xsd:double"&gt;122.02&lt;/D&gt;&lt;D xsi:type="xsd:double"&gt;121.99&lt;/D&gt;&lt;D xsi:type="xsd:double"&gt;121.89&lt;/D&gt;&lt;D xsi:type="xsd:double"&gt;121.93&lt;/D&gt;&lt;D xsi:type="xsd:double"&gt;120.72&lt;/D&gt;&lt;D xsi:type="xsd:double"&gt;118.32&lt;/D&gt;&lt;D xsi:type="xsd:double"&gt;117.11&lt;/D&gt;&lt;D xsi:type="xsd:double"&gt;116.43&lt;/D&gt;&lt;D xsi:type="xsd:double"&gt;115.01&lt;/D&gt;&lt;D xsi:type="xsd:double"&gt;115.58&lt;/D&gt;&lt;D xsi:type="xsd:double"&gt;116.77&lt;/D&gt;&lt;D xsi:type="xsd:double"&gt;118.3&lt;/D&gt;&lt;D xsi:type="xsd:double"&gt;117.5&lt;/D&gt;&lt;D xsi:type="xsd:double"&gt;117.65&lt;/D&gt;&lt;D xsi:type="xsd:double"&gt;118.98&lt;/D&gt;&lt;D xsi:type="xsd:double"&gt;120.06&lt;/D&gt;&lt;D xsi:type="xsd:double"&gt;121.84&lt;/D&gt;&lt;D xsi:type="xsd:double"&gt;121.85&lt;/D&gt;&lt;D xsi:type="xsd:double"&gt;120.68&lt;/D&gt;&lt;D xsi:type="xsd:double"&gt;121.38&lt;/D&gt;&lt;D xsi:type="xsd:double"&gt;122.32&lt;/D&gt;&lt;D xsi:type="xsd:double"&gt;121.78&lt;/D&gt;&lt;D xsi:type="xsd:double"&gt;120.79&lt;/D&gt;&lt;/FQL&gt;&lt;FQL&gt;&lt;Q&gt;QQQ^P_PRICE(0)/P_PRICE_LOW_PR(0,,,USD,,,"PRICE","INTRA","52W")-1&lt;/Q&gt;&lt;R&gt;1&lt;/R&gt;&lt;C&gt;1&lt;/C&gt;&lt;D xsi:type="xsd:double"&gt;0.3523295&lt;/D&gt;&lt;/FQL&gt;&lt;FQL&gt;&lt;Q&gt;EWJ^FG_TOTAL_RETURNC(0,-3AM)&lt;/Q&gt;&lt;R&gt;1&lt;/R&gt;&lt;C&gt;1&lt;/C&gt;&lt;D xsi:type="xsd:double"&gt;3.0885696&lt;/D&gt;&lt;/FQL&gt;&lt;FQL&gt;&lt;Q&gt;EWD^FG_TOTAL_RETURNC(0,-6AM)&lt;/Q&gt;&lt;R&gt;1&lt;/R&gt;&lt;C&gt;1&lt;/C&gt;&lt;D xsi:type="xsd:double"&gt;8.098328&lt;/D&gt;&lt;/FQL&gt;&lt;FQL&gt;&lt;Q&gt;EWU^FG_TOTAL_RETURNC(0,-6AM)&lt;/Q&gt;&lt;R&gt;1&lt;/R&gt;&lt;C&gt;1&lt;/C&gt;&lt;D xsi:type="xsd:double"&gt;12.516535&lt;/D&gt;&lt;/FQL&gt;&lt;FQL&gt;&lt;Q&gt;EWA^P_PRICE(0)/P_PRICE_HIGH_PR(0,,,USD,,,"PRICE","INTRA","52W")&lt;/Q&gt;&lt;R&gt;1&lt;/R&gt;&lt;C&gt;1&lt;/C&gt;&lt;D xsi:type="xsd:double"&gt;0.95770276&lt;/D&gt;&lt;/FQL&gt;&lt;FQL&gt;&lt;Q&gt;INDA^FMA_PCT_ABOVE_MAVG(200,0,,,,"PORTAGG")&lt;/Q&gt;&lt;R&gt;1&lt;/R&gt;&lt;C&gt;1&lt;/C&gt;&lt;D xsi:type="xsd:double"&gt;90.4761904761905&lt;/D&gt;&lt;/FQL&gt;&lt;FQL&gt;&lt;Q&gt;EWD^PERCENT_CHANGE(FMA_EPS(+1,0,,,,"PORTAGG","MEAN"),FMA_EPS(+1,-3AM,,,,"PORTAGG","MEAN"))&lt;/Q&gt;&lt;R&gt;1&lt;/R&gt;&lt;C&gt;1&lt;/C&gt;&lt;D xsi:type="xsd:double"&gt;-2.02617447133987&lt;/D&gt;&lt;/FQL&gt;&lt;FQL&gt;&lt;Q&gt;FXI^FMA_COS_UP("EPS","1M",+1,0,,,"PORTAGG","MEANR")&lt;/Q&gt;&lt;R&gt;1&lt;/R&gt;&lt;C&gt;1&lt;/C&gt;&lt;D xsi:type="xsd:double"&gt;26&lt;/D&gt;&lt;/FQL&gt;&lt;FQL&gt;&lt;Q&gt;EWQ^FMA_COS_UP("EPS","1M",+1,0,,,"PORTAGG","MEANR")&lt;/Q&gt;&lt;R&gt;1&lt;/R&gt;&lt;C&gt;1&lt;/C&gt;&lt;D xsi:type="xsd:double"&gt;18&lt;/D&gt;&lt;/FQL&gt;&lt;FQL&gt;&lt;Q&gt;EWG^FMA_COS_UP("EPS","1M",+1,0,,,"PORTAGG","MEANR")&lt;/Q&gt;&lt;R&gt;1&lt;/R&gt;&lt;C&gt;1&lt;/C&gt;&lt;D xsi:type="xsd:double"&gt;20&lt;/D&gt;&lt;/FQL&gt;&lt;FQL&gt;&lt;Q&gt;EWJ^FG_TOTAL_RETURNC(0,-6AM)&lt;/Q&gt;&lt;R&gt;1&lt;/R&gt;&lt;C&gt;1&lt;/C&gt;&lt;D xsi:type="xsd:double"&gt;5.8317184&lt;/D&gt;&lt;/FQL&gt;&lt;FQL&gt;&lt;Q&gt;USO^FG_TOTAL_RETURNC(0,-1AM)&lt;/Q&gt;&lt;R&gt;1&lt;/R&gt;&lt;C&gt;1&lt;/C&gt;&lt;D xsi:type="xsd:double"&gt;-3.3523798&lt;/D&gt;&lt;/FQL&gt;&lt;FQL&gt;&lt;Q&gt;GLD^FG_COMPANY_NAME&lt;/Q&gt;&lt;R&gt;1&lt;/R&gt;&lt;C&gt;1&lt;/C&gt;&lt;D xsi:type="xsd:string"&gt;SPDR Gold Shares&lt;/D&gt;&lt;/FQL&gt;&lt;FQL&gt;&lt;Q&gt;EWL^FMA_PCT_ABOVE_MAVG(200,0,,,,"PORTAGG")&lt;/Q&gt;&lt;R&gt;1&lt;/R&gt;&lt;C&gt;1&lt;/C&gt;&lt;D xsi:type="xsd:double"&gt;76.0869565217391&lt;/D&gt;&lt;/FQL&gt;&lt;FQL&gt;&lt;Q&gt;URTH^FMA_COS_UP("EPS","1M",+1,0,,,"PORTAGG","MEANR")&lt;/Q&gt;&lt;R&gt;1&lt;/R&gt;&lt;C&gt;1&lt;/C&gt;&lt;D xsi:type="xsd:double"&gt;543&lt;/D&gt;&lt;/FQL&gt;&lt;FQL&gt;&lt;Q&gt;EWJ^FG_TOTAL_RETURNC(-1AM,-4AM)&lt;/Q&gt;&lt;R&gt;1&lt;/R&gt;&lt;C&gt;1&lt;/C&gt;&lt;D xsi:type="xsd:double"&gt;-4.890549&lt;/D&gt;&lt;/FQL&gt;&lt;FQL&gt;&lt;Q&gt;DBC^P_PRICE(-1AM)/P_PRICE_HIGH_PR(-1AM,,,,,,"PRICE","INTRA","52W")&lt;/Q&gt;&lt;R&gt;1&lt;/R&gt;&lt;C&gt;1&lt;/C&gt;&lt;D xsi:type="xsd:double"&gt;0.9055794&lt;/D&gt;&lt;/FQL&gt;&lt;FQL&gt;&lt;Q&gt;SPY^FG_TOTAL_RETURNC(-1AM,-4AM)&lt;/Q&gt;&lt;R&gt;1&lt;/R&gt;&lt;C&gt;1&lt;/C&gt;&lt;D xsi:type="xsd:double"&gt;5.486071&lt;/D&gt;&lt;/FQL&gt;&lt;FQL&gt;&lt;Q&gt;URTH^FMA_DIV_YLD(NTMA,NOW,NOW,M,"PORTAGG","MEANR")&lt;/Q&gt;&lt;R&gt;1&lt;/R&gt;&lt;C&gt;1&lt;/C&gt;&lt;D xsi:type="xsd:double"&gt;1.9148430691673&lt;/D&gt;&lt;/FQL&gt;&lt;FQL&gt;&lt;Q&gt;SPY^FG_PE(0)&lt;/Q&gt;&lt;R&gt;1&lt;/R&gt;&lt;C&gt;1&lt;/C&gt;&lt;D xsi:type="xsd:double"&gt;25.0346777921779&lt;/D&gt;&lt;/FQL&gt;&lt;FQL&gt;&lt;Q&gt;EWJ^FG_PRICE(0,-200D)&lt;/Q&gt;&lt;R&gt;201&lt;/R&gt;&lt;C&gt;1&lt;/C&gt;&lt;D xsi:type="xsd:double"&gt;68.69&lt;/D&gt;&lt;D xsi:type="xsd:double"&gt;67.78&lt;/D&gt;&lt;D xsi:type="xsd:double"&gt;68.86&lt;/D&gt;&lt;D xsi:type="xsd:double"&gt;70.24&lt;/D&gt;&lt;D xsi:type="xsd:double"&gt;70.3&lt;/D&gt;&lt;D xsi:type="xsd:double"&gt;69.96&lt;/D&gt;&lt;D xsi:type="xsd:double"&gt;70.4&lt;/D&gt;&lt;D xsi:type="xsd:double"&gt;71.48&lt;/D&gt;&lt;D xsi:type="xsd:double"&gt;71.9&lt;/D&gt;&lt;D xsi:type="xsd:double"&gt;71.06&lt;/D&gt;&lt;D xsi:type="xsd:double"&gt;71.4&lt;/D&gt;&lt;D xsi:type="xsd:double"&gt;71.01&lt;/D&gt;&lt;D xsi:type="xsd:double"&gt;71.28&lt;/D&gt;&lt;D xsi:type="xsd:double"&gt;70&lt;/D&gt;&lt;D xsi:type="xsd:double"&gt;69.62&lt;/D&gt;&lt;D xsi:type="xsd:double"&gt;69.96&lt;/D&gt;&lt;D xsi:type="xsd:double"&gt;69.49&lt;/D&gt;&lt;D xsi:type="xsd:double"&gt;68.86&lt;/D&gt;&lt;D xsi:type="xsd:double"&gt;67.79&lt;/D&gt;&lt;D xsi:type="xsd:double"&gt;68.24&lt;/D&gt;&lt;D xsi:type="xsd:double"&gt;67.65&lt;/D&gt;&lt;D xsi:type="xsd:double"&gt;67.31&lt;/D&gt;&lt;D xsi:type="xsd:double"&gt;67.56&lt;/D&gt;&lt;D xsi:type="xsd:double"&gt;66.51&lt;/D&gt;&lt;D xsi:type="xsd:double"&gt;66.01&lt;/D&gt;&lt;D xsi:type="xsd:double"&gt;66.48&lt;/D&gt;&lt;D xsi:type="xsd:double"&gt;66.66&lt;/D&gt;&lt;D xsi:type="xsd:double"&gt;66.61&lt;/D&gt;&lt;D xsi:type="xsd:double"&gt;67.13&lt;/D&gt;&lt;D xsi:type="xsd:double"&gt;67.15&lt;/D&gt;&lt;D xsi:type="xsd:double"&gt;68.39&lt;/D&gt;&lt;D xsi:type="xsd:double"&gt;68.06&lt;/D&gt;&lt;D xsi:type="xsd:double"&gt;69.34&lt;/D&gt;&lt;D xsi:type="xsd:double"&gt;68.73&lt;/D&gt;&lt;D xsi:type="xsd:double"&gt;69.24&lt;/D&gt;&lt;D xsi:type="xsd:double"&gt;69.28&lt;/D&gt;&lt;D xsi:type="xsd:double"&gt;69.48&lt;/D&gt;&lt;D xsi:type="xsd:double"&gt;69.4&lt;/D&gt;&lt;D xsi:type="xsd:double"&gt;68.97&lt;/D&gt;&lt;D xsi:type="xsd:double"&gt;68.06&lt;/D&gt;&lt;D xsi:type="xsd:double"&gt;67.47&lt;/D&gt;&lt;D xsi:type="xsd:double"&gt;68.85&lt;/D&gt;&lt;D xsi:type="xsd:double"&gt;68.46&lt;/D&gt;&lt;D xsi:type="xsd:double"&gt;67.72&lt;/D&gt;&lt;D xsi:type="xsd:double"&gt;68.02&lt;/D&gt;&lt;D xsi:type="xsd:double"&gt;68.82&lt;/D&gt;&lt;D xsi:type="xsd:double"&gt;69.22&lt;/D&gt;&lt;D xsi:type="xsd:double"&gt;68.73&lt;/D&gt;&lt;D xsi:type="xsd:double"&gt;68.27&lt;/D&gt;&lt;D xsi:type="xsd:double"&gt;68.97&lt;/D&gt;&lt;D xsi:type="xsd:double"&gt;68.21&lt;/D&gt;&lt;D xsi:type="xsd:double"&gt;67.68&lt;/D&gt;&lt;D xsi:type="xsd:double"&gt;67.95&lt;/D&gt;&lt;D xsi:type="xsd:double"&gt;68.34&lt;/D&gt;&lt;D xsi:type="xsd:double"&gt;68.04&lt;/D&gt;&lt;D xsi:type="xsd:double"&gt;68.91&lt;/D&gt;&lt;D xsi:type="xsd:double"&gt;69.67&lt;/D&gt;&lt;D xsi:type="xsd:double"&gt;69.26&lt;/D&gt;&lt;D xsi:type="xsd:double"&gt;68.47&lt;/D&gt;&lt;D xsi:type="xsd:double"&gt;67.11&lt;/D&gt;&lt;D xsi:type="xsd:double"&gt;67.27&lt;/D&gt;&lt;D xsi:type="xsd:double"&gt;67.74&lt;/D&gt;&lt;D xsi:type="xsd:double"&gt;67.13&lt;/D&gt;&lt;D xsi:type="xsd:double"&gt;66.56&lt;/D&gt;&lt;D xsi:type="xsd:double"&gt;67.61&lt;/D&gt;&lt;D xsi:type="xsd:double"&gt;67.32&lt;/D&gt;&lt;D xsi:type="xsd:double"&gt;67.17&lt;/D&gt;&lt;D xsi:type="xsd:double"&gt;66.49&lt;/D&gt;&lt;D xsi:type="xsd:double"&gt;66.89&lt;/D&gt;&lt;D xsi:type="xsd:double"&gt;67.09&lt;/D&gt;&lt;D xsi:type="xsd:double"&gt;67.81&lt;/D&gt;&lt;D xsi:type="xsd:double"&gt;68.77&lt;/D&gt;&lt;D xsi:type="xsd:double"&gt;69.06&lt;/D&gt;&lt;D xsi:type="xsd:double"&gt;69.99&lt;/D&gt;&lt;D xsi:type="xsd:double"&gt;69.38&lt;/D&gt;&lt;D xsi:type="xsd:double"&gt;70.48&lt;/D&gt;&lt;D xsi:type="xsd:double"&gt;70.22&lt;/D&gt;&lt;D xsi:type="xsd:double"&gt;69.87&lt;/D&gt;&lt;D xsi:type="xsd:double"&gt;69.67&lt;/D&gt;&lt;D xsi:type="xsd:double"&gt;70.4&lt;/D&gt;&lt;D xsi:type="xsd:double"&gt;69.92&lt;/D&gt;&lt;D xsi:type="xsd:double"&gt;70.28&lt;/D&gt;&lt;D xsi:type="xsd:double"&gt;71.35&lt;/D&gt;&lt;D xsi:type="xsd:double"&gt;71.61&lt;/D&gt;&lt;D xsi:type="xsd:double"&gt;71.3&lt;/D&gt;&lt;D xsi:type="xsd:double"&gt;70.99&lt;/D&gt;&lt;D xsi:type="xsd:double"&gt;71.82&lt;/D&gt;&lt;D xsi:type="xsd:double"&gt;71.83&lt;/D&gt;&lt;D xsi:type="xsd:double"&gt;71.47&lt;/D&gt;&lt;D xsi:type="xsd:double"&gt;70.92&lt;/D&gt;&lt;D xsi:type="xsd:double"&gt;70.65&lt;/D&gt;&lt;D xsi:type="xsd:double"&gt;69.57&lt;/D&gt;&lt;D xsi:type="xsd:double"&gt;69.06&lt;/D&gt;&lt;D xsi:type="xsd:double"&gt;69.37&lt;/D&gt;&lt;D xsi:type="xsd:double"&gt;69.98&lt;/D&gt;&lt;D xsi:type="xsd:double"&gt;69.6&lt;/D&gt;&lt;D xsi:type="xsd:double"&gt;71.18&lt;/D&gt;&lt;D xsi:type="xsd:double"&gt;71.34&lt;/D&gt;&lt;D xsi:type="xsd:double"&gt;71.37&lt;/D&gt;&lt;D xsi:type="xsd:double"&gt;70.3&lt;/D&gt;&lt;D xsi:type="xsd:double"&gt;69.92&lt;/D&gt;&lt;D xsi:type="xsd:double"&gt;70.33&lt;/D&gt;&lt;D xsi:type="xsd:double"&gt;69.12&lt;/D&gt;&lt;D xsi:type="xsd:double"&gt;68.67&lt;/D&gt;&lt;D xsi:type="xsd:double"&gt;69.18&lt;/D&gt;&lt;D xsi:type="xsd:double"&gt;69&lt;/D&gt;&lt;D xsi:type="xsd:double"&gt;69.01&lt;/D&gt;&lt;D xsi:type="xsd:double"&gt;68.9&lt;/D&gt;&lt;D xsi:type="xsd:double"&gt;67.79&lt;/D&gt;&lt;D xsi:type="xsd:double"&gt;67.93&lt;/D&gt;&lt;D xsi:type="xsd:double"&gt;67.63&lt;/D&gt;&lt;D xsi:type="xsd:double"&gt;67.64&lt;/D&gt;&lt;D xsi:type="xsd:double"&gt;67&lt;/D&gt;&lt;D xsi:type="xsd:double"&gt;66.74&lt;/D&gt;&lt;D xsi:type="xsd:double"&gt;66.97&lt;/D&gt;&lt;D xsi:type="xsd:double"&gt;66.63&lt;/D&gt;&lt;D xsi:type="xsd:double"&gt;66.39&lt;/D&gt;&lt;D xsi:type="xsd:double"&gt;66.56&lt;/D&gt;&lt;D xsi:type="xsd:double"&gt;66.18&lt;/D&gt;&lt;D xsi:type="xsd:double"&gt;66.19&lt;/D&gt;&lt;D xsi:type="xsd:double"&gt;66.51&lt;/D&gt;&lt;D xsi:type="xsd:double"&gt;66.92&lt;/D&gt;&lt;D xsi:type="xsd:double"&gt;66.21&lt;/D&gt;&lt;D xsi:type="xsd:double"&gt;65.93&lt;/D&gt;&lt;D xsi:type="xsd:double"&gt;66.17&lt;/D&gt;&lt;D xsi:type="xsd:double"&gt;65.39&lt;/D&gt;&lt;D xsi:type="xsd:double"&gt;65.92&lt;/D&gt;&lt;D xsi:type="xsd:double"&gt;66.17&lt;/D&gt;&lt;D xsi:type="xsd:double"&gt;66.09&lt;/D&gt;&lt;D xsi:type="xsd:double"&gt;66.68&lt;/D&gt;&lt;D xsi:type="xsd:double"&gt;65.9&lt;/D&gt;&lt;D xsi:type="xsd:double"&gt;65.73&lt;/D&gt;&lt;D xsi:type="xsd:double"&gt;65.12&lt;/D&gt;&lt;D xsi:type="xsd:double"&gt;65.94&lt;/D&gt;&lt;D xsi:type="xsd:double"&gt;66.43&lt;/D&gt;&lt;D xsi:type="xsd:double"&gt;65.8&lt;/D&gt;&lt;D xsi:type="xsd:double"&gt;65.22&lt;/D&gt;&lt;D xsi:type="xsd:double"&gt;64.07&lt;/D&gt;&lt;D xsi:type="xsd:double"&gt;64.46&lt;/D&gt;&lt;D xsi:type="xsd:double"&gt;63.53&lt;/D&gt;&lt;D xsi:type="xsd:double"&gt;63.06&lt;/D&gt;&lt;D xsi:type="xsd:double"&gt;63.21&lt;/D&gt;&lt;D xsi:type="xsd:double"&gt;63.56&lt;/D&gt;&lt;D xsi:type="xsd:double"&gt;64.14&lt;/D&gt;&lt;D xsi:type="xsd:double"&gt;64.04&lt;/D&gt;&lt;D xsi:type="xsd:double"&gt;63.66&lt;/D&gt;&lt;D xsi:type="xsd:double"&gt;63.31&lt;/D&gt;&lt;D xsi:type="xsd:double"&gt;63.33&lt;/D&gt;&lt;D xsi:type="xsd:double"&gt;63.13&lt;/D&gt;&lt;D xsi:type="xsd:double"&gt;62.05&lt;/D&gt;&lt;D xsi:type="xsd:double"&gt;63.24&lt;/D&gt;&lt;D xsi:type="xsd:double"&gt;63.05&lt;/D&gt;&lt;D xsi:type="xsd:double"&gt;63.17&lt;/D&gt;&lt;D xsi:type="xsd:double"&gt;63.72&lt;/D&gt;&lt;D xsi:type="xsd:double"&gt;64.01&lt;/D&gt;&lt;D xsi:type="xsd:double"&gt;63.05&lt;/D&gt;&lt;D xsi:type="xsd:double"&gt;63.14&lt;/D&gt;&lt;D xsi:type="xsd:double"&gt;62.78&lt;/D&gt;&lt;D xsi:type="xsd:double"&gt;63.15&lt;/D&gt;&lt;D xsi:type="xsd:double"&gt;62.67&lt;/D&gt;&lt;D xsi:type="xsd:double"&gt;62.02&lt;/D&gt;&lt;D xsi:type="xsd:double"&gt;62.25&lt;/D&gt;&lt;D xsi:type="xsd:double"&gt;63.21&lt;/D&gt;&lt;D xsi:type="xsd:double"&gt;62.61&lt;/D&gt;&lt;D xsi:type="xsd:double"&gt;62.49&lt;/D&gt;&lt;D xsi:type="xsd:double"&gt;62.55&lt;/D&gt;&lt;D xsi:type="xsd:double"&gt;62.56&lt;/D&gt;&lt;D xsi:type="xsd:double"&gt;62.61&lt;/D&gt;&lt;D xsi:type="xsd:double"&gt;62.49&lt;/D&gt;&lt;D xsi:type="xsd:double"&gt;62.1&lt;/D&gt;&lt;D xsi:type="xsd:double"&gt;62.36&lt;/D&gt;&lt;D xsi:type="xsd:double"&gt;62.35&lt;/D&gt;&lt;D xsi:type="xsd:double"&gt;61.39&lt;/D&gt;&lt;D xsi:type="xsd:double"&gt;61.18&lt;/D&gt;&lt;D xsi:type="xsd:double"&gt;61.64&lt;/D&gt;&lt;D xsi:type="xsd:double"&gt;60.44&lt;/D&gt;&lt;D xsi:type="xsd:double"&gt;60.47&lt;/D&gt;&lt;D xsi:type="xsd:double"&gt;59.89&lt;/D&gt;&lt;D xsi:type="xsd:double"&gt;59.64&lt;/D&gt;&lt;D xsi:type="xsd:double"&gt;60.64&lt;/D&gt;&lt;D xsi:type="xsd:double"&gt;61.2&lt;/D&gt;&lt;D xsi:type="xsd:double"&gt;62&lt;/D&gt;&lt;D xsi:type="xsd:double"&gt;60.95&lt;/D&gt;&lt;D xsi:type="xsd:double"&gt;59.97&lt;/D&gt;&lt;D xsi:type="xsd:double"&gt;58.96&lt;/D&gt;&lt;D xsi:type="xsd:double"&gt;58.25&lt;/D&gt;&lt;D xsi:type="xsd:double"&gt;57.82&lt;/D&gt;&lt;D xsi:type="xsd:double"&gt;57.34&lt;/D&gt;&lt;D xsi:type="xsd:double"&gt;58.13&lt;/D&gt;&lt;D xsi:type="xsd:double"&gt;58.36&lt;/D&gt;&lt;D xsi:type="xsd:double"&gt;57.99&lt;/D&gt;&lt;D xsi:type="xsd:double"&gt;58.13&lt;/D&gt;&lt;D xsi:type="xsd:double"&gt;58.52&lt;/D&gt;&lt;D xsi:type="xsd:double"&gt;58.95&lt;/D&gt;&lt;D xsi:type="xsd:double"&gt;59.89&lt;/D&gt;&lt;D xsi:type="xsd:double"&gt;59.77&lt;/D&gt;&lt;D xsi:type="xsd:double"&gt;59.58&lt;/D&gt;&lt;D xsi:type="xsd:double"&gt;60.33&lt;/D&gt;&lt;D xsi:type="xsd:double"&gt;60.18&lt;/D&gt;&lt;D xsi:type="xsd:double"&gt;60.33&lt;/D&gt;&lt;D xsi:type="xsd:double"&gt;59.55&lt;/D&gt;&lt;/FQL&gt;&lt;FQL&gt;&lt;Q&gt;QQQ^P_PRICE(0)/P_PRICE_HIGH_PR(0,,,USD,,,"PRICE","INTRA","52W")&lt;/Q&gt;&lt;R&gt;1&lt;/R&gt;&lt;C&gt;1&lt;/C&gt;&lt;D xsi:type="xsd:double"&gt;0.919467&lt;/D&gt;&lt;/FQL&gt;&lt;FQL&gt;&lt;Q&gt;URTH^P_PRICE(0)/P_PRICE_LOW_PR(0,,,USD,,,"PRICE","INTRA","52W")-1&lt;/Q&gt;&lt;R&gt;1&lt;/R&gt;&lt;C&gt;1&lt;/C&gt;&lt;D xsi:type="xsd:double"&gt;0.2914561&lt;/D&gt;&lt;/FQL&gt;&lt;FQL&gt;&lt;Q&gt;EWD^FG_TOTAL_RETURNC(0,-3AM)&lt;/Q&gt;&lt;R&gt;1&lt;/R&gt;&lt;C&gt;1&lt;/C&gt;&lt;D xsi:type="xsd:double"&gt;3.1193852&lt;/D&gt;&lt;/FQL&gt;&lt;FQL&gt;&lt;Q&gt;EWU^FG_TOTAL_RETURNC(0,-3AM)&lt;/Q&gt;&lt;R&gt;1&lt;/R&gt;&lt;C&gt;1&lt;/C&gt;&lt;D xsi:type="xsd:double"&gt;5.4418445&lt;/D&gt;&lt;/FQL&gt;&lt;FQL&gt;&lt;Q&gt;ENZL^P_PRICE(0)/P_PRICE_LOW_PR(0,,,USD,,,"PRICE","INTRA","52W")-1&lt;/Q&gt;&lt;R&gt;1&lt;/R&gt;&lt;C&gt;1&lt;/C&gt;&lt;D xsi:type="xsd:double"&gt;0.11381638&lt;/D&gt;&lt;/FQL&gt;&lt;FQL&gt;&lt;Q&gt;EWD^PERCENT_CHANGE(FMA_EPS(+1,0,,,,"PORTAGG","MEAN"),FMA_EPS(+1,-1AM,,,,"PORTAGG","MEAN"))&lt;/Q&gt;&lt;R&gt;1&lt;/R&gt;&lt;C&gt;1&lt;/C&gt;&lt;D xsi:type="xsd:double"&gt;-4.77889260321974&lt;/D&gt;&lt;/FQL&gt;&lt;FQL&gt;&lt;Q&gt;IWM^SIZE(FG_CONSTITUENTS)&lt;/Q&gt;&lt;R&gt;1&lt;/R&gt;&lt;C&gt;1&lt;/C&gt;&lt;D xsi:type="xsd:long"&gt;1973&lt;/D&gt;&lt;/FQL&gt;&lt;FQL&gt;&lt;Q&gt;SPY^SIZE(FG_CONSTITUENTS)&lt;/Q&gt;&lt;R&gt;1&lt;/R&gt;&lt;C&gt;1&lt;/C&gt;&lt;D xsi:type="xsd:long"&gt;503&lt;/D&gt;&lt;/FQL&gt;&lt;FQL&gt;&lt;Q&gt;EWC^SIZE(FG_CONSTITUENTS)&lt;/Q&gt;&lt;R&gt;1&lt;/R&gt;&lt;C&gt;1&lt;/C&gt;&lt;D xsi:type="xsd:long"&gt;88&lt;/D&gt;&lt;/FQL&gt;&lt;FQL&gt;&lt;Q&gt;EWG^FG_COMPANY_NAME&lt;/Q&gt;&lt;R&gt;1&lt;/R&gt;&lt;C&gt;1&lt;/C&gt;&lt;D xsi:type="xsd:string"&gt;iShares MSCI Germany ETF&lt;/D&gt;&lt;/FQL&gt;&lt;FQL&gt;&lt;Q&gt;VWO^P_PRICE(-1AM)/P_PRICE_HIGH_PR(-1AM,,,,,,"PRICE","INTRA","52W")&lt;/Q&gt;&lt;R&gt;1&lt;/R&gt;&lt;C&gt;1&lt;/C&gt;&lt;D xsi:type="xsd:double"&gt;0.9711803&lt;/D&gt;&lt;/FQL&gt;&lt;FQL&gt;&lt;Q&gt;DBC^P_PRICE(0)/P_PRICE_HIGH_PR(0,,,USD,,,"PRICE","INTRA","52W")&lt;/Q&gt;&lt;R&gt;1&lt;/R&gt;&lt;C&gt;1&lt;/C&gt;&lt;D xsi:type="xsd:double"&gt;0.8677331&lt;/D&gt;&lt;/FQL&gt;&lt;FQL&gt;&lt;Q&gt;SPY^FG_COMPANY_NAME&lt;/Q&gt;&lt;R&gt;1&lt;/R&gt;&lt;C&gt;1&lt;/C&gt;&lt;D xsi:type="xsd:string"&gt;SPDR S&amp;amp;P 500 ETF Trust&lt;/D&gt;&lt;/FQL&gt;&lt;FQL&gt;&lt;Q&gt;EWJ^PERCENT_CHANGE(FMA_EPS(+1,0,,,,"PORTAGG","MEAN"),FMA_EPS(+1,-3AM,,,,"PORTAGG","MEAN"))&lt;/Q&gt;&lt;R&gt;1&lt;/R&gt;&lt;C&gt;1&lt;/C&gt;&lt;D xsi:type="xsd:double"&gt;-0.380290789443318&lt;/D&gt;&lt;/FQL&gt;&lt;FQL&gt;&lt;Q&gt;VWO^SIZE(FG_CONSTITUENTS(20240229))&lt;/Q&gt;&lt;R&gt;1&lt;/R&gt;&lt;C&gt;1&lt;/C&gt;&lt;D xsi:type="xsd:long"&gt;4699&lt;/D&gt;&lt;/FQL&gt;&lt;FQL&gt;&lt;Q&gt;EWC^FG_COMPANY_NAME&lt;/Q&gt;&lt;R&gt;1&lt;/R&gt;&lt;C&gt;1&lt;/C&gt;&lt;D xsi:type="xsd:string"&gt;iShares MSCI Canada ETF&lt;/D&gt;&lt;/FQL&gt;&lt;FQL&gt;&lt;Q&gt;EWJ^FG_TOTAL_RETURNC(-1AM,-2AM)&lt;/Q&gt;&lt;R&gt;1&lt;/R&gt;&lt;C&gt;1&lt;/C&gt;&lt;D xsi:type="xsd:double"&gt;-0.94501376&lt;/D&gt;&lt;/FQL&gt;&lt;FQL&gt;&lt;Q&gt;DBC^FG_TOTAL_RETURNC(-1AM,-7AM)&lt;/Q&gt;&lt;R&gt;1&lt;/R&gt;&lt;C&gt;1&lt;/C&gt;&lt;D xsi:type="xsd:double"&gt;3.3852935&lt;/D&gt;&lt;/FQL&gt;&lt;FQL&gt;&lt;Q&gt;VWO^FG_COMPANY_NAME&lt;/Q&gt;&lt;R&gt;1&lt;/R&gt;&lt;C&gt;1&lt;/C&gt;&lt;D xsi:type="xsd:string"&gt;Vanguard FTSE Emerging Markets ETF&lt;/D&gt;&lt;/FQL&gt;&lt;FQL&gt;&lt;Q&gt;URTH^FG_PE_NTM(0,,,90,0)&lt;/Q&gt;&lt;R&gt;1&lt;/R&gt;&lt;C&gt;1&lt;/C&gt;&lt;D xsi:type="xsd:double"&gt;18.31472994222&lt;/D&gt;&lt;/FQL&gt;&lt;FQL&gt;&lt;Q&gt;FXI^FG_COMPANY_NAME&lt;/Q&gt;&lt;R&gt;1&lt;/R&gt;&lt;C&gt;1&lt;/C&gt;&lt;D xsi:type="xsd:string"&gt;iShares China Large-Cap ETF&lt;/D&gt;&lt;/FQL&gt;&lt;FQL&gt;&lt;Q&gt;EMXC^FG_PRICE(0,-200D)&lt;/Q&gt;&lt;R&gt;201&lt;/R&gt;&lt;C&gt;1&lt;/C&gt;&lt;D xsi:type="xsd:double"&gt;59.26&lt;/D&gt;&lt;D xsi:type="xsd:double"&gt;58.58&lt;/D&gt;&lt;D xsi:type="xsd:double"&gt;58.62&lt;/D&gt;&lt;D xsi:type="xsd:double"&gt;59.49&lt;/D&gt;&lt;D xsi:type="xsd:double"&gt;59.84&lt;/D&gt;&lt;D xsi:type="xsd:double"&gt;59.54&lt;/D&gt;&lt;D xsi:type="xsd:double"&gt;60.19&lt;/D&gt;&lt;D xsi:type="xsd:double"&gt;60.74&lt;/D&gt;&lt;D xsi:type="xsd:double"&gt;61.86&lt;/D&gt;&lt;D xsi:type="xsd:double"&gt;61.4&lt;/D&gt;&lt;D xsi:type="xsd:double"&gt;61.84&lt;/D&gt;&lt;D xsi:type="xsd:double"&gt;61.72&lt;/D&gt;&lt;D xsi:type="xsd:double"&gt;61.64&lt;/D&gt;&lt;D xsi:type="xsd:double"&gt;61.11&lt;/D&gt;&lt;D xsi:type="xsd:double"&gt;61.05&lt;/D&gt;&lt;D xsi:type="xsd:double"&gt;60.78&lt;/D&gt;&lt;D xsi:type="xsd:double"&gt;60.11&lt;/D&gt;&lt;D xsi:type="xsd:double"&gt;59.35&lt;/D&gt;&lt;D xsi:type="xsd:double"&gt;59.21&lt;/D&gt;&lt;D xsi:type="xsd:double"&gt;59.2&lt;/D&gt;&lt;D xsi:type="xsd:double"&gt;59.02&lt;/D&gt;&lt;D xsi:type="xsd:double"&gt;58.56&lt;/D&gt;&lt;D xsi:type="xsd:double"&gt;58.73&lt;/D&gt;&lt;D xsi:type="xsd:double"&gt;58.64&lt;/D&gt;&lt;D xsi:type="xsd:double"&gt;58.78&lt;/D&gt;&lt;D xsi:type="xsd:double"&gt;58.93&lt;/D&gt;&lt;D xsi:type="xsd:double"&gt;58.96&lt;/D&gt;&lt;D xsi:type="xsd:double"&gt;58.3&lt;/D&gt;&lt;D xsi:type="xsd:double"&gt;57.99&lt;/D&gt;&lt;D xsi:type="xsd:double"&gt;57.8&lt;/D&gt;&lt;D xsi:type="xsd:double"&gt;57.94&lt;/D&gt;&lt;D xsi:type="xsd:double"&gt;57.21&lt;/D&gt;&lt;D xsi:type="xsd:double"&gt;57.88&lt;/D&gt;&lt;D xsi:type="xsd:double"&gt;57.5&lt;/D&gt;&lt;D xsi:type="xsd:double"&gt;57.95&lt;/D&gt;&lt;D xsi:type="xsd:double"&gt;57.56&lt;/D&gt;&lt;D xsi:type="xsd:double"&gt;56.37&lt;/D&gt;&lt;D xsi:type="xsd:double"&gt;57.69&lt;/D&gt;&lt;D xsi:type="xsd:double"&gt;56.9&lt;/D&gt;&lt;D xsi:type="xsd:double"&gt;57.23&lt;/D&gt;&lt;D xsi:type="xsd:double"&gt;57.48&lt;/D&gt;&lt;D xsi:type="xsd:double"&gt;58.48&lt;/D&gt;&lt;D xsi:type="xsd:double"&gt;58.57&lt;/D&gt;&lt;D xsi:type="xsd:double"&gt;58.28&lt;/D&gt;&lt;D xsi:type="xsd:double"&gt;58.46&lt;/D&gt;&lt;D xsi:type="xsd:double"&gt;58.53&lt;/D&gt;&lt;D xsi:type="xsd:double"&gt;58.7&lt;/D&gt;&lt;D xsi:type="xsd:double"&gt;58.8&lt;/D&gt;&lt;D xsi:type="xsd:double"&gt;58.61&lt;/D&gt;&lt;D xsi:type="xsd:double"&gt;58.78&lt;/D&gt;&lt;D xsi:type="xsd:double"&gt;58.19&lt;/D&gt;&lt;D xsi:type="xsd:double"&gt;57.64&lt;/D&gt;&lt;D xsi:type="xsd:double"&gt;57.51&lt;/D&gt;&lt;D xsi:type="xsd:double"&gt;57.47&lt;/D&gt;&lt;D xsi:type="xsd:double"&gt;57.61&lt;/D&gt;&lt;D xsi:type="xsd:double"&gt;57.49&lt;/D&gt;&lt;D xsi:type="xsd:double"&gt;57.78&lt;/D&gt;&lt;D xsi:type="xsd:double"&gt;57.7&lt;/D&gt;&lt;D xsi:type="xsd:double"&gt;57.22&lt;/D&gt;&lt;D xsi:type="xsd:double"&gt;56.39&lt;/D&gt;&lt;D xsi:type="xsd:double"&gt;56.42&lt;/D&gt;&lt;D xsi:type="xsd:double"&gt;57.1&lt;/D&gt;&lt;D xsi:type="xsd:double"&gt;56.51&lt;/D&gt;&lt;D xsi:type="xsd:double"&gt;56.1&lt;/D&gt;&lt;D xsi:type="xsd:double"&gt;56.01&lt;/D&gt;&lt;D xsi:type="xsd:double"&gt;56.02&lt;/D&gt;&lt;D xsi:type="xsd:double"&gt;55.67&lt;/D&gt;&lt;D xsi:type="xsd:double"&gt;55.18&lt;/D&gt;&lt;D xsi:type="xsd:double"&gt;55.51&lt;/D&gt;&lt;D xsi:type="xsd:double"&gt;55.38&lt;/D&gt;&lt;D xsi:type="xsd:double"&gt;55.48&lt;/D&gt;&lt;D xsi:type="xsd:double"&gt;56.25&lt;/D&gt;&lt;D xsi:type="xsd:double"&gt;56.82&lt;/D&gt;&lt;D xsi:type="xsd:double"&gt;58&lt;/D&gt;&lt;D xsi:type="xsd:double"&gt;57.59&lt;/D&gt;&lt;D xsi:type="xsd:double"&gt;58.58&lt;/D&gt;&lt;D xsi:type="xsd:double"&gt;58.24&lt;/D&gt;&lt;D xsi:type="xsd:double"&gt;57.84&lt;/D&gt;&lt;D xsi:type="xsd:double"&gt;57.58&lt;/D&gt;&lt;D xsi:type="xsd:double"&gt;57.76&lt;/D&gt;&lt;D xsi:type="xsd:double"&gt;57.64&lt;/D&gt;&lt;D xsi:type="xsd:double"&gt;57.42&lt;/D&gt;&lt;D xsi:type="xsd:double"&gt;57.57&lt;/D&gt;&lt;D xsi:type="xsd:double"&gt;57.45&lt;/D&gt;&lt;D xsi:type="xsd:double"&gt;57.23&lt;/D&gt;&lt;D xsi:type="xsd:double"&gt;57.37&lt;/D&gt;&lt;D xsi:type="xsd:double"&gt;57.23&lt;/D&gt;&lt;D xsi:type="xsd:double"&gt;57.47&lt;/D&gt;&lt;D xsi:type="xsd:double"&gt;57.24&lt;/D&gt;&lt;D xsi:type="xsd:double"&gt;56.6&lt;/D&gt;&lt;D xsi:type="xsd:double"&gt;56.81&lt;/D&gt;&lt;D xsi:type="xsd:double"&gt;56.76&lt;/D&gt;&lt;D xsi:type="xsd:double"&gt;57.23&lt;/D&gt;&lt;D xsi:type="xsd:double"&gt;57.29&lt;/D&gt;&lt;D xsi:type="xsd:double"&gt;57.65&lt;/D&gt;&lt;D xsi:type="xsd:double"&gt;57.2&lt;/D&gt;&lt;D xsi:type="xsd:double"&gt;57.39&lt;/D&gt;&lt;D xsi:type="xsd:double"&gt;57.57&lt;/D&gt;&lt;D xsi:type="xsd:double"&gt;56.98&lt;/D&gt;&lt;D xsi:type="xsd:double"&gt;56.17&lt;/D&gt;&lt;D xsi:type="xsd:double"&gt;56.64&lt;/D&gt;&lt;D xsi:type="xsd:double"&gt;56.48&lt;/D&gt;&lt;D xsi:type="xsd:double"&gt;55.84&lt;/D&gt;&lt;D xsi:type="xsd:double"&gt;55.76&lt;/D&gt;&lt;D xsi:type="xsd:double"&gt;56.17&lt;/D&gt;&lt;D xsi:type="xsd:double"&gt;56.23&lt;/D&gt;&lt;D xsi:type="xsd:double"&gt;56.43&lt;/D&gt;&lt;D xsi:type="xsd:double"&gt;56.56&lt;/D&gt;&lt;D xsi:type="xsd:double"&gt;56.09&lt;/D&gt;&lt;D xsi:type="xsd:double"&gt;56.31&lt;/D&gt;&lt;D xsi:type="xsd:double"&gt;56.01&lt;/D&gt;&lt;D xsi:type="xsd:double"&gt;56.01&lt;/D&gt;&lt;D xsi:type="xsd:double"&gt;55.79&lt;/D&gt;&lt;D xsi:type="xsd:double"&gt;54.93&lt;/D&gt;&lt;D xsi:type="xsd:double"&gt;55.98&lt;/D&gt;&lt;D xsi:type="xsd:double"&gt;55.79&lt;/D&gt;&lt;D xsi:type="xsd:double"&gt;55.52&lt;/D&gt;&lt;D xsi:type="xsd:double"&gt;55.68&lt;/D&gt;&lt;D xsi:type="xsd:double"&gt;55.36&lt;/D&gt;&lt;D xsi:type="xsd:double"&gt;54.69&lt;/D&gt;&lt;D xsi:type="xsd:double"&gt;54.8&lt;/D&gt;&lt;D xsi:type="xsd:double"&gt;54.68&lt;/D&gt;&lt;D xsi:type="xsd:double"&gt;54.06&lt;/D&gt;&lt;D xsi:type="xsd:double"&gt;54.38&lt;/D&gt;&lt;D xsi:type="xsd:double"&gt;54.68&lt;/D&gt;&lt;D xsi:type="xsd:double"&gt;54.27&lt;/D&gt;&lt;D xsi:type="xsd:double"&gt;54.06&lt;/D&gt;&lt;D xsi:type="xsd:double"&gt;54.04&lt;/D&gt;&lt;D xsi:type="xsd:double"&gt;53.74&lt;/D&gt;&lt;D xsi:type="xsd:double"&gt;53.74&lt;/D&gt;&lt;D xsi:type="xsd:double"&gt;53.95&lt;/D&gt;&lt;D xsi:type="xsd:double"&gt;53.29&lt;/D&gt;&lt;D xsi:type="xsd:double"&gt;52.7&lt;/D&gt;&lt;D xsi:type="xsd:double"&gt;53.34&lt;/D&gt;&lt;D xsi:type="xsd:double"&gt;54.55&lt;/D&gt;&lt;D xsi:type="xsd:double"&gt;54.24&lt;/D&gt;&lt;D xsi:type="xsd:double"&gt;54.12&lt;/D&gt;&lt;D xsi:type="xsd:double"&gt;54.23&lt;/D&gt;&lt;D xsi:type="xsd:double"&gt;54.99&lt;/D&gt;&lt;D xsi:type="xsd:double"&gt;54.54&lt;/D&gt;&lt;D xsi:type="xsd:double"&gt;54.34&lt;/D&gt;&lt;D xsi:type="xsd:double"&gt;54.3&lt;/D&gt;&lt;D xsi:type="xsd:double"&gt;54.92&lt;/D&gt;&lt;D xsi:type="xsd:double"&gt;55.41&lt;/D&gt;&lt;D xsi:type="xsd:double"&gt;55.5&lt;/D&gt;&lt;D xsi:type="xsd:double"&gt;55.35&lt;/D&gt;&lt;D xsi:type="xsd:double"&gt;54.93&lt;/D&gt;&lt;D xsi:type="xsd:double"&gt;54.45&lt;/D&gt;&lt;D xsi:type="xsd:double"&gt;54.31&lt;/D&gt;&lt;D xsi:type="xsd:double"&gt;53.42&lt;/D&gt;&lt;D xsi:type="xsd:double"&gt;54.89&lt;/D&gt;&lt;D xsi:type="xsd:double"&gt;54.52&lt;/D&gt;&lt;D xsi:type="xsd:double"&gt;54.37&lt;/D&gt;&lt;D xsi:type="xsd:double"&gt;54.69&lt;/D&gt;&lt;D xsi:type="xsd:double"&gt;53.93&lt;/D&gt;&lt;D xsi:type="xsd:double"&gt;53.14&lt;/D&gt;&lt;D xsi:type="xsd:double"&gt;53.21&lt;/D&gt;&lt;D xsi:type="xsd:double"&gt;52.99&lt;/D&gt;&lt;D xsi:type="xsd:double"&gt;53.01&lt;/D&gt;&lt;D xsi:type="xsd:double"&gt;52.72&lt;/D&gt;&lt;D xsi:type="xsd:double"&gt;52.78&lt;/D&gt;&lt;D xsi:type="xsd:double"&gt;52.88&lt;/D&gt;&lt;D xsi:type="xsd:double"&gt;53.35&lt;/D&gt;&lt;D xsi:type="xsd:double"&gt;52.88&lt;/D&gt;&lt;D xsi:type="xsd:double"&gt;52.84&lt;/D&gt;&lt;D xsi:type="xsd:double"&gt;52.91&lt;/D&gt;&lt;D xsi:type="xsd:double"&gt;52.33&lt;/D&gt;&lt;D xsi:type="xsd:double"&gt;52.38&lt;/D&gt;&lt;D xsi:type="xsd:double"&gt;52.45&lt;/D&gt;&lt;D xsi:type="xsd:double"&gt;52.57&lt;/D&gt;&lt;D xsi:type="xsd:double"&gt;52.76&lt;/D&gt;&lt;D xsi:type="xsd:double"&gt;52.31&lt;/D&gt;&lt;D xsi:type="xsd:double"&gt;52.24&lt;/D&gt;&lt;D xsi:type="xsd:double"&gt;52.18&lt;/D&gt;&lt;D xsi:type="xsd:double"&gt;51.98&lt;/D&gt;&lt;D xsi:type="xsd:double"&gt;50.64&lt;/D&gt;&lt;D xsi:type="xsd:double"&gt;50.84&lt;/D&gt;&lt;D xsi:type="xsd:double"&gt;50.32&lt;/D&gt;&lt;D xsi:type="xsd:double"&gt;50.69&lt;/D&gt;&lt;D xsi:type="xsd:double"&gt;51.02&lt;/D&gt;&lt;D xsi:type="xsd:double"&gt;51.16&lt;/D&gt;&lt;D xsi:type="xsd:double"&gt;50.68&lt;/D&gt;&lt;D xsi:type="xsd:double"&gt;49.89&lt;/D&gt;&lt;D xsi:type="xsd:double"&gt;48.87&lt;/D&gt;&lt;D xsi:type="xsd:double"&gt;48.21&lt;/D&gt;&lt;D xsi:type="xsd:double"&gt;48.37&lt;/D&gt;&lt;D xsi:type="xsd:double"&gt;47.86&lt;/D&gt;&lt;D xsi:type="xsd:double"&gt;48.02&lt;/D&gt;&lt;D xsi:type="xsd:double"&gt;48.41&lt;/D&gt;&lt;D xsi:type="xsd:double"&gt;49&lt;/D&gt;&lt;D xsi:type="xsd:double"&gt;48.66&lt;/D&gt;&lt;D xsi:type="xsd:double"&gt;48.81&lt;/D&gt;&lt;D xsi:type="xsd:double"&gt;49.32&lt;/D&gt;&lt;D xsi:type="xsd:double"&gt;49.42&lt;/D&gt;&lt;D xsi:type="xsd:double"&gt;50.13&lt;/D&gt;&lt;D xsi:type="xsd:double"&gt;50.17&lt;/D&gt;&lt;D xsi:type="xsd:double"&gt;49.67&lt;/D&gt;&lt;D xsi:type="xsd:double"&gt;49.86&lt;/D&gt;&lt;D xsi:type="xsd:double"&gt;50.27&lt;/D&gt;&lt;D xsi:type="xsd:double"&gt;49.98&lt;/D&gt;&lt;D xsi:type="xsd:double"&gt;49.37&lt;/D&gt;&lt;/FQL&gt;&lt;FQL&gt;&lt;Q&gt;QQQ^FG_TOTAL_RETURNC(0,-6AM)&lt;/Q&gt;&lt;R&gt;1&lt;/R&gt;&lt;C&gt;1&lt;/C&gt;&lt;D xsi:type="xsd:double"&gt;9.558928&lt;/D&gt;&lt;/FQL&gt;&lt;FQL&gt;&lt;Q&gt;URTH^P_PRICE(0)/P_PRICE_HIGH_PR(0,,,USD,,,"PRICE","INTRA","52W")&lt;/Q&gt;&lt;R&gt;1&lt;/R&gt;&lt;C&gt;1&lt;/C&gt;&lt;D xsi:type="xsd:double"&gt;0.96551955&lt;/D&gt;&lt;/FQL&gt;&lt;FQL&gt;&lt;Q&gt;EWN^P_PRICE(0)/P_PRICE_HIGH_PR(0,,,USD,,,"PRICE","INTRA","52W")&lt;/Q&gt;&lt;R&gt;1&lt;/R&gt;&lt;C&gt;1&lt;/C&gt;&lt;D xsi:type="xsd:double"&gt;0.91966814&lt;/D&gt;&lt;/FQL&gt;&lt;FQL&gt;&lt;Q&gt;EWL^P_PRICE(0)/P_PRICE_LOW_PR(0,,,USD,,,"PRICE","INTRA","52W")-1&lt;/Q&gt;&lt;R&gt;1&lt;/R&gt;&lt;C&gt;1&lt;/C&gt;&lt;D xsi:type="xsd:double"&gt;0.20481348&lt;/D&gt;&lt;/FQL&gt;&lt;FQL&gt;&lt;Q&gt;ENZL^P_PRICE(0)/P_PRICE_HIGH_PR(0,,,USD,,,"PRICE","INTRA","52W")&lt;/Q&gt;&lt;R&gt;1&lt;/R&gt;&lt;C&gt;1&lt;/C&gt;&lt;D xsi:type="xsd:double"&gt;0.9112662&lt;/D&gt;&lt;/FQL&gt;&lt;FQL&gt;&lt;Q&gt;EWD^FMA_PCT_ABOVE_MAVG(200,0,,,,"PORTAGG")&lt;/Q&gt;&lt;R&gt;1&lt;/R&gt;&lt;C&gt;1&lt;/C&gt;&lt;D xsi:type="xsd:double"&gt;70.4545454545455&lt;/D&gt;&lt;/FQL&gt;&lt;FQL&gt;&lt;Q&gt;IWM^FMA_COS_DOWN("EPS","1M",+1,0,,,"PORTAGG","MEANR")&lt;/Q&gt;&lt;R&gt;1&lt;/R&gt;&lt;C&gt;1&lt;/C&gt;&lt;D xsi:type="xsd:double"&gt;467&lt;/D&gt;&lt;/FQL&gt;&lt;FQL&gt;&lt;Q&gt;SPY^FMA_COS_DOWN("EPS","1M",+1,0,,,"PORTAGG","MEANR")&lt;/Q&gt;&lt;R&gt;1&lt;/R&gt;&lt;C&gt;1&lt;/C&gt;&lt;D xsi:type="xsd:double"&gt;223&lt;/D&gt;&lt;/FQL&gt;&lt;FQL&gt;&lt;Q&gt;VGK^FMA_COS_UP("EPS","1M",+1,0,,,"PORTAGG","MEANR")&lt;/Q&gt;&lt;R&gt;1&lt;/R&gt;&lt;C&gt;1&lt;/C&gt;&lt;D xsi:type="xsd:double"&gt;464&lt;/D&gt;&lt;/FQL&gt;&lt;FQL&gt;&lt;Q&gt;EWQ^FG_COMPANY_NAME&lt;/Q&gt;&lt;R&gt;1&lt;/R&gt;&lt;C&gt;1&lt;/C&gt;&lt;D xsi:type="xsd:string"&gt;iShares MSCI France ETF&lt;/D&gt;&lt;/FQL&gt;&lt;FQL&gt;&lt;Q&gt;FXI^FG_TOTAL_RETURNC(-1AM,-4AM)&lt;/Q&gt;&lt;R&gt;1&lt;/R&gt;&lt;C&gt;1&lt;/C&gt;&lt;D xsi:type="xsd:double"&gt;11.597991&lt;/D&gt;&lt;/FQL&gt;&lt;FQL&gt;&lt;Q&gt;VWO^FG_TOTAL_RETURNC(-1AM,-4AM)&lt;/Q&gt;&lt;R&gt;1&lt;/R&gt;&lt;C&gt;1&lt;/C&gt;&lt;D xsi:type="xsd:double"&gt;5.586016&lt;/D&gt;&lt;/FQL&gt;&lt;FQL&gt;&lt;Q&gt;EMXC^FG_TOTAL_RETURNC(0,-3AM)&lt;/Q&gt;&lt;R&gt;1&lt;/R&gt;&lt;C&gt;1&lt;/C&gt;&lt;D xsi:type="xsd:double"&gt;5.7664037&lt;/D&gt;&lt;/FQL&gt;&lt;FQL&gt;&lt;Q&gt;EMXC^FG_COMPANY_NAME&lt;/Q&gt;&lt;R&gt;1&lt;/R&gt;&lt;C&gt;1&lt;/C&gt;&lt;D xsi:type="xsd:string"&gt;iShares MSCI Emerging Markets ex China ETF&lt;/D&gt;&lt;/FQL&gt;&lt;FQL&gt;&lt;Q&gt;FXI^FG_PE(0)&lt;/Q&gt;&lt;R&gt;1&lt;/R&gt;&lt;C&gt;1&lt;/C&gt;&lt;D xsi:type="xsd:double"&gt;9.51833269895248&lt;/D&gt;&lt;/FQL&gt;&lt;FQL&gt;&lt;Q&gt;QQQ^FG_PE(0)&lt;/Q&gt;&lt;R&gt;1&lt;/R&gt;&lt;C&gt;1&lt;/C&gt;&lt;D xsi:type="xsd:double"&gt;32.149842738016&lt;/D&gt;&lt;/FQL&gt;&lt;FQL&gt;&lt;Q&gt;URTH^FMA_EPS(NTMA,-20AY,0,CY,,"PORTAGG","MEANR")&lt;/Q&gt;&lt;R&gt;20&lt;/R&gt;&lt;C&gt;1&lt;/C&gt;&lt;D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xsi:type="xsd:double"&gt;4.55913632412374&lt;/D&gt;&lt;D xsi:type="xsd:double"&gt;4.8298105677889&lt;/D&gt;&lt;D xsi:type="xsd:double"&gt;4.68122041716609&lt;/D&gt;&lt;D xsi:type="xsd:double"&gt;4.46290846961937&lt;/D&gt;&lt;D xsi:type="xsd:double"&gt;4.5468408308106&lt;/D&gt;&lt;D xsi:type="xsd:double"&gt;5.24375165960342&lt;/D&gt;&lt;D xsi:type="xsd:double"&gt;5.92417007591415&lt;/D&gt;&lt;D xsi:type="xsd:double"&gt;5.85717486715262&lt;/D&gt;&lt;D xsi:type="xsd:double"&gt;5.43711182618958&lt;/D&gt;&lt;D xsi:type="xsd:double"&gt;7.02059598080866&lt;/D&gt;&lt;D xsi:type="xsd:double"&gt;7.30481967873779&lt;/D&gt;&lt;D xsi:type="xsd:double"&gt;7.69572594604234&lt;/D&gt;&lt;/FQL&gt;&lt;FQL&gt;&lt;Q&gt;VWO^FG_PRICE(0,-200D)&lt;/Q&gt;&lt;R&gt;201&lt;/R&gt;&lt;C&gt;1&lt;/C&gt;&lt;D xsi:type="xsd:double"&gt;43.72&lt;/D&gt;&lt;D xsi:type="xsd:double"&gt;43.24&lt;/D&gt;&lt;D xsi:type="xsd:double"&gt;43.35&lt;/D&gt;&lt;D xsi:type="xsd:double"&gt;43.81&lt;/D&gt;&lt;D xsi:type="xsd:double"&gt;44.27&lt;/D&gt;&lt;D xsi:type="xsd:double"&gt;43.93&lt;/D&gt;&lt;D xsi:type="xsd:double"&gt;44.36&lt;/D&gt;&lt;D xsi:type="xsd:double"&gt;44.75&lt;/D&gt;&lt;D xsi:type="xsd:double"&gt;45.41&lt;/D&gt;&lt;D xsi:type="xsd:double"&gt;45.12&lt;/D&gt;&lt;D xsi:type="xsd:double"&gt;45.59&lt;/D&gt;&lt;D xsi:type="xsd:double"&gt;45.38&lt;/D&gt;&lt;D xsi:type="xsd:double"&gt;45.03&lt;/D&gt;&lt;D xsi:type="xsd:double"&gt;44.85&lt;/D&gt;&lt;D xsi:type="xsd:double"&gt;44.66&lt;/D&gt;&lt;D xsi:type="xsd:double"&gt;44.66&lt;/D&gt;&lt;D xsi:type="xsd:double"&gt;44.67&lt;/D&gt;&lt;D xsi:type="xsd:double"&gt;44.02&lt;/D&gt;&lt;D xsi:type="xsd:double"&gt;43.86&lt;/D&gt;&lt;D xsi:type="xsd:double"&gt;43.76&lt;/D&gt;&lt;D xsi:type="xsd:double"&gt;43.65&lt;/D&gt;&lt;D xsi:type="xsd:double"&gt;43.67&lt;/D&gt;&lt;D xsi:type="xsd:double"&gt;43.79&lt;/D&gt;&lt;D xsi:type="xsd:double"&gt;43.92&lt;/D&gt;&lt;D xsi:type="xsd:double"&gt;43.95&lt;/D&gt;&lt;D xsi:type="xsd:double"&gt;44.27&lt;/D&gt;&lt;D xsi:type="xsd:double"&gt;44.35&lt;/D&gt;&lt;D xsi:type="xsd:double"&gt;44&lt;/D&gt;&lt;D xsi:type="xsd:double"&gt;43.76&lt;/D&gt;&lt;D xsi:type="xsd:double"&gt;43.64&lt;/D&gt;&lt;D xsi:type="xsd:double"&gt;43.69&lt;/D&gt;&lt;D xsi:type="xsd:double"&gt;43.35&lt;/D&gt;&lt;D xsi:type="xsd:double"&gt;43.45&lt;/D&gt;&lt;D xsi:type="xsd:double"&gt;43.22&lt;/D&gt;&lt;D xsi:type="xsd:double"&gt;43.58&lt;/D&gt;&lt;D xsi:type="xsd:double"&gt;43.38&lt;/D&gt;&lt;D xsi:type="xsd:double"&gt;42.83&lt;/D&gt;&lt;D xsi:type="xsd:double"&gt;43.51&lt;/D&gt;&lt;D xsi:type="xsd:double"&gt;43.08&lt;/D&gt;&lt;D xsi:type="xsd:double"&gt;43.45&lt;/D&gt;&lt;D xsi:type="xsd:double"&gt;43.53&lt;/D&gt;&lt;D xsi:type="xsd:double"&gt;44.08&lt;/D&gt;&lt;D xsi:type="xsd:double"&gt;44.2&lt;/D&gt;&lt;D xsi:type="xsd:double"&gt;44.06&lt;/D&gt;&lt;D xsi:type="xsd:double"&gt;44.4&lt;/D&gt;&lt;D xsi:type="xsd:double"&gt;44.53&lt;/D&gt;&lt;D xsi:type="xsd:double"&gt;44.79&lt;/D&gt;&lt;D xsi:type="xsd:double"&gt;44.89&lt;/D&gt;&lt;D xsi:type="xsd:double"&gt;44.57&lt;/D&gt;&lt;D xsi:type="xsd:double"&gt;44.4&lt;/D&gt;&lt;D xsi:type="xsd:double"&gt;44.02&lt;/D&gt;&lt;D xsi:type="xsd:double"&gt;43.8&lt;/D&gt;&lt;D xsi:type="xsd:double"&gt;43.46&lt;/D&gt;&lt;D xsi:type="xsd:double"&gt;43.37&lt;/D&gt;&lt;D xsi:type="xsd:double"&gt;43.2&lt;/D&gt;&lt;D xsi:type="xsd:double"&gt;43.24&lt;/D&gt;&lt;D xsi:type="xsd:double"&gt;43.55&lt;/D&gt;&lt;D xsi:type="xsd:double"&gt;43.63&lt;/D&gt;&lt;D xsi:type="xsd:double"&gt;43.25&lt;/D&gt;&lt;D xsi:type="xsd:double"&gt;42.22&lt;/D&gt;&lt;D xsi:type="xsd:double"&gt;42.17&lt;/D&gt;&lt;D xsi:type="xsd:double"&gt;42.74&lt;/D&gt;&lt;D xsi:type="xsd:double"&gt;42.32&lt;/D&gt;&lt;D xsi:type="xsd:double"&gt;41.84&lt;/D&gt;&lt;D xsi:type="xsd:double"&gt;41.71&lt;/D&gt;&lt;D xsi:type="xsd:double"&gt;41.58&lt;/D&gt;&lt;D xsi:type="xsd:double"&gt;41.24&lt;/D&gt;&lt;D xsi:type="xsd:double"&gt;40.89&lt;/D&gt;&lt;D xsi:type="xsd:double"&gt;41.01&lt;/D&gt;&lt;D xsi:type="xsd:double"&gt;40.9&lt;/D&gt;&lt;D xsi:type="xsd:double"&gt;40.83&lt;/D&gt;&lt;D xsi:type="xsd:double"&gt;41.34&lt;/D&gt;&lt;D xsi:type="xsd:double"&gt;41.6&lt;/D&gt;&lt;D xsi:type="xsd:double"&gt;42.42&lt;/D&gt;&lt;D xsi:type="xsd:double"&gt;42.28&lt;/D&gt;&lt;D xsi:type="xsd:double"&gt;42.75&lt;/D&gt;&lt;D xsi:type="xsd:double"&gt;42.38&lt;/D&gt;&lt;D xsi:type="xsd:double"&gt;42.12&lt;/D&gt;&lt;D xsi:type="xsd:double"&gt;41.99&lt;/D&gt;&lt;D xsi:type="xsd:double"&gt;42.14&lt;/D&gt;&lt;D xsi:type="xsd:double"&gt;42.08&lt;/D&gt;&lt;D xsi:type="xsd:double"&gt;41.94&lt;/D&gt;&lt;D xsi:type="xsd:double"&gt;41.77&lt;/D&gt;&lt;D xsi:type="xsd:double"&gt;41.63&lt;/D&gt;&lt;D xsi:type="xsd:double"&gt;41.52&lt;/D&gt;&lt;D xsi:type="xsd:double"&gt;41.61&lt;/D&gt;&lt;D xsi:type="xsd:double"&gt;41.61&lt;/D&gt;&lt;D xsi:type="xsd:double"&gt;41.88&lt;/D&gt;&lt;D xsi:type="xsd:double"&gt;41.85&lt;/D&gt;&lt;D xsi:type="xsd:double"&gt;41.52&lt;/D&gt;&lt;D xsi:type="xsd:double"&gt;41.69&lt;/D&gt;&lt;D xsi:type="xsd:double"&gt;41.6&lt;/D&gt;&lt;D xsi:type="xsd:double"&gt;41.76&lt;/D&gt;&lt;D xsi:type="xsd:double"&gt;41.99&lt;/D&gt;&lt;D xsi:type="xsd:double"&gt;42.23&lt;/D&gt;&lt;D xsi:type="xsd:double"&gt;41.87&lt;/D&gt;&lt;D xsi:type="xsd:double"&gt;41.76&lt;/D&gt;&lt;D xsi:type="xsd:double"&gt;41.83&lt;/D&gt;&lt;D xsi:type="xsd:double"&gt;41.63&lt;/D&gt;&lt;D xsi:type="xsd:double"&gt;41.12&lt;/D&gt;&lt;D xsi:type="xsd:double"&gt;41.4&lt;/D&gt;&lt;D xsi:type="xsd:double"&gt;41.57&lt;/D&gt;&lt;D xsi:type="xsd:double"&gt;41.02&lt;/D&gt;&lt;D xsi:type="xsd:double"&gt;40.93&lt;/D&gt;&lt;D xsi:type="xsd:double"&gt;41.57&lt;/D&gt;&lt;D xsi:type="xsd:double"&gt;41.44&lt;/D&gt;&lt;D xsi:type="xsd:double"&gt;41.58&lt;/D&gt;&lt;D xsi:type="xsd:double"&gt;41.57&lt;/D&gt;&lt;D xsi:type="xsd:double"&gt;41.21&lt;/D&gt;&lt;D xsi:type="xsd:double"&gt;41.17&lt;/D&gt;&lt;D xsi:type="xsd:double"&gt;41.09&lt;/D&gt;&lt;D xsi:type="xsd:double"&gt;40.89&lt;/D&gt;&lt;D xsi:type="xsd:double"&gt;40.64&lt;/D&gt;&lt;D xsi:type="xsd:double"&gt;40.06&lt;/D&gt;&lt;D xsi:type="xsd:double"&gt;40.81&lt;/D&gt;&lt;D xsi:type="xsd:double"&gt;40.63&lt;/D&gt;&lt;D xsi:type="xsd:double"&gt;40.47&lt;/D&gt;&lt;D xsi:type="xsd:double"&gt;40.68&lt;/D&gt;&lt;D xsi:type="xsd:double"&gt;40.71&lt;/D&gt;&lt;D xsi:type="xsd:double"&gt;39.73&lt;/D&gt;&lt;D xsi:type="xsd:double"&gt;39.63&lt;/D&gt;&lt;D xsi:type="xsd:double"&gt;39.91&lt;/D&gt;&lt;D xsi:type="xsd:double"&gt;39.64&lt;/D&gt;&lt;D xsi:type="xsd:double"&gt;39.79&lt;/D&gt;&lt;D xsi:type="xsd:double"&gt;40.17&lt;/D&gt;&lt;D xsi:type="xsd:double"&gt;40.16&lt;/D&gt;&lt;D xsi:type="xsd:double"&gt;40.15&lt;/D&gt;&lt;D xsi:type="xsd:double"&gt;40.05&lt;/D&gt;&lt;D xsi:type="xsd:double"&gt;39.54&lt;/D&gt;&lt;D xsi:type="xsd:double"&gt;39.32&lt;/D&gt;&lt;D xsi:type="xsd:double"&gt;39.63&lt;/D&gt;&lt;D xsi:type="xsd:double"&gt;39.27&lt;/D&gt;&lt;D xsi:type="xsd:double"&gt;39.04&lt;/D&gt;&lt;D xsi:type="xsd:double"&gt;39.57&lt;/D&gt;&lt;D xsi:type="xsd:double"&gt;40.41&lt;/D&gt;&lt;D xsi:type="xsd:double"&gt;40.22&lt;/D&gt;&lt;D xsi:type="xsd:double"&gt;40.05&lt;/D&gt;&lt;D xsi:type="xsd:double"&gt;40.09&lt;/D&gt;&lt;D xsi:type="xsd:double"&gt;40.56&lt;/D&gt;&lt;D xsi:type="xsd:double"&gt;40.49&lt;/D&gt;&lt;D xsi:type="xsd:double"&gt;40.43&lt;/D&gt;&lt;D xsi:type="xsd:double"&gt;40.5&lt;/D&gt;&lt;D xsi:type="xsd:double"&gt;40.62&lt;/D&gt;&lt;D xsi:type="xsd:double"&gt;41.1&lt;/D&gt;&lt;D xsi:type="xsd:double"&gt;40.99&lt;/D&gt;&lt;D xsi:type="xsd:double"&gt;40.74&lt;/D&gt;&lt;D xsi:type="xsd:double"&gt;40.52&lt;/D&gt;&lt;D xsi:type="xsd:double"&gt;40.26&lt;/D&gt;&lt;D xsi:type="xsd:double"&gt;40.4&lt;/D&gt;&lt;D xsi:type="xsd:double"&gt;39.63&lt;/D&gt;&lt;D xsi:type="xsd:double"&gt;40.48&lt;/D&gt;&lt;D xsi:type="xsd:double"&gt;40.2&lt;/D&gt;&lt;D xsi:type="xsd:double"&gt;41.07&lt;/D&gt;&lt;D xsi:type="xsd:double"&gt;41.31&lt;/D&gt;&lt;D xsi:type="xsd:double"&gt;40.77&lt;/D&gt;&lt;D xsi:type="xsd:double"&gt;40.39&lt;/D&gt;&lt;D xsi:type="xsd:double"&gt;40.39&lt;/D&gt;&lt;D xsi:type="xsd:double"&gt;40.21&lt;/D&gt;&lt;D xsi:type="xsd:double"&gt;40.41&lt;/D&gt;&lt;D xsi:type="xsd:double"&gt;40.25&lt;/D&gt;&lt;D xsi:type="xsd:double"&gt;40.3&lt;/D&gt;&lt;D xsi:type="xsd:double"&gt;40.44&lt;/D&gt;&lt;D xsi:type="xsd:double"&gt;40.8&lt;/D&gt;&lt;D xsi:type="xsd:double"&gt;40.63&lt;/D&gt;&lt;D xsi:type="xsd:double"&gt;40.51&lt;/D&gt;&lt;D xsi:type="xsd:double"&gt;40.74&lt;/D&gt;&lt;D xsi:type="xsd:double"&gt;40.41&lt;/D&gt;&lt;D xsi:type="xsd:double"&gt;40.6&lt;/D&gt;&lt;D xsi:type="xsd:double"&gt;40.47&lt;/D&gt;&lt;D xsi:type="xsd:double"&gt;40.58&lt;/D&gt;&lt;D xsi:type="xsd:double"&gt;40.82&lt;/D&gt;&lt;D xsi:type="xsd:double"&gt;40.39&lt;/D&gt;&lt;D xsi:type="xsd:double"&gt;40.23&lt;/D&gt;&lt;D xsi:type="xsd:double"&gt;40.65&lt;/D&gt;&lt;D xsi:type="xsd:double"&gt;40.37&lt;/D&gt;&lt;D xsi:type="xsd:double"&gt;39.45&lt;/D&gt;&lt;D xsi:type="xsd:double"&gt;39.38&lt;/D&gt;&lt;D xsi:type="xsd:double"&gt;39.11&lt;/D&gt;&lt;D xsi:type="xsd:double"&gt;39.46&lt;/D&gt;&lt;D xsi:type="xsd:double"&gt;39.64&lt;/D&gt;&lt;D xsi:type="xsd:double"&gt;39.63&lt;/D&gt;&lt;D xsi:type="xsd:double"&gt;39.51&lt;/D&gt;&lt;D xsi:type="xsd:double"&gt;38.8&lt;/D&gt;&lt;D xsi:type="xsd:double"&gt;38.21&lt;/D&gt;&lt;D xsi:type="xsd:double"&gt;37.94&lt;/D&gt;&lt;D xsi:type="xsd:double"&gt;38.12&lt;/D&gt;&lt;D xsi:type="xsd:double"&gt;37.78&lt;/D&gt;&lt;D xsi:type="xsd:double"&gt;37.74&lt;/D&gt;&lt;D xsi:type="xsd:double"&gt;37.88&lt;/D&gt;&lt;D xsi:type="xsd:double"&gt;38.29&lt;/D&gt;&lt;D xsi:type="xsd:double"&gt;37.82&lt;/D&gt;&lt;D xsi:type="xsd:double"&gt;37.9&lt;/D&gt;&lt;D xsi:type="xsd:double"&gt;38.36&lt;/D&gt;&lt;D xsi:type="xsd:double"&gt;38.5&lt;/D&gt;&lt;D xsi:type="xsd:double"&gt;39.14&lt;/D&gt;&lt;D xsi:type="xsd:double"&gt;39.31&lt;/D&gt;&lt;D xsi:type="xsd:double"&gt;39.03&lt;/D&gt;&lt;D xsi:type="xsd:double"&gt;39.18&lt;/D&gt;&lt;D xsi:type="xsd:double"&gt;39.6&lt;/D&gt;&lt;D xsi:type="xsd:double"&gt;39.48&lt;/D&gt;&lt;D xsi:type="xsd:double"&gt;38.86&lt;/D&gt;&lt;/FQL&gt;&lt;FQL&gt;&lt;Q&gt;SPY^P_PRICE(0)/P_PRICE_HIGH_PR(0,,,USD,,,"PRICE","INTRA","52W")&lt;/Q&gt;&lt;R&gt;1&lt;/R&gt;&lt;C&gt;1&lt;/C&gt;&lt;D xsi:type="xsd:double"&gt;0.96333784&lt;/D&gt;&lt;/FQL&gt;&lt;FQL&gt;&lt;Q&gt;EWD^P_PRICE(0)/P_PRICE_HIGH_PR(0,,,USD,,,"PRICE","INTRA","52W")&lt;/Q&gt;&lt;R&gt;1&lt;/R&gt;&lt;C&gt;1&lt;/C&gt;&lt;D xsi:type="xsd:double"&gt;0.92989445&lt;/D&gt;&lt;/FQL&gt;&lt;FQL&gt;&lt;Q&gt;EWJ^P_PRICE(0)/P_PRICE_HIGH_PR(0,,,USD,,,"PRICE","INTRA","52W")&lt;/Q&gt;&lt;R&gt;1&lt;/R&gt;&lt;C&gt;1&lt;/C&gt;&lt;D xsi:type="xsd:double"&gt;0.95316726&lt;/D&gt;&lt;/FQL&gt;&lt;FQL&gt;&lt;Q&gt;IWM^PERCENT_CHANGE(FMA_EPS(+1,0,,,,"PORTAGG","MEAN"),FMA_EPS(+1,-3AM,,,,"PORTAGG","MEAN"))&lt;/Q&gt;&lt;R&gt;1&lt;/R&gt;&lt;C&gt;1&lt;/C&gt;&lt;D xsi:type="xsd:double"&gt;-8.99811178998543&lt;/D&gt;&lt;/FQL&gt;&lt;FQL&gt;&lt;Q&gt;VGK^PERCENT_CHANGE(FMA_EPS(+1,0,,,,"PORTAGG","MEAN"),FMA_EPS(+1,-1AM,,,,"PORTAGG","MEAN"))&lt;/Q&gt;&lt;R&gt;1&lt;/R&gt;&lt;C&gt;1&lt;/C&gt;&lt;D xsi:type="xsd:double"&gt;-2.86881895465458&lt;/D&gt;&lt;/FQL&gt;&lt;FQL&gt;&lt;Q&gt;EWU^FMA_PCT_ABOVE_MAVG(200,0,,,,"PORTAGG")&lt;/Q&gt;&lt;R&gt;1&lt;/R&gt;&lt;C&gt;1&lt;/C&gt;&lt;D xsi:type="xsd:double"&gt;65&lt;/D&gt;&lt;/FQL&gt;&lt;FQL&gt;&lt;Q&gt;QQQ^FMA_COS_UP("EPS","1M",+1,0,,,"PORTAGG","MEANR")&lt;/Q&gt;&lt;R&gt;1&lt;/R&gt;&lt;C&gt;1&lt;/C&gt;&lt;D xsi:type="xsd:double"&gt;39&lt;/D&gt;&lt;/FQL&gt;&lt;FQL&gt;&lt;Q&gt;EWL^SIZE(FG_CONSTITUENTS)&lt;/Q&gt;&lt;R&gt;1&lt;/R&gt;&lt;C&gt;1&lt;/C&gt;&lt;D xsi:type="xsd:long"&gt;46&lt;/D&gt;&lt;/FQL&gt;&lt;FQL&gt;&lt;Q&gt;USO^FG_TOTAL_RETURNC(-1AM,-2AM)&lt;/Q&gt;&lt;R&gt;1&lt;/R&gt;&lt;C&gt;1&lt;/C&gt;&lt;D xsi:type="xsd:double"&gt;4.5122743&lt;/D&gt;&lt;/FQL&gt;&lt;FQL&gt;&lt;Q&gt;QQQ^FG_TOTAL_RETURNC(0,-1AM)&lt;/Q&gt;&lt;R&gt;1&lt;/R&gt;&lt;C&gt;1&lt;/C&gt;&lt;D xsi:type="xsd:double"&gt;-3.622204&lt;/D&gt;&lt;/FQL&gt;&lt;FQL&gt;&lt;Q&gt;SPY^FG_FCF_YIELD_NTM(0)&lt;/Q&gt;&lt;R&gt;1&lt;/R&gt;&lt;C&gt;1&lt;/C&gt;&lt;D xsi:type="xsd:double"&gt;4.21509208328183&lt;/D&gt;&lt;/FQL&gt;&lt;FQL&gt;&lt;Q&gt;EWI^SIZE(FG_CONSTITUENTS)&lt;/Q&gt;&lt;R&gt;1&lt;/R&gt;&lt;C&gt;1&lt;/C&gt;&lt;D xsi:type="xsd:long"&gt;26&lt;/D&gt;&lt;/FQL&gt;&lt;FQL&gt;&lt;Q&gt;FXI^FG_TOTAL_RETURNC(-1AM,-2AM)&lt;/Q&gt;&lt;R&gt;1&lt;/R&gt;&lt;C&gt;1&lt;/C&gt;&lt;D xsi:type="xsd:double"&gt;-3.5353124&lt;/D&gt;&lt;/FQL&gt;&lt;FQL&gt;&lt;Q&gt;VWO^FG_TOTAL_RETURNC(-1AM,-2AM)&lt;/Q&gt;&lt;R&gt;1&lt;/R&gt;&lt;C&gt;1&lt;/C&gt;&lt;D xsi:type="xsd:double"&gt;-0.81604123&lt;/D&gt;&lt;/FQL&gt;&lt;F</t>
        </r>
      </text>
    </comment>
    <comment ref="A3" authorId="0" shapeId="0" xr:uid="{CC63D07C-9211-46E2-A231-E3AA44F3BD46}">
      <text>
        <r>
          <rPr>
            <b/>
            <sz val="9"/>
            <color indexed="81"/>
            <rFont val="Tahoma"/>
            <charset val="1"/>
          </rPr>
          <t>QL&gt;&lt;Q&gt;EMXC^FG_TOTAL_RETURNC(0,-1AM)&lt;/Q&gt;&lt;R&gt;1&lt;/R&gt;&lt;C&gt;1&lt;/C&gt;&lt;D xsi:type="xsd:double"&gt;1.1953473&lt;/D&gt;&lt;/FQL&gt;&lt;FQL&gt;&lt;Q&gt;VGK^FG_COMPANY_NAME&lt;/Q&gt;&lt;R&gt;1&lt;/R&gt;&lt;C&gt;1&lt;/C&gt;&lt;D xsi:type="xsd:string"&gt;Vanguard FTSE Europe ETF&lt;/D&gt;&lt;/FQL&gt;&lt;FQL&gt;&lt;Q&gt;INDA^FG_FCF_YIELD_NTM(0)&lt;/Q&gt;&lt;R&gt;1&lt;/R&gt;&lt;C&gt;1&lt;/C&gt;&lt;D xsi:type="xsd:double"&gt;2.69743500597538&lt;/D&gt;&lt;/FQL&gt;&lt;FQL&gt;&lt;Q&gt;VWO^FMA_EPS(NTMA,-20AY,0,CY,,"PORTAGG","MEANR")&lt;/Q&gt;&lt;R&gt;20&lt;/R&gt;&lt;C&gt;1&lt;/C&gt;&lt;D xsi:type="xsd:string"&gt;@NA&lt;/D&gt;&lt;D xsi:type="xsd:double"&gt;2.47096748819429&lt;/D&gt;&lt;D xsi:type="xsd:double"&gt;3.07377774425412&lt;/D&gt;&lt;D xsi:type="xsd:double"&gt;3.86944526172212&lt;/D&gt;&lt;D xsi:type="xsd:double"&gt;2.60867545168868&lt;/D&gt;&lt;D xsi:type="xsd:double"&gt;3.18821291353687&lt;/D&gt;&lt;D xsi:type="xsd:double"&gt;4.15747212481106&lt;/D&gt;&lt;D xsi:type="xsd:double"&gt;4.12857564630079&lt;/D&gt;&lt;D xsi:type="xsd:double"&gt;4.18029682315269&lt;/D&gt;&lt;D xsi:type="xsd:double"&gt;3.80798109782178&lt;/D&gt;&lt;D xsi:type="xsd:double"&gt;3.50712263282986&lt;/D&gt;&lt;D xsi:type="xsd:double"&gt;2.87492956545103&lt;/D&gt;&lt;D xsi:type="xsd:double"&gt;2.98790327540514&lt;/D&gt;&lt;D xsi:type="xsd:double"&gt;3.48400264543457&lt;/D&gt;&lt;D xsi:type="xsd:double"&gt;3.41428108527064&lt;/D&gt;&lt;D xsi:type="xsd:double"&gt;3.40455003896663&lt;/D&gt;&lt;D xsi:type="xsd:double"&gt;3.30496543999526&lt;/D&gt;&lt;D xsi:type="xsd:double"&gt;3.92169461765162&lt;/D&gt;&lt;D xsi:type="xsd:double"&gt;3.36694854736787&lt;/D&gt;&lt;D xsi:type="xsd:double"&gt;3.38672467340405&lt;/D&gt;&lt;/FQL&gt;&lt;FQL&gt;&lt;Q&gt;VWO^JULIAN(P_PRICE(0,-200D).DATES)&lt;/Q&gt;&lt;R&gt;201&lt;/R&gt;&lt;C&gt;1&lt;/C&gt;&lt;D xsi:type="xsd:long"&gt;45499&lt;/D&gt;&lt;D xsi:type="xsd:long"&gt;45498&lt;/D&gt;&lt;D xsi:type="xsd:long"&gt;45497&lt;/D&gt;&lt;D xsi:type="xsd:long"&gt;45496&lt;/D&gt;&lt;D xsi:type="xsd:long"&gt;45495&lt;/D&gt;&lt;D xsi:type="xsd:long"&gt;45492&lt;/D&gt;&lt;D xsi:type="xsd:long"&gt;45491&lt;/D&gt;&lt;D xsi:type="xsd:long"&gt;45490&lt;/D&gt;&lt;D xsi:type="xsd:long"&gt;45489&lt;/D&gt;&lt;D xsi:type="xsd:long"&gt;45488&lt;/D&gt;&lt;D xsi:type="xsd:long"&gt;45485&lt;/D&gt;&lt;D xsi:type="xsd:long"&gt;45484&lt;/D&gt;&lt;D xsi:type="xsd:long"&gt;45483&lt;/D&gt;&lt;D xsi:type="xsd:long"&gt;45482&lt;/D&gt;&lt;D xsi:type="xsd:long"&gt;45481&lt;/D&gt;&lt;D xsi:type="xsd:long"&gt;45478&lt;/D&gt;&lt;D xsi:type="xsd:long"&gt;45476&lt;/D&gt;&lt;D xsi:type="xsd:long"&gt;45475&lt;/D&gt;&lt;D xsi:type="xsd:long"&gt;45474&lt;/D&gt;&lt;D xsi:type="xsd:long"&gt;45471&lt;/D&gt;&lt;D xsi:type="xsd:long"&gt;45470&lt;/D&gt;&lt;D xsi:type="xsd:long"&gt;45469&lt;/D&gt;&lt;D xsi:type="xsd:long"&gt;45468&lt;/D&gt;&lt;D xsi:type="xsd:long"&gt;45467&lt;/D&gt;&lt;D xsi:type="xsd:long"&gt;45464&lt;/D&gt;&lt;D xsi:type="xsd:long"&gt;45463&lt;/D&gt;&lt;D xsi:type="xsd:long"&gt;45461&lt;/D&gt;&lt;D xsi:type="xsd:long"&gt;45460&lt;/D&gt;&lt;D xsi:type="xsd:long"&gt;45457&lt;/D&gt;&lt;D xsi:type="xsd:long"&gt;45456&lt;/D&gt;&lt;D xsi:type="xsd:long"&gt;45455&lt;/D&gt;&lt;D xsi:type="xsd:long"&gt;45454&lt;/D&gt;&lt;D xsi:type="xsd:long"&gt;45453&lt;/D&gt;&lt;D xsi:type="xsd:long"&gt;45450&lt;/D&gt;&lt;D xsi:type="xsd:long"&gt;45449&lt;/D&gt;&lt;D xsi:type="xsd:long"&gt;45448&lt;/D&gt;&lt;D xsi:type="xsd:long"&gt;45447&lt;/D&gt;&lt;D xsi:type="xsd:long"&gt;45446&lt;/D&gt;&lt;D xsi:type="xsd:long"&gt;45443&lt;/D&gt;&lt;D xsi:type="xsd:long"&gt;45442&lt;/D&gt;&lt;D xsi:type="xsd:long"&gt;45441&lt;/D&gt;&lt;D xsi:type="xsd:long"&gt;45440&lt;/D&gt;&lt;D xsi:type="xsd:long"&gt;45436&lt;/D&gt;&lt;D xsi:type="xsd:long"&gt;45435&lt;/D&gt;&lt;D xsi:type="xsd:long"&gt;45434&lt;/D&gt;&lt;D xsi:type="xsd:long"&gt;45433&lt;/D&gt;&lt;D xsi:type="xsd:long"&gt;45432&lt;/D&gt;&lt;D xsi:type="xsd:long"&gt;45429&lt;/D&gt;&lt;D xsi:type="xsd:long"&gt;45428&lt;/D&gt;&lt;D xsi:type="xsd:long"&gt;45427&lt;/D&gt;&lt;D xsi:type="xsd:long"&gt;45426&lt;/D&gt;&lt;D xsi:type="xsd:long"&gt;45425&lt;/D&gt;&lt;D xsi:type="xsd:long"&gt;45422&lt;/D&gt;&lt;D xsi:type="xsd:long"&gt;45421&lt;/D&gt;&lt;D xsi:type="xsd:long"&gt;45420&lt;/D&gt;&lt;D xsi:type="xsd:long"&gt;45419&lt;/D&gt;&lt;D xsi:type="xsd:long"&gt;45418&lt;/D&gt;&lt;D xsi:type="xsd:long"&gt;45415&lt;/D&gt;&lt;D xsi:type="xsd:long"&gt;45414&lt;/D&gt;&lt;D xsi:type="xsd:long"&gt;45413&lt;/D&gt;&lt;D xsi:type="xsd:long"&gt;45412&lt;/D&gt;&lt;D xsi:type="xsd:long"&gt;45411&lt;/D&gt;&lt;D xsi:type="xsd:long"&gt;45408&lt;/D&gt;&lt;D xsi:type="xsd:long"&gt;45407&lt;/D&gt;&lt;D xsi:type="xsd:long"&gt;45406&lt;/D&gt;&lt;D xsi:type="xsd:long"&gt;45405&lt;/D&gt;&lt;D xsi:type="xsd:long"&gt;45404&lt;/D&gt;&lt;D xsi:type="xsd:long"&gt;45401&lt;/D&gt;&lt;D xsi:type="xsd:long"&gt;45400&lt;/D&gt;&lt;D xsi:type="xsd:long"&gt;45399&lt;/D&gt;&lt;D xsi:type="xsd:long"&gt;45398&lt;/D&gt;&lt;D xsi:type="xsd:long"&gt;45397&lt;/D&gt;&lt;D xsi:type="xsd:long"&gt;45394&lt;/D&gt;&lt;D xsi:type="xsd:long"&gt;45393&lt;/D&gt;&lt;D xsi:type="xsd:long"&gt;45392&lt;/D&gt;&lt;D xsi:type="xsd:long"&gt;45391&lt;/D&gt;&lt;D xsi:type="xsd:long"&gt;45390&lt;/D&gt;&lt;D xsi:type="xsd:long"&gt;45387&lt;/D&gt;&lt;D xsi:type="xsd:long"&gt;45386&lt;/D&gt;&lt;D xsi:type="xsd:long"&gt;45385&lt;/D&gt;&lt;D xsi:type="xsd:long"&gt;45384&lt;/D&gt;&lt;D xsi:type="xsd:long"&gt;45383&lt;/D&gt;&lt;D xsi:type="xsd:long"&gt;45379&lt;/D&gt;&lt;D xsi:type="xsd:long"&gt;45378&lt;/D&gt;&lt;D xsi:type="xsd:long"&gt;45377&lt;/D&gt;&lt;D xsi:type="xsd:long"&gt;45376&lt;/D&gt;&lt;D xsi:type="xsd:long"&gt;45373&lt;/D&gt;&lt;D xsi:type="xsd:long"&gt;45372&lt;/D&gt;&lt;D xsi:type="xsd:long"&gt;45371&lt;/D&gt;&lt;D xsi:type="xsd:long"&gt;45370&lt;/D&gt;&lt;D xsi:type="xsd:long"&gt;45369&lt;/D&gt;&lt;D xsi:type="xsd:long"&gt;45366&lt;/D&gt;&lt;D xsi:type="xsd:long"&gt;45365&lt;/D&gt;&lt;D xsi:type="xsd:long"&gt;45364&lt;/D&gt;&lt;D xsi:type="xsd:long"&gt;45363&lt;/D&gt;&lt;D xsi:type="xsd:long"&gt;45362&lt;/D&gt;&lt;D xsi:type="xsd:long"&gt;45359&lt;/D&gt;&lt;D xsi:type="xsd:long"&gt;45358&lt;/D&gt;&lt;D xsi:type="xsd:long"&gt;45357&lt;/D&gt;&lt;D xsi:type="xsd:long"&gt;45356&lt;/D&gt;&lt;D xsi:type="xsd:long"&gt;45355&lt;/D&gt;&lt;D xsi:type="xsd:long"&gt;45352&lt;/D&gt;&lt;D xsi:type="xsd:long"&gt;45351&lt;/D&gt;&lt;D xsi:type="xsd:long"&gt;45350&lt;/D&gt;&lt;D xsi:type="xsd:long"&gt;45349&lt;/D&gt;&lt;D xsi:type="xsd:long"&gt;45348&lt;/D&gt;&lt;D xsi:type="xsd:long"&gt;45345&lt;/D&gt;&lt;D xsi:type="xsd:long"&gt;45344&lt;/D&gt;&lt;D xsi:type="xsd:long"&gt;45343&lt;/D&gt;&lt;D xsi:type="xsd:long"&gt;45342&lt;/D&gt;&lt;D xsi:type="xsd:long"&gt;45338&lt;/D&gt;&lt;D xsi:type="xsd:long"&gt;45337&lt;/D&gt;&lt;D xsi:type="xsd:long"&gt;45336&lt;/D&gt;&lt;D xsi:type="xsd:long"&gt;45335&lt;/D&gt;&lt;D xsi:type="xsd:long"&gt;45334&lt;/D&gt;&lt;D xsi:type="xsd:long"&gt;45331&lt;/D&gt;&lt;D xsi:type="xsd:long"&gt;45330&lt;/D&gt;&lt;D xsi:type="xsd:long"&gt;45329&lt;/D&gt;&lt;D xsi:type="xsd:long"&gt;45328&lt;/D&gt;&lt;D xsi:type="xsd:long"&gt;45327&lt;/D&gt;&lt;D xsi:type="xsd:long"&gt;45324&lt;/D&gt;&lt;D xsi:type="xsd:long"&gt;45323&lt;/D&gt;&lt;D xsi:type="xsd:long"&gt;45322&lt;/D&gt;&lt;D xsi:type="xsd:long"&gt;45321&lt;/D&gt;&lt;D xsi:type="xsd:long"&gt;45320&lt;/D&gt;&lt;D xsi:type="xsd:long"&gt;45317&lt;/D&gt;&lt;D xsi:type="xsd:long"&gt;45316&lt;/D&gt;&lt;D xsi:type="xsd:long"&gt;45315&lt;/D&gt;&lt;D xsi:type="xsd:long"&gt;45314&lt;/D&gt;&lt;D xsi:type="xsd:long"&gt;45313&lt;/D&gt;&lt;D xsi:type="xsd:long"&gt;45310&lt;/D&gt;&lt;D xsi:type="xsd:long"&gt;45309&lt;/D&gt;&lt;D xsi:type="xsd:long"&gt;45308&lt;/D&gt;&lt;D xsi:type="xsd:long"&gt;45307&lt;/D&gt;&lt;D xsi:type="xsd:long"&gt;45303&lt;/D&gt;&lt;D xsi:type="xsd:long"&gt;45302&lt;/D&gt;&lt;D xsi:type="xsd:long"&gt;45301&lt;/D&gt;&lt;D xsi:type="xsd:long"&gt;45300&lt;/D&gt;&lt;D xsi:type="xsd:long"&gt;45299&lt;/D&gt;&lt;D xsi:type="xsd:long"&gt;45296&lt;/D&gt;&lt;D xsi:type="xsd:long"&gt;45295&lt;/D&gt;&lt;D xsi:type="xsd:long"&gt;45294&lt;/D&gt;&lt;D xsi:type="xsd:long"&gt;45293&lt;/D&gt;&lt;D xsi:type="xsd:long"&gt;45289&lt;/D&gt;&lt;D xsi:type="xsd:long"&gt;45288&lt;/D&gt;&lt;D xsi:type="xsd:long"&gt;45287&lt;/D&gt;&lt;D xsi:type="xsd:long"&gt;45286&lt;/D&gt;&lt;D xsi:type="xsd:long"&gt;45282&lt;/D&gt;&lt;D xsi:type="xsd:long"&gt;45281&lt;/D&gt;&lt;D xsi:type="xsd:long"&gt;45280&lt;/D&gt;&lt;D xsi:type="xsd:long"&gt;45279&lt;/D&gt;&lt;D xsi:type="xsd:long"&gt;45278&lt;/D&gt;&lt;D xsi:type="xsd:long"&gt;45275&lt;/D&gt;&lt;D xsi:type="xsd:long"&gt;45274&lt;/D&gt;&lt;D xsi:type="xsd:long"&gt;45273&lt;/D&gt;&lt;D xsi:type="xsd:long"&gt;45272&lt;/D&gt;&lt;D xsi:type="xsd:long"&gt;45271&lt;/D&gt;&lt;D xsi:type="xsd:long"&gt;45268&lt;/D&gt;&lt;D xsi:type="xsd:long"&gt;45267&lt;/D&gt;&lt;D xsi:type="xsd:long"&gt;45266&lt;/D&gt;&lt;D xsi:type="xsd:long"&gt;45265&lt;/D&gt;&lt;D xsi:type="xsd:long"&gt;45264&lt;/D&gt;&lt;D xsi:type="xsd:long"&gt;45261&lt;/D&gt;&lt;D xsi:type="xsd:long"&gt;45260&lt;/D&gt;&lt;D xsi:type="xsd:long"&gt;45259&lt;/D&gt;&lt;D xsi:type="xsd:long"&gt;45258&lt;/D&gt;&lt;D xsi:type="xsd:long"&gt;45257&lt;/D&gt;&lt;D xsi:type="xsd:long"&gt;45254&lt;/D&gt;&lt;D xsi:type="xsd:long"&gt;45252&lt;/D&gt;&lt;D xsi:type="xsd:long"&gt;45251&lt;/D&gt;&lt;D xsi:type="xsd:long"&gt;45250&lt;/D&gt;&lt;D xsi:type="xsd:long"&gt;45247&lt;/D&gt;&lt;D xsi:type="xsd:long"&gt;45246&lt;/D&gt;&lt;D xsi:type="xsd:long"&gt;45245&lt;/D&gt;&lt;D xsi:type="xsd:long"&gt;45244&lt;/D&gt;&lt;D xsi:type="xsd:long"&gt;45243&lt;/D&gt;&lt;D xsi:type="xsd:long"&gt;45240&lt;/D&gt;&lt;D xsi:type="xsd:long"&gt;45239&lt;/D&gt;&lt;D xsi:type="xsd:long"&gt;45238&lt;/D&gt;&lt;D xsi:type="xsd:long"&gt;45237&lt;/D&gt;&lt;D xsi:type="xsd:long"&gt;45236&lt;/D&gt;&lt;D xsi:type="xsd:long"&gt;45233&lt;/D&gt;&lt;D xsi:type="xsd:long"&gt;45232&lt;/D&gt;&lt;D xsi:type="xsd:long"&gt;45231&lt;/D&gt;&lt;D xsi:type="xsd:long"&gt;45230&lt;/D&gt;&lt;D xsi:type="xsd:long"&gt;45229&lt;/D&gt;&lt;D xsi:type="xsd:long"&gt;45226&lt;/D&gt;&lt;D xsi:type="xsd:long"&gt;45225&lt;/D&gt;&lt;D xsi:type="xsd:long"&gt;45224&lt;/D&gt;&lt;D xsi:type="xsd:long"&gt;45223&lt;/D&gt;&lt;D xsi:type="xsd:long"&gt;45222&lt;/D&gt;&lt;D xsi:type="xsd:long"&gt;45219&lt;/D&gt;&lt;D xsi:type="xsd:long"&gt;45218&lt;/D&gt;&lt;D xsi:type="xsd:long"&gt;45217&lt;/D&gt;&lt;D xsi:type="xsd:long"&gt;45216&lt;/D&gt;&lt;D xsi:type="xsd:long"&gt;45215&lt;/D&gt;&lt;D xsi:type="xsd:long"&gt;45212&lt;/D&gt;&lt;D xsi:type="xsd:long"&gt;45211&lt;/D&gt;&lt;D xsi:type="xsd:long"&gt;45210&lt;/D&gt;&lt;D xsi:type="xsd:long"&gt;45209&lt;/D&gt;&lt;D xsi:type="xsd:long"&gt;45208&lt;/D&gt;&lt;/FQL&gt;&lt;FQL&gt;&lt;Q&gt;EWJ^P_PRICE(0)/P_PRICE_LOW_PR(0,,,USD,,,"PRICE","INTRA","52W")-1&lt;/Q&gt;&lt;R&gt;1&lt;/R&gt;&lt;C&gt;1&lt;/C&gt;&lt;D xsi:type="xsd:double"&gt;0.20087421&lt;/D&gt;&lt;/FQL&gt;&lt;FQL&gt;&lt;Q&gt;EWN^FG_TOTAL_RETURNC(0,-6AM)&lt;/Q&gt;&lt;R&gt;1&lt;/R&gt;&lt;C&gt;1&lt;/C&gt;&lt;D xsi:type="xsd:double"&gt;7.357824&lt;/D&gt;&lt;/FQL&gt;&lt;FQL&gt;&lt;Q&gt;IWM^FMA_PCT_ABOVE_MAVG(200,0,,,,"PORTAGG")&lt;/Q&gt;&lt;R&gt;1&lt;/R&gt;&lt;C&gt;1&lt;/C&gt;&lt;D xsi:type="xsd:double"&gt;71.4579055441478&lt;/D&gt;&lt;/FQL&gt;&lt;FQL&gt;&lt;Q&gt;VGK^FMA_PCT_ABOVE_MAVG(200,0,,,,"PORTAGG")&lt;/Q&gt;&lt;R&gt;1&lt;/R&gt;&lt;C&gt;1&lt;/C&gt;&lt;D xsi:type="xsd:double"&gt;60.1114649681529&lt;/D&gt;&lt;/FQL&gt;&lt;FQL&gt;&lt;Q&gt;EWL^PERCENT_CHANGE(FMA_EPS(+1,0,,,,"PORTAGG","MEAN"),FMA_EPS(+1,-3AM,,,,"PORTAGG","MEAN"))&lt;/Q&gt;&lt;R&gt;1&lt;/R&gt;&lt;C&gt;1&lt;/C&gt;&lt;D xsi:type="xsd:double"&gt;2.33695673029592&lt;/D&gt;&lt;/FQL&gt;&lt;FQL&gt;&lt;Q&gt;EMXC^SIZE(FG_CONSTITUENTS)&lt;/Q&gt;&lt;R&gt;1&lt;/R&gt;&lt;C&gt;1&lt;/C&gt;&lt;D xsi:type="xsd:long"&gt;688&lt;/D&gt;&lt;/FQL&gt;&lt;FQL&gt;&lt;Q&gt;EWI^FMA_COS_DOWN("EPS","1M",+1,0,,,"PORTAGG","MEANR")&lt;/Q&gt;&lt;R&gt;1&lt;/R&gt;&lt;C&gt;1&lt;/C&gt;&lt;D xsi:type="xsd:double"&gt;11&lt;/D&gt;&lt;/FQL&gt;&lt;FQL&gt;&lt;Q&gt;EWL^FMA_COS_DOWN("EPS","1M",+1,0,,,"PORTAGG","MEANR")&lt;/Q&gt;&lt;R&gt;1&lt;/R&gt;&lt;C&gt;1&lt;/C&gt;&lt;D xsi:type="xsd:double"&gt;18&lt;/D&gt;&lt;/FQL&gt;&lt;FQL&gt;&lt;Q&gt;DBC^FG_TOTAL_RETURNC(-1AM,-4AM)&lt;/Q&gt;&lt;R&gt;1&lt;/R&gt;&lt;C&gt;1&lt;/C&gt;&lt;D xsi:type="xsd:double"&gt;2.1566868&lt;/D&gt;&lt;/FQL&gt;&lt;FQL&gt;&lt;Q&gt;UUP^P_PRICE(0)/P_PRICE_HIGH_PR(0,,,USD,,,"PRICE","INTRA","52W")&lt;/Q&gt;&lt;R&gt;1&lt;/R&gt;&lt;C&gt;1&lt;/C&gt;&lt;D xsi:type="xsd:double"&gt;0.95541185&lt;/D&gt;&lt;/FQL&gt;&lt;FQL&gt;&lt;Q&gt;SPY^FMA_DIV_YLD(NTMA,NOW,NOW,M,"PORTAGG","MEANR")&lt;/Q&gt;&lt;R&gt;1&lt;/R&gt;&lt;C&gt;1&lt;/C&gt;&lt;D xsi:type="xsd:double"&gt;1.40757877344102&lt;/D&gt;&lt;/FQL&gt;&lt;FQL&gt;&lt;Q&gt;EWJ^PERCENT_CHANGE(FMA_EPS(+1,0,,,,"PORTAGG","MEAN"),FMA_EPS(+1,-1AM,,,,"PORTAGG","MEAN"))&lt;/Q&gt;&lt;R&gt;1&lt;/R&gt;&lt;C&gt;1&lt;/C&gt;&lt;D xsi:type="xsd:double"&gt;3.43107170641426&lt;/D&gt;&lt;/FQL&gt;&lt;FQL&gt;&lt;Q&gt;EWJ^SIZE(FG_CONSTITUENTS)&lt;/Q&gt;&lt;R&gt;1&lt;/R&gt;&lt;C&gt;1&lt;/C&gt;&lt;D xsi:type="xsd:long"&gt;205&lt;/D&gt;&lt;/FQL&gt;&lt;FQL&gt;&lt;Q&gt;QQQ^FG_COMPANY_NAME&lt;/Q&gt;&lt;R&gt;1&lt;/R&gt;&lt;C&gt;1&lt;/C&gt;&lt;D xsi:type="xsd:string"&gt;Invesco QQQ Trust Series I&lt;/D&gt;&lt;/FQL&gt;&lt;FQL&gt;&lt;Q&gt;EWJ^P_PRICE(-1AM)/P_PRICE_HIGH_PR(-1AM,,,,,,"PRICE","INTRA","52W")&lt;/Q&gt;&lt;R&gt;1&lt;/R&gt;&lt;C&gt;1&lt;/C&gt;&lt;D xsi:type="xsd:double"&gt;0.93401784&lt;/D&gt;&lt;/FQL&gt;&lt;FQL&gt;&lt;Q&gt;QQQ^P_PRICE(-1AM)/P_PRICE_HIGH_PR(-1AM,,,,,,"PRICE","INTRA","52W")&lt;/Q&gt;&lt;R&gt;1&lt;/R&gt;&lt;C&gt;1&lt;/C&gt;&lt;D xsi:type="xsd:double"&gt;0.9866697&lt;/D&gt;&lt;/FQL&gt;&lt;FQL&gt;&lt;Q&gt;BIGPX^P_PRICE(0)/P_PRICE_HIGH_PR(0,,,USD,,,"PRICE","INTRA","52W")&lt;/Q&gt;&lt;R&gt;1&lt;/R&gt;&lt;C&gt;1&lt;/C&gt;&lt;D xsi:type="xsd:double"&gt;0.9711125&lt;/D&gt;&lt;/FQL&gt;&lt;FQL&gt;&lt;Q&gt;VGK^P_PRICE(0)/P_PRICE_HIGH_PR(0,,,USD,,,"PRICE","INTRA","52W")&lt;/Q&gt;&lt;R&gt;1&lt;/R&gt;&lt;C&gt;1&lt;/C&gt;&lt;D xsi:type="xsd:double"&gt;0.9638486&lt;/D&gt;&lt;/FQL&gt;&lt;FQL&gt;&lt;Q&gt;TLT^FG_COMPANY_NAME&lt;/Q&gt;&lt;R&gt;1&lt;/R&gt;&lt;C&gt;1&lt;/C&gt;&lt;D xsi:type="xsd:string"&gt;iShares 20+ Year Treasury Bond ETF&lt;/D&gt;&lt;/FQL&gt;&lt;FQL&gt;&lt;Q&gt;EWA^FMA_PCT_ABOVE_MAVG(200,0,,,,"PORTAGG")&lt;/Q&gt;&lt;R&gt;1&lt;/R&gt;&lt;C&gt;1&lt;/C&gt;&lt;D xsi:type="xsd:double"&gt;64.4067796610169&lt;/D&gt;&lt;/FQL&gt;&lt;FQL&gt;&lt;Q&gt;SPY^FMA_COS_UP("EPS","1M",+1,0,,,"PORTAGG","MEANR")&lt;/Q&gt;&lt;R&gt;1&lt;/R&gt;&lt;C&gt;1&lt;/C&gt;&lt;D xsi:type="xsd:double"&gt;184&lt;/D&gt;&lt;/FQL&gt;&lt;FQL&gt;&lt;Q&gt;BTC00-USA^FG_PRICE(-1AM)/MAX(FG_PRICE(-1AM,-13AM,D))&lt;/Q&gt;&lt;R&gt;1&lt;/R&gt;&lt;C&gt;1&lt;/C&gt;&lt;D xsi:type="xsd:double"&gt;0.824460528985997&lt;/D&gt;&lt;/FQL&gt;&lt;FQL&gt;&lt;Q&gt;TLT^P_PRICE(-1AM)/P_PRICE_HIGH_PR(-1AM,,,,,,"PRICE","INTRA","52W")&lt;/Q&gt;&lt;R&gt;1&lt;/R&gt;&lt;C&gt;1&lt;/C&gt;&lt;D xsi:type="xsd:double"&gt;0.8961039&lt;/D&gt;&lt;/FQL&gt;&lt;FQL&gt;&lt;Q&gt;GLD^P_PRICE(-1AM)/P_PRICE_HIGH_PR(-1AM,,,,,,"PRICE","INTRA","52W")&lt;/Q&gt;&lt;R&gt;1&lt;/R&gt;&lt;C&gt;1&lt;/C&gt;&lt;D xsi:type="xsd:double"&gt;0.9420367&lt;/D&gt;&lt;/FQL&gt;&lt;FQL&gt;&lt;Q&gt;USO^FG_TOTAL_RETURNC(0,-3AM)&lt;/Q&gt;&lt;R&gt;1&lt;/R&gt;&lt;C&gt;1&lt;/C&gt;&lt;D xsi:type="xsd:double"&gt;-5.324042&lt;/D&gt;&lt;/FQL&gt;&lt;FQL&gt;&lt;Q&gt;VWO^P_PRICE(0)/P_PRICE_HIGH_PR(0,,,USD,,,"PRICE","INTRA","52W")&lt;/Q&gt;&lt;R&gt;1&lt;/R&gt;&lt;C&gt;1&lt;/C&gt;&lt;D xsi:type="xsd:double"&gt;0.95615095&lt;/D&gt;&lt;/FQL&gt;&lt;FQL&gt;&lt;Q&gt;EWJ^FMA_DIV_YLD(NTMA,NOW,NOW,M,"PORTAGG","MEANR")&lt;/Q&gt;&lt;R&gt;1&lt;/R&gt;&lt;C&gt;1&lt;/C&gt;&lt;D xsi:type="xsd:double"&gt;2.23297897213025&lt;/D&gt;&lt;/FQL&gt;&lt;FQL&gt;&lt;Q&gt;USO^FG_PRICE(0,-200D)&lt;/Q&gt;&lt;R&gt;201&lt;/R&gt;&lt;C&gt;1&lt;/C&gt;&lt;D xsi:type="xsd:double"&gt;76.11&lt;/D&gt;&lt;D xsi:type="xsd:double"&gt;77.46&lt;/D&gt;&lt;D xsi:type="xsd:double"&gt;76.81&lt;/D&gt;&lt;D xsi:type="xsd:double"&gt;76.62&lt;/D&gt;&lt;D xsi:type="xsd:double"&gt;77.62&lt;/D&gt;&lt;D xsi:type="xsd:double"&gt;78&lt;/D&gt;&lt;D xsi:type="xsd:double"&gt;79.9&lt;/D&gt;&lt;D xsi:type="xsd:double"&gt;80.62&lt;/D&gt;&lt;D xsi:type="xsd:double"&gt;79.06&lt;/D&gt;&lt;D xsi:type="xsd:double"&gt;80.12&lt;/D&gt;&lt;D xsi:type="xsd:double"&gt;80.25&lt;/D&gt;&lt;D xsi:type="xsd:double"&gt;80.94&lt;/D&gt;&lt;D xsi:type="xsd:double"&gt;80.48&lt;/D&gt;&lt;D xsi:type="xsd:double"&gt;79.77&lt;/D&gt;&lt;D xsi:type="xsd:double"&gt;80.42&lt;/D&gt;&lt;D xsi:type="xsd:double"&gt;81.31&lt;/D&gt;&lt;D xsi:type="xsd:double"&gt;81.27&lt;/D&gt;&lt;D xsi:type="xsd:double"&gt;81.11&lt;/D&gt;&lt;D xsi:type="xsd:double"&gt;81.54&lt;/D&gt;&lt;D xsi:type="xsd:double"&gt;79.59&lt;/D&gt;&lt;D xsi:type="xsd:double"&gt;79.92&lt;/D&gt;&lt;D xsi:type="xsd:double"&gt;78.75&lt;/D&gt;&lt;D xsi:type="xsd:double"&gt;78.9&lt;/D&gt;&lt;D xsi:type="xsd:double"&gt;79.7&lt;/D&gt;&lt;D xsi:type="xsd:double"&gt;78.65&lt;/D&gt;&lt;D xsi:type="xsd:double"&gt;79.41&lt;/D&gt;&lt;D xsi:type="xsd:double"&gt;78.67&lt;/D&gt;&lt;D xsi:type="xsd:double"&gt;77.79&lt;/D&gt;&lt;D xsi:type="xsd:double"&gt;76.08&lt;/D&gt;&lt;D xsi:type="xsd:double"&gt;75.74&lt;/D&gt;&lt;D xsi:type="xsd:double"&gt;75.98&lt;/D&gt;&lt;D xsi:type="xsd:double"&gt;75.51&lt;/D&gt;&lt;D xsi:type="xsd:double"&gt;75.46&lt;/D&gt;&lt;D xsi:type="xsd:double"&gt;73.02&lt;/D&gt;&lt;D xsi:type="xsd:double"&gt;73.26&lt;/D&gt;&lt;D xsi:type="xsd:double"&gt;71.89&lt;/D&gt;&lt;D xsi:type="xsd:double"&gt;71.09&lt;/D&gt;&lt;D xsi:type="xsd:double"&gt;71.83&lt;/D&gt;&lt;D xsi:type="xsd:double"&gt;74.82&lt;/D&gt;&lt;D xsi:type="xsd:double"&gt;75.53&lt;/D&gt;&lt;D xsi:type="xsd:double"&gt;76.57&lt;/D&gt;&lt;D xsi:type="xsd:double"&gt;77.66&lt;/D&gt;&lt;D xsi:type="xsd:double"&gt;75.35&lt;/D&gt;&lt;D xsi:type="xsd:double"&gt;74.45&lt;/D&gt;&lt;D xsi:type="xsd:double"&gt;74.87&lt;/D&gt;&lt;D xsi:type="xsd:double"&gt;76.16&lt;/D&gt;&lt;D xsi:type="xsd:double"&gt;76.73&lt;/D&gt;&lt;D xsi:type="xsd:double"&gt;76.97&lt;/D&gt;&lt;D xsi:type="xsd:double"&gt;76.25&lt;/D&gt;&lt;D xsi:type="xsd:double"&gt;75.88&lt;/D&gt;&lt;D xsi:type="xsd:double"&gt;75.21&lt;/D&gt;&lt;D xsi:type="xsd:double"&gt;76.13&lt;/D&gt;&lt;D xsi:type="xsd:double"&gt;75.3&lt;/D&gt;&lt;D xsi:type="xsd:double"&gt;76.52&lt;/D&gt;&lt;D xsi:type="xsd:double"&gt;76.11&lt;/D&gt;&lt;D xsi:type="xsd:double"&gt;75.5&lt;/D&gt;&lt;D xsi:type="xsd:double"&gt;75.66&lt;/D&gt;&lt;D xsi:type="xsd:double"&gt;75.13&lt;/D&gt;&lt;D xsi:type="xsd:double"&gt;75.93&lt;/D&gt;&lt;D xsi:type="xsd:double"&gt;75.93&lt;/D&gt;&lt;D xsi:type="xsd:double"&gt;78.38&lt;/D&gt;&lt;D xsi:type="xsd:double"&gt;79.5&lt;/D&gt;&lt;D xsi:type="xsd:double"&gt;80.39&lt;/D&gt;&lt;D xsi:type="xsd:double"&gt;80.44&lt;/D&gt;&lt;D xsi:type="xsd:double"&gt;79.64&lt;/D&gt;&lt;D xsi:type="xsd:double"&gt;79.98&lt;/D&gt;&lt;D xsi:type="xsd:double"&gt;78.78&lt;/D&gt;&lt;D xsi:type="xsd:double"&gt;78.85&lt;/D&gt;&lt;D xsi:type="xsd:double"&gt;78.78&lt;/D&gt;&lt;D xsi:type="xsd:double"&gt;78.91&lt;/D&gt;&lt;D xsi:type="xsd:double"&gt;81.33&lt;/D&gt;&lt;D xsi:type="xsd:double"&gt;81.65&lt;/D&gt;&lt;D xsi:type="xsd:double"&gt;81.53&lt;/D&gt;&lt;D xsi:type="xsd:double"&gt;81.55&lt;/D&gt;&lt;D xsi:type="xsd:double"&gt;82.09&lt;/D&gt;&lt;D xsi:type="xsd:double"&gt;81.15&lt;/D&gt;&lt;D xsi:type="xsd:double"&gt;82.2&lt;/D&gt;&lt;D xsi:type="xsd:double"&gt;82.4&lt;/D&gt;&lt;D xsi:type="xsd:double"&gt;82.27&lt;/D&gt;&lt;D xsi:type="xsd:double"&gt;81.25&lt;/D&gt;&lt;D xsi:type="xsd:double"&gt;80.79&lt;/D&gt;&lt;D xsi:type="xsd:double"&gt;79.67&lt;/D&gt;&lt;D xsi:type="xsd:double"&gt;78.73&lt;/D&gt;&lt;D xsi:type="xsd:double"&gt;77.51&lt;/D&gt;&lt;D xsi:type="xsd:double"&gt;77.29&lt;/D&gt;&lt;D xsi:type="xsd:double"&gt;77.76&lt;/D&gt;&lt;D xsi:type="xsd:double"&gt;76.68&lt;/D&gt;&lt;D xsi:type="xsd:double"&gt;76.82&lt;/D&gt;&lt;D xsi:type="xsd:double"&gt;77.25&lt;/D&gt;&lt;D xsi:type="xsd:double"&gt;78.43&lt;/D&gt;&lt;D xsi:type="xsd:double"&gt;77.98&lt;/D&gt;&lt;D xsi:type="xsd:double"&gt;76.33&lt;/D&gt;&lt;D xsi:type="xsd:double"&gt;76.3&lt;/D&gt;&lt;D xsi:type="xsd:double"&gt;75.09&lt;/D&gt;&lt;D xsi:type="xsd:double"&gt;73.35&lt;/D&gt;&lt;D xsi:type="xsd:double"&gt;73.62&lt;/D&gt;&lt;D xsi:type="xsd:double"&gt;73.36&lt;/D&gt;&lt;D xsi:type="xsd:double"&gt;74.23&lt;/D&gt;&lt;D xsi:type="xsd:double"&gt;74.34&lt;/D&gt;&lt;D xsi:type="xsd:double"&gt;73.45&lt;/D&gt;&lt;D xsi:type="xsd:double"&gt;74.01&lt;/D&gt;&lt;D xsi:type="xsd:double"&gt;74.96&lt;/D&gt;&lt;D xsi:type="xsd:double"&gt;73.36&lt;/D&gt;&lt;D xsi:type="xsd:double"&gt;73.62&lt;/D&gt;&lt;D xsi:type="xsd:double"&gt;73.85&lt;/D&gt;&lt;D xsi:type="xsd:double"&gt;72.79&lt;/D&gt;&lt;D xsi:type="xsd:double"&gt;71.92&lt;/D&gt;&lt;D xsi:type="xsd:double"&gt;73.6&lt;/D&gt;&lt;D xsi:type="xsd:double"&gt;73.2&lt;/D&gt;&lt;D xsi:type="xsd:double"&gt;72.42&lt;/D&gt;&lt;D xsi:type="xsd:double"&gt;73.41&lt;/D&gt;&lt;D xsi:type="xsd:double"&gt;72.84&lt;/D&gt;&lt;D xsi:type="xsd:double"&gt;71.55&lt;/D&gt;&lt;D xsi:type="xsd:double"&gt;72.65&lt;/D&gt;&lt;D xsi:type="xsd:double"&gt;72.11&lt;/D&gt;&lt;D xsi:type="xsd:double"&gt;71.67&lt;/D&gt;&lt;D xsi:type="xsd:double"&gt;71.52&lt;/D&gt;&lt;D xsi:type="xsd:double"&gt;69.42&lt;/D&gt;&lt;D xsi:type="xsd:double"&gt;68.81&lt;/D&gt;&lt;D xsi:type="xsd:double"&gt;68.18&lt;/D&gt;&lt;D xsi:type="xsd:double"&gt;67.51&lt;/D&gt;&lt;D xsi:type="xsd:double"&gt;69.07&lt;/D&gt;&lt;D xsi:type="xsd:double"&gt;70.92&lt;/D&gt;&lt;D xsi:type="xsd:double"&gt;72.81&lt;/D&gt;&lt;D xsi:type="xsd:double"&gt;72.05&lt;/D&gt;&lt;D xsi:type="xsd:double"&gt;73.1&lt;/D&gt;&lt;D xsi:type="xsd:double"&gt;72.23&lt;/D&gt;&lt;D xsi:type="xsd:double"&gt;70.54&lt;/D&gt;&lt;D xsi:type="xsd:double"&gt;69.66&lt;/D&gt;&lt;D xsi:type="xsd:double"&gt;69.69&lt;/D&gt;&lt;D xsi:type="xsd:double"&gt;68.82&lt;/D&gt;&lt;D xsi:type="xsd:double"&gt;69.06&lt;/D&gt;&lt;D xsi:type="xsd:double"&gt;67.94&lt;/D&gt;&lt;D xsi:type="xsd:double"&gt;67.25&lt;/D&gt;&lt;D xsi:type="xsd:double"&gt;68.02&lt;/D&gt;&lt;D xsi:type="xsd:double"&gt;67.65&lt;/D&gt;&lt;D xsi:type="xsd:double"&gt;66.56&lt;/D&gt;&lt;D xsi:type="xsd:double"&gt;67.39&lt;/D&gt;&lt;D xsi:type="xsd:double"&gt;66.4&lt;/D&gt;&lt;D xsi:type="xsd:double"&gt;69.03&lt;/D&gt;&lt;D xsi:type="xsd:double"&gt;67.57&lt;/D&gt;&lt;D xsi:type="xsd:double"&gt;68.19&lt;/D&gt;&lt;D xsi:type="xsd:double"&gt;65.77&lt;/D&gt;&lt;D xsi:type="xsd:double"&gt;66.65&lt;/D&gt;&lt;D xsi:type="xsd:double"&gt;67.18&lt;/D&gt;&lt;D xsi:type="xsd:double"&gt;68.92&lt;/D&gt;&lt;D xsi:type="xsd:double"&gt;70.21&lt;/D&gt;&lt;D xsi:type="xsd:double"&gt;68.69&lt;/D&gt;&lt;D xsi:type="xsd:double"&gt;69.03&lt;/D&gt;&lt;D xsi:type="xsd:double"&gt;68.79&lt;/D&gt;&lt;D xsi:type="xsd:double"&gt;69.36&lt;/D&gt;&lt;D xsi:type="xsd:double"&gt;68.09&lt;/D&gt;&lt;D xsi:type="xsd:double"&gt;67.15&lt;/D&gt;&lt;D xsi:type="xsd:double"&gt;67.16&lt;/D&gt;&lt;D xsi:type="xsd:double"&gt;65.33&lt;/D&gt;&lt;D xsi:type="xsd:double"&gt;64.25&lt;/D&gt;&lt;D xsi:type="xsd:double"&gt;66.8&lt;/D&gt;&lt;D xsi:type="xsd:double"&gt;66.53&lt;/D&gt;&lt;D xsi:type="xsd:double"&gt;65.11&lt;/D&gt;&lt;D xsi:type="xsd:double"&gt;64.76&lt;/D&gt;&lt;D xsi:type="xsd:double"&gt;67.58&lt;/D&gt;&lt;D xsi:type="xsd:double"&gt;68.47&lt;/D&gt;&lt;D xsi:type="xsd:double"&gt;69.24&lt;/D&gt;&lt;D xsi:type="xsd:double"&gt;70.14&lt;/D&gt;&lt;D xsi:type="xsd:double"&gt;72.52&lt;/D&gt;&lt;D xsi:type="xsd:double"&gt;71.26&lt;/D&gt;&lt;D xsi:type="xsd:double"&gt;69.96&lt;/D&gt;&lt;D xsi:type="xsd:double"&gt;70.82&lt;/D&gt;&lt;D xsi:type="xsd:double"&gt;71.61&lt;/D&gt;&lt;D xsi:type="xsd:double"&gt;72.53&lt;/D&gt;&lt;D xsi:type="xsd:double"&gt;72.3&lt;/D&gt;&lt;D xsi:type="xsd:double"&gt;70.75&lt;/D&gt;&lt;D xsi:type="xsd:double"&gt;68.05&lt;/D&gt;&lt;D xsi:type="xsd:double"&gt;71.34&lt;/D&gt;&lt;D xsi:type="xsd:double"&gt;72.69&lt;/D&gt;&lt;D xsi:type="xsd:double"&gt;72.92&lt;/D&gt;&lt;D xsi:type="xsd:double"&gt;71.79&lt;/D&gt;&lt;D xsi:type="xsd:double"&gt;70.25&lt;/D&gt;&lt;D xsi:type="xsd:double"&gt;70.19&lt;/D&gt;&lt;D xsi:type="xsd:double"&gt;71.8&lt;/D&gt;&lt;D xsi:type="xsd:double"&gt;74.91&lt;/D&gt;&lt;D xsi:type="xsd:double"&gt;74.85&lt;/D&gt;&lt;D xsi:type="xsd:double"&gt;76.18&lt;/D&gt;&lt;D xsi:type="xsd:double"&gt;74.75&lt;/D&gt;&lt;D xsi:type="xsd:double"&gt;75.02&lt;/D&gt;&lt;D xsi:type="xsd:double"&gt;76.05&lt;/D&gt;&lt;D xsi:type="xsd:double"&gt;78.36&lt;/D&gt;&lt;D xsi:type="xsd:double"&gt;76.89&lt;/D&gt;&lt;D xsi:type="xsd:double"&gt;78.46&lt;/D&gt;&lt;D xsi:type="xsd:double"&gt;76.93&lt;/D&gt;&lt;D xsi:type="xsd:double"&gt;78.89&lt;/D&gt;&lt;D xsi:type="xsd:double"&gt;80.7&lt;/D&gt;&lt;D xsi:type="xsd:double"&gt;81.68&lt;/D&gt;&lt;D xsi:type="xsd:double"&gt;79.84&lt;/D&gt;&lt;D xsi:type="xsd:double"&gt;78.8&lt;/D&gt;&lt;D xsi:type="xsd:double"&gt;78.39&lt;/D&gt;&lt;D xsi:type="xsd:double"&gt;78.99&lt;/D&gt;&lt;D xsi:type="xsd:double"&gt;75.42&lt;/D&gt;&lt;D xsi:type="xsd:double"&gt;75.67&lt;/D&gt;&lt;D xsi:type="xsd:double"&gt;76.71&lt;/D&gt;&lt;D xsi:type="xsd:double"&gt;77.13&lt;/D&gt;&lt;/FQL&gt;&lt;FQL&gt;&lt;Q&gt;EMXC^FG_TOTAL_RETURNC(0,-6AM)&lt;/Q&gt;&lt;R&gt;1&lt;/R&gt;&lt;C&gt;1&lt;/C&gt;&lt;D xsi:type="xsd:double"&gt;10.131931&lt;/D&gt;&lt;/FQL&gt;&lt;FQL&gt;&lt;Q&gt;EWA^P_PRICE(0)/P_PRICE_LOW_PR(0,,,USD,,,"PRICE","INTRA","52W")-1&lt;/Q&gt;&lt;R&gt;1&lt;/R&gt;&lt;C&gt;1&lt;/C&gt;&lt;D xsi:type="xsd:double"&gt;0.20625615&lt;/D&gt;&lt;/FQL&gt;&lt;FQL&gt;&lt;Q&gt;SPY^FMA_PCT_ABOVE_MAVG(200,0,,,,"PORTAGG")&lt;/Q&gt;&lt;R&gt;1&lt;/R&gt;&lt;C&gt;1&lt;/C&gt;&lt;D xsi:type="xsd:double"&gt;69.4610778443114&lt;/D&gt;&lt;/FQL&gt;&lt;FQL&gt;&lt;Q&gt;EWA^FMA_COS_UP("EPS","1M",+1,0,,,"PORTAGG","MEANR")&lt;/Q&gt;&lt;R&gt;1&lt;/R&gt;&lt;C&gt;1&lt;/C&gt;&lt;D xsi:type="xsd:double"&gt;20&lt;/D&gt;&lt;/FQL&gt;&lt;FQL&gt;&lt;Q&gt;GLD^FG_TOTAL_RETURNC(-1AM,-7AM)&lt;/Q&gt;&lt;R&gt;1&lt;/R&gt;&lt;C&gt;1&lt;/C&gt;&lt;D xsi:type="xsd:double"&gt;10.880446&lt;/D&gt;&lt;/FQL&gt;&lt;FQL&gt;&lt;Q&gt;FXI^FG_TOTAL_RETURNC(0,-6AM)&lt;/Q&gt;&lt;R&gt;1&lt;/R&gt;&lt;C&gt;1&lt;/C&gt;&lt;D xsi:type="xsd:double"&gt;13.282108&lt;/D&gt;&lt;/FQL&gt;&lt;FQL&gt;&lt;Q&gt;VWO^FG_TOTAL_RETURNC(0,-6AM)&lt;/Q&gt;&lt;R&gt;1&lt;/R&gt;&lt;C&gt;1&lt;/C&gt;&lt;D xsi:type="xsd:double"&gt;9.387755&lt;/D&gt;&lt;/FQL&gt;&lt;FQL&gt;&lt;Q&gt;ENZL^PERCENT_CHANGE(FMA_EPS(+1,0,,,,"PORTAGG","MEAN"),FMA_EPS(+1,-3AM,,,,"PORTAGG","MEAN"))&lt;/Q&gt;&lt;R&gt;1&lt;/R&gt;&lt;C&gt;1&lt;/C&gt;&lt;D xsi:type="xsd:double"&gt;0.848865929145608&lt;/D&gt;&lt;/FQL&gt;&lt;FQL&gt;&lt;Q&gt;EWJ^FMA_COS_DOWN("EPS","1M",+1,0,,,"PORTAGG","MEANR")&lt;/Q&gt;&lt;R&gt;1&lt;/R&gt;&lt;C&gt;1&lt;/C&gt;&lt;D xsi:type="xsd:double"&gt;57&lt;/D&gt;&lt;/FQL&gt;&lt;FQL&gt;&lt;Q&gt;BTC00-USA^P_FUT_TOTAL_RETURN(-1AM,-7AM,,'')&lt;/Q&gt;&lt;R&gt;1&lt;/R&gt;&lt;C&gt;1&lt;/C&gt;&lt;D xsi:type="xsd:double"&gt;37.6171109415212&lt;/D&gt;&lt;/FQL&gt;&lt;FQL&gt;&lt;Q&gt;TLT^FG_TOTAL_RETURNC(-1AM,-7AM)&lt;/Q&gt;&lt;R&gt;1&lt;/R&gt;&lt;C&gt;1&lt;/C&gt;&lt;D xsi:type="xsd:double"&gt;-4.11402&lt;/D&gt;&lt;/FQL&gt;&lt;FQL&gt;&lt;Q&gt;DBC^FG_TOTAL_RETURNC(0,-6AM)&lt;/Q&gt;&lt;R&gt;1&lt;/R&gt;&lt;C&gt;1&lt;/C&gt;&lt;D xsi:type="xsd:double"&gt;-1.6364455&lt;/D&gt;&lt;/FQL&gt;&lt;FQL&gt;&lt;Q&gt;EWJ^FG_PE_NTM(0,,,90,0)&lt;/Q&gt;&lt;R&gt;1&lt;/R&gt;&lt;C&gt;1&lt;/C&gt;&lt;D xsi:type="xsd:double"&gt;15.2944863854343&lt;/D&gt;&lt;/FQL&gt;&lt;FQL&gt;&lt;Q&gt;DBC^FG_PRICE(0,-200D)&lt;/Q&gt;&lt;R&gt;201&lt;/R&gt;&lt;C&gt;1&lt;/C&gt;&lt;D xsi:type="xsd:double"&gt;22.24&lt;/D&gt;&lt;D xsi:type="xsd:double"&gt;22.47&lt;/D&gt;&lt;D xsi:type="xsd:double"&gt;22.42&lt;/D&gt;&lt;D xsi:type="xsd:double"&gt;22.43&lt;/D&gt;&lt;D xsi:type="xsd:double"&gt;22.64&lt;/D&gt;&lt;D xsi:type="xsd:double"&gt;22.58&lt;/D&gt;&lt;D xsi:type="xsd:double"&gt;22.89&lt;/D&gt;&lt;D xsi:type="xsd:double"&gt;23.06&lt;/D&gt;&lt;D xsi:type="xsd:double"&gt;23.06&lt;/D&gt;&lt;D xsi:type="xsd:double"&gt;23.12&lt;/D&gt;&lt;D xsi:type="xsd:double"&gt;23.29&lt;/D&gt;&lt;D xsi:type="xsd:double"&gt;23.38&lt;/D&gt;&lt;D xsi:type="xsd:double"&gt;23.3&lt;/D&gt;&lt;D xsi:type="xsd:double"&gt;23.3&lt;/D&gt;&lt;D xsi:type="xsd:double"&gt;23.46&lt;/D&gt;&lt;D xsi:type="xsd:double"&gt;23.78&lt;/D&gt;&lt;D xsi:type="xsd:double"&gt;23.69&lt;/D&gt;&lt;D xsi:type="xsd:double"&gt;23.56&lt;/D&gt;&lt;D xsi:type="xsd:double"&gt;23.53&lt;/D&gt;&lt;D xsi:type="xsd:double"&gt;23.23&lt;/D&gt;&lt;D xsi:type="xsd:double"&gt;23.33&lt;/D&gt;&lt;D xsi:type="xsd:double"&gt;23.21&lt;/D&gt;&lt;D xsi:type="xsd:double"&gt;23.17&lt;/D&gt;&lt;D xsi:type="xsd:double"&gt;23.39&lt;/D&gt;&lt;D xsi:type="xsd:double"&gt;23.2&lt;/D&gt;&lt;D xsi:type="xsd:double"&gt;23.39&lt;/D&gt;&lt;D xsi:type="xsd:double"&gt;23.34&lt;/D&gt;&lt;D xsi:type="xsd:double"&gt;23.15&lt;/D&gt;&lt;D xsi:type="xsd:double"&gt;23.07&lt;/D&gt;&lt;D xsi:type="xsd:double"&gt;23.16&lt;/D&gt;&lt;D xsi:type="xsd:double"&gt;23.14&lt;/D&gt;&lt;D xsi:type="xsd:double"&gt;23.06&lt;/D&gt;&lt;D xsi:type="xsd:double"&gt;23.09&lt;/D&gt;&lt;D xsi:type="xsd:double"&gt;22.76&lt;/D&gt;&lt;D xsi:type="xsd:double"&gt;23.09&lt;/D&gt;&lt;D xsi:type="xsd:double"&gt;22.79&lt;/D&gt;&lt;D xsi:type="xsd:double"&gt;22.71&lt;/D&gt;&lt;D xsi:type="xsd:double"&gt;22.94&lt;/D&gt;&lt;D xsi:type="xsd:double"&gt;23.27&lt;/D&gt;&lt;D xsi:type="xsd:double"&gt;23.38&lt;/D&gt;&lt;D xsi:type="xsd:double"&gt;23.69&lt;/D&gt;&lt;D xsi:type="xsd:double"&gt;23.94&lt;/D&gt;&lt;D xsi:type="xsd:double"&gt;23.52&lt;/D&gt;&lt;D xsi:type="xsd:double"&gt;23.36&lt;/D&gt;&lt;D xsi:type="xsd:double"&gt;23.48&lt;/D&gt;&lt;D xsi:type="xsd:double"&gt;23.82&lt;/D&gt;&lt;D xsi:type="xsd:double"&gt;23.92&lt;/D&gt;&lt;D xsi:type="xsd:double"&gt;23.71&lt;/D&gt;&lt;D xsi:type="xsd:double"&gt;23.47&lt;/D&gt;&lt;D xsi:type="xsd:double"&gt;23.41&lt;/D&gt;&lt;D xsi:type="xsd:double"&gt;23.33&lt;/D&gt;&lt;D xsi:type="xsd:double"&gt;23.43&lt;/D&gt;&lt;D xsi:type="xsd:double"&gt;23.28&lt;/D&gt;&lt;D xsi:type="xsd:double"&gt;23.32&lt;/D&gt;&lt;D xsi:type="xsd:double"&gt;23.23&lt;/D&gt;&lt;D xsi:type="xsd:double"&gt;23.35&lt;/D&gt;&lt;D xsi:type="xsd:double"&gt;23.37&lt;/D&gt;&lt;D xsi:type="xsd:double"&gt;23.11&lt;/D&gt;&lt;D xsi:type="xsd:double"&gt;23.08&lt;/D&gt;&lt;D xsi:type="xsd:double"&gt;23&lt;/D&gt;&lt;D xsi:type="xsd:double"&gt;23.34&lt;/D&gt;&lt;D xsi:type="xsd:double"&gt;23.64&lt;/D&gt;&lt;D xsi:type="xsd:double"&gt;23.66&lt;/D&gt;&lt;D xsi:type="xsd:double"&gt;23.64&lt;/D&gt;&lt;D xsi:type="xsd:double"&gt;23.51&lt;/D&gt;&lt;D xsi:type="xsd:double"&gt;23.54&lt;/D&gt;&lt;D xsi:type="xsd:double"&gt;23.44&lt;/D&gt;&lt;D xsi:type="xsd:double"&gt;23.44&lt;/D&gt;&lt;D xsi:type="xsd:double"&gt;23.33&lt;/D&gt;&lt;D xsi:type="xsd:double"&gt;23.34&lt;/D&gt;&lt;D xsi:type="xsd:double"&gt;23.71&lt;/D&gt;&lt;D xsi:type="xsd:double"&gt;23.75&lt;/D&gt;&lt;D xsi:type="xsd:double"&gt;23.72&lt;/D&gt;&lt;D xsi:type="xsd:double"&gt;23.69&lt;/D&gt;&lt;D xsi:type="xsd:double"&gt;23.73&lt;/D&gt;&lt;D xsi:type="xsd:double"&gt;23.61&lt;/D&gt;&lt;D xsi:type="xsd:double"&gt;23.74&lt;/D&gt;&lt;D xsi:type="xsd:double"&gt;23.75&lt;/D&gt;&lt;D xsi:type="xsd:double"&gt;23.63&lt;/D&gt;&lt;D xsi:type="xsd:double"&gt;23.57&lt;/D&gt;&lt;D xsi:type="xsd:double"&gt;23.29&lt;/D&gt;&lt;D xsi:type="xsd:double"&gt;23.08&lt;/D&gt;&lt;D xsi:type="xsd:double"&gt;22.97&lt;/D&gt;&lt;D xsi:type="xsd:double"&gt;22.7&lt;/D&gt;&lt;D xsi:type="xsd:double"&gt;22.72&lt;/D&gt;&lt;D xsi:type="xsd:double"&gt;22.9&lt;/D&gt;&lt;D xsi:type="xsd:double"&gt;22.71&lt;/D&gt;&lt;D xsi:type="xsd:double"&gt;22.87&lt;/D&gt;&lt;D xsi:type="xsd:double"&gt;22.9&lt;/D&gt;&lt;D xsi:type="xsd:double"&gt;22.96&lt;/D&gt;&lt;D xsi:type="xsd:double"&gt;22.97&lt;/D&gt;&lt;D xsi:type="xsd:double"&gt;22.76&lt;/D&gt;&lt;D xsi:type="xsd:double"&gt;22.68&lt;/D&gt;&lt;D xsi:type="xsd:double"&gt;22.61&lt;/D&gt;&lt;D xsi:type="xsd:double"&gt;22.3&lt;/D&gt;&lt;D xsi:type="xsd:double"&gt;22.36&lt;/D&gt;&lt;D xsi:type="xsd:double"&gt;22.17&lt;/D&gt;&lt;D xsi:type="xsd:double"&gt;22.24&lt;/D&gt;&lt;D xsi:type="xsd:double"&gt;22.18&lt;/D&gt;&lt;D xsi:type="xsd:double"&gt;22&lt;/D&gt;&lt;D xsi:type="xsd:double"&gt;22.17&lt;/D&gt;&lt;D xsi:type="xsd:double"&gt;22.1&lt;/D&gt;&lt;D xsi:type="xsd:double"&gt;21.99&lt;/D&gt;&lt;D xsi:type="xsd:double"&gt;22.02&lt;/D&gt;&lt;D xsi:type="xsd:double"&gt;22.11&lt;/D&gt;&lt;D xsi:type="xsd:double"&gt;21.94&lt;/D&gt;&lt;D xsi:type="xsd:double"&gt;21.74&lt;/D&gt;&lt;D xsi:type="xsd:double"&gt;22.06&lt;/D&gt;&lt;D xsi:type="xsd:double"&gt;22&lt;/D&gt;&lt;D xsi:type="xsd:double"&gt;21.91&lt;/D&gt;&lt;D xsi:type="xsd:double"&gt;22.03&lt;/D&gt;&lt;D xsi:type="xsd:double"&gt;21.98&lt;/D&gt;&lt;D xsi:type="xsd:double"&gt;21.93&lt;/D&gt;&lt;D xsi:type="xsd:double"&gt;22.14&lt;/D&gt;&lt;D xsi:type="xsd:double"&gt;22.27&lt;/D&gt;&lt;D xsi:type="xsd:double"&gt;22.26&lt;/D&gt;&lt;D xsi:type="xsd:double"&gt;22.2&lt;/D&gt;&lt;D xsi:type="xsd:double"&gt;22.08&lt;/D&gt;&lt;D xsi:type="xsd:double"&gt;21.98&lt;/D&gt;&lt;D xsi:type="xsd:double"&gt;21.9&lt;/D&gt;&lt;D xsi:type="xsd:double"&gt;21.81&lt;/D&gt;&lt;D xsi:type="xsd:double"&gt;22.06&lt;/D&gt;&lt;D xsi:type="xsd:double"&gt;22.33&lt;/D&gt;&lt;D xsi:type="xsd:double"&gt;22.57&lt;/D&gt;&lt;D xsi:type="xsd:double"&gt;22.42&lt;/D&gt;&lt;D xsi:type="xsd:double"&gt;22.61&lt;/D&gt;&lt;D xsi:type="xsd:double"&gt;22.51&lt;/D&gt;&lt;D xsi:type="xsd:double"&gt;22.34&lt;/D&gt;&lt;D xsi:type="xsd:double"&gt;22.15&lt;/D&gt;&lt;D xsi:type="xsd:double"&gt;22.03&lt;/D&gt;&lt;D xsi:type="xsd:double"&gt;21.94&lt;/D&gt;&lt;D xsi:type="xsd:double"&gt;21.98&lt;/D&gt;&lt;D xsi:type="xsd:double"&gt;21.84&lt;/D&gt;&lt;D xsi:type="xsd:double"&gt;21.87&lt;/D&gt;&lt;D xsi:type="xsd:double"&gt;22.06&lt;/D&gt;&lt;D xsi:type="xsd:double"&gt;21.98&lt;/D&gt;&lt;D xsi:type="xsd:double"&gt;21.82&lt;/D&gt;&lt;D xsi:type="xsd:double"&gt;21.97&lt;/D&gt;&lt;D xsi:type="xsd:double"&gt;21.81&lt;/D&gt;&lt;D xsi:type="xsd:double"&gt;22.13&lt;/D&gt;&lt;D xsi:type="xsd:double"&gt;22.02&lt;/D&gt;&lt;D xsi:type="xsd:double"&gt;22.14&lt;/D&gt;&lt;D xsi:type="xsd:double"&gt;21.86&lt;/D&gt;&lt;D xsi:type="xsd:double"&gt;22.04&lt;/D&gt;&lt;D xsi:type="xsd:double"&gt;22.16&lt;/D&gt;&lt;D xsi:type="xsd:double"&gt;22.35&lt;/D&gt;&lt;D xsi:type="xsd:double"&gt;22.45&lt;/D&gt;&lt;D xsi:type="xsd:double"&gt;22.23&lt;/D&gt;&lt;D xsi:type="xsd:double"&gt;22.27&lt;/D&gt;&lt;D xsi:type="xsd:double"&gt;22.23&lt;/D&gt;&lt;D xsi:type="xsd:double"&gt;22.49&lt;/D&gt;&lt;D xsi:type="xsd:double"&gt;22.32&lt;/D&gt;&lt;D xsi:type="xsd:double"&gt;23.25&lt;/D&gt;&lt;D xsi:type="xsd:double"&gt;23.21&lt;/D&gt;&lt;D xsi:type="xsd:double"&gt;22.83&lt;/D&gt;&lt;D xsi:type="xsd:double"&gt;22.57&lt;/D&gt;&lt;D xsi:type="xsd:double"&gt;22.92&lt;/D&gt;&lt;D xsi:type="xsd:double"&gt;23&lt;/D&gt;&lt;D xsi:type="xsd:double"&gt;22.9&lt;/D&gt;&lt;D xsi:type="xsd:double"&gt;22.86&lt;/D&gt;&lt;D xsi:type="xsd:double"&gt;23.43&lt;/D&gt;&lt;D xsi:type="xsd:double"&gt;23.64&lt;/D&gt;&lt;D xsi:type="xsd:double"&gt;23.8&lt;/D&gt;&lt;D xsi:type="xsd:double"&gt;23.91&lt;/D&gt;&lt;D xsi:type="xsd:double"&gt;24.32&lt;/D&gt;&lt;D xsi:type="xsd:double"&gt;24.15&lt;/D&gt;&lt;D xsi:type="xsd:double"&gt;23.86&lt;/D&gt;&lt;D xsi:type="xsd:double"&gt;24.02&lt;/D&gt;&lt;D xsi:type="xsd:double"&gt;24.18&lt;/D&gt;&lt;D xsi:type="xsd:double"&gt;24.39&lt;/D&gt;&lt;D xsi:type="xsd:double"&gt;24.25&lt;/D&gt;&lt;D xsi:type="xsd:double"&gt;23.95&lt;/D&gt;&lt;D xsi:type="xsd:double"&gt;23.61&lt;/D&gt;&lt;D xsi:type="xsd:double"&gt;24.19&lt;/D&gt;&lt;D xsi:type="xsd:double"&gt;24.35&lt;/D&gt;&lt;D xsi:type="xsd:double"&gt;24.39&lt;/D&gt;&lt;D xsi:type="xsd:double"&gt;24.04&lt;/D&gt;&lt;D xsi:type="xsd:double"&gt;23.92&lt;/D&gt;&lt;D xsi:type="xsd:double"&gt;23.98&lt;/D&gt;&lt;D xsi:type="xsd:double"&gt;24.25&lt;/D&gt;&lt;D xsi:type="xsd:double"&gt;24.78&lt;/D&gt;&lt;D xsi:type="xsd:double"&gt;24.68&lt;/D&gt;&lt;D xsi:type="xsd:double"&gt;24.81&lt;/D&gt;&lt;D xsi:type="xsd:double"&gt;24.55&lt;/D&gt;&lt;D xsi:type="xsd:double"&gt;24.51&lt;/D&gt;&lt;D xsi:type="xsd:double"&gt;24.6&lt;/D&gt;&lt;D xsi:type="xsd:double"&gt;25&lt;/D&gt;&lt;D xsi:type="xsd:double"&gt;24.67&lt;/D&gt;&lt;D xsi:type="xsd:double"&gt;24.88&lt;/D&gt;&lt;D xsi:type="xsd:double"&gt;24.7&lt;/D&gt;&lt;D xsi:type="xsd:double"&gt;24.97&lt;/D&gt;&lt;D xsi:type="xsd:double"&gt;25.13&lt;/D&gt;&lt;D xsi:type="xsd:double"&gt;25.32&lt;/D&gt;&lt;D xsi:type="xsd:double"&gt;25.06&lt;/D&gt;&lt;D xsi:type="xsd:double"&gt;24.84&lt;/D&gt;&lt;D xsi:type="xsd:double"&gt;24.77&lt;/D&gt;&lt;D xsi:type="xsd:double"&gt;24.85&lt;/D&gt;&lt;D xsi:type="xsd:double"&gt;24.21&lt;/D&gt;&lt;D xsi:type="xsd:double"&gt;24.22&lt;/D&gt;&lt;D xsi:type="xsd:double"&gt;24.36&lt;/D&gt;&lt;D xsi:type="xsd:double"&gt;24.42&lt;/D&gt;&lt;/FQL&gt;&lt;FQL&gt;&lt;Q&gt;EWI^P_PRICE(0)/P_PRICE_LOW_PR(0,,,USD,,,"PRICE","INTRA","52W")-1&lt;/Q&gt;&lt;R&gt;1&lt;/R&gt;&lt;C&gt;1&lt;/C&gt;&lt;D xsi:type="xsd:double"&gt;0.29243493&lt;/D&gt;&lt;/FQL&gt;&lt;FQL&gt;&lt;Q&gt;ENZL^FG_TOTAL_RETURNC(0,-6AM)&lt;/Q&gt;&lt;R&gt;1&lt;/R&gt;&lt;C&gt;1&lt;/C&gt;&lt;D xsi:type="xsd:double"&gt;-1.8119752&lt;/D&gt;&lt;/FQL&gt;&lt;FQL&gt;&lt;Q&gt;URTH^PERCENT_CHANGE(FMA_EPS(+1,0,,,,"PORTAGG","MEAN"),FMA_EPS(+1,-3AM,,,,"PORTAGG","MEAN"))&lt;/Q&gt;&lt;R&gt;1&lt;/R&gt;&lt;C&gt;1&lt;/C&gt;&lt;D xsi:type="xsd:double"&gt;-0.49376654191326&lt;/D&gt;&lt;/FQL&gt;&lt;FQL&gt;&lt;Q&gt;QQQ^PERCENT_CHANGE(FMA_EPS(+1,0,,,,"PORTAGG","MEAN"),FMA_EPS(+1,-3AM,,,,"PORTAGG","MEAN"))&lt;/Q&gt;&lt;R&gt;1&lt;/R&gt;&lt;C&gt;1&lt;/C&gt;&lt;D xsi:type="xsd:double"&gt;0.364002646409081&lt;/D&gt;&lt;/FQL&gt;&lt;FQL&gt;&lt;Q&gt;ENZL^SIZE(FG_CONSTITUENTS)&lt;/Q&gt;&lt;R&gt;1&lt;/R&gt;&lt;C&gt;1&lt;/C&gt;&lt;D xsi:type="xsd:long"&gt;14&lt;/D&gt;&lt;/FQL&gt;&lt;FQL&gt;&lt;Q&gt;GLD^FG_TOTAL_RETURNC(-1AM,-4AM)&lt;/Q&gt;&lt;R&gt;1&lt;/R&gt;&lt;C&gt;1&lt;/C&gt;&lt;D xsi:type="xsd:double"&gt;5.425513&lt;/D&gt;&lt;/FQL&gt;&lt;FQL&gt;&lt;Q&gt;FXI^FG_TOTAL_RETURNC(0,-3AM)&lt;/Q&gt;&lt;R&gt;1&lt;/R&gt;&lt;C&gt;1&lt;/C&gt;&lt;D xsi:type="xsd:double"&gt;-1.0368824&lt;/D&gt;&lt;/FQL&gt;&lt;FQL&gt;&lt;Q&gt;VWO^FG_TOTAL_RETURNC(0,-3AM)&lt;/Q&gt;&lt;R&gt;1&lt;/R&gt;&lt;C&gt;1&lt;/C&gt;&lt;D xsi:type="xsd:double"&gt;3.7086606&lt;/D&gt;&lt;/FQL&gt;&lt;FQL&gt;&lt;Q&gt;TRYJP10Y-FDS^FG_YIELD(0,,,,"YTM")&lt;/Q&gt;&lt;R&gt;1&lt;/R&gt;&lt;C&gt;1&lt;/C&gt;&lt;D xsi:type="xsd:double"&gt;1.0552&lt;/D&gt;&lt;/FQL&gt;&lt;FQL&gt;&lt;Q&gt;ENZL^PERCENT_CHANGE(FMA_EPS(+1,0,,,,"PORTAGG","MEAN"),FMA_EPS(+1,-1AM,,,,"PORTAGG","MEAN"))&lt;/Q&gt;&lt;R&gt;1&lt;/R&gt;&lt;C&gt;1&lt;/C&gt;&lt;D xsi:type="xsd:double"&gt;-2.80458813786192&lt;/D&gt;&lt;/FQL&gt;&lt;FQL&gt;&lt;Q&gt;VWO^FMA_COS_DOWN("EPS","1M",+1,0,,,"PORTAGG","MEANR")&lt;/Q&gt;&lt;R&gt;1&lt;/R&gt;&lt;C&gt;1&lt;/C&gt;&lt;D xsi:type="xsd:double"&gt;971&lt;/D&gt;&lt;/FQL&gt;&lt;FQL&gt;&lt;Q&gt;QQQ^FMA_COS_DOWN("EPS","1M",+1,0,,,"PORTAGG","MEANR")&lt;/Q&gt;&lt;R&gt;1&lt;/R&gt;&lt;C&gt;1&lt;/C&gt;&lt;D xsi:type="xsd:double"&gt;37&lt;/D&gt;&lt;/FQL&gt;&lt;FQL&gt;&lt;Q&gt;BTC00-USA^P_FUT_TOTAL_RETURN(-1AM,-4AM,,'')&lt;/Q&gt;&lt;R&gt;1&lt;/R&gt;&lt;C&gt;1&lt;/C&gt;&lt;D xsi:type="xsd:double"&gt;-13.6052657540861&lt;/D&gt;&lt;/FQL&gt;&lt;FQL&gt;&lt;Q&gt;TLT^FG_TOTAL_RETURNC(-1AM,-4AM)&lt;/Q&gt;&lt;R&gt;1&lt;/R&gt;&lt;C&gt;1&lt;/C&gt;&lt;D xsi:type="xsd:double"&gt;0.35716295&lt;/D&gt;&lt;/FQL&gt;&lt;FQL&gt;&lt;Q&gt;DBC^FG_TOTAL_RETURNC(0,-3AM)&lt;/Q&gt;&lt;R&gt;1&lt;/R&gt;&lt;C&gt;1&lt;/C&gt;&lt;D xsi:type="xsd:double"&gt;-6.001693&lt;/D&gt;&lt;/FQL&gt;&lt;FQL&gt;&lt;Q&gt;EWJ^FG_PE(0)&lt;/Q&gt;&lt;R&gt;1&lt;/R&gt;&lt;C&gt;1&lt;/C&gt;&lt;D xsi:type="xsd:double"&gt;16.830468957471&lt;/D&gt;&lt;/FQL&gt;&lt;FQL&gt;&lt;Q&gt;QQQ^FG_PRICE(0,-200D)&lt;/Q&gt;&lt;R&gt;201&lt;/R&gt;&lt;C&gt;1&lt;/C&gt;&lt;D xsi:type="xsd:double"&gt;462.97&lt;/D&gt;&lt;D xsi:type="xsd:double"&gt;458.27&lt;/D&gt;&lt;D xsi:type="xsd:double"&gt;463.38&lt;/D&gt;&lt;D xsi:type="xsd:double"&gt;480.62&lt;/D&gt;&lt;D xsi:type="xsd:double"&gt;482.32&lt;/D&gt;&lt;D xsi:type="xsd:double"&gt;475.24&lt;/D&gt;&lt;D xsi:type="xsd:double"&gt;479.49&lt;/D&gt;&lt;D xsi:type="xsd:double"&gt;481.77&lt;/D&gt;&lt;D xsi:type="xsd:double"&gt;496.34&lt;/D&gt;&lt;D xsi:type="xsd:double"&gt;496.15&lt;/D&gt;&lt;D xsi:type="xsd:double"&gt;494.82&lt;/D&gt;&lt;D xsi:type="xsd:double"&gt;491.93&lt;/D&gt;&lt;D xsi:type="xsd:double"&gt;502.96&lt;/D&gt;&lt;D xsi:type="xsd:double"&gt;497.77&lt;/D&gt;&lt;D xsi:type="xsd:double"&gt;497.34&lt;/D&gt;&lt;D xsi:type="xsd:double"&gt;496.16&lt;/D&gt;&lt;D xsi:type="xsd:double"&gt;491.04&lt;/D&gt;&lt;D xsi:type="xsd:double"&gt;486.98&lt;/D&gt;&lt;D xsi:type="xsd:double"&gt;481.92&lt;/D&gt;&lt;D xsi:type="xsd:double"&gt;479.11&lt;/D&gt;&lt;D xsi:type="xsd:double"&gt;481.61&lt;/D&gt;&lt;D xsi:type="xsd:double"&gt;480.37&lt;/D&gt;&lt;D xsi:type="xsd:double"&gt;479.38&lt;/D&gt;&lt;D xsi:type="xsd:double"&gt;473.96&lt;/D&gt;&lt;D xsi:type="xsd:double"&gt;480.18&lt;/D&gt;&lt;D xsi:type="xsd:double"&gt;481.47&lt;/D&gt;&lt;D xsi:type="xsd:double"&gt;485.21&lt;/D&gt;&lt;D xsi:type="xsd:double"&gt;485.06&lt;/D&gt;&lt;D xsi:type="xsd:double"&gt;479.19&lt;/D&gt;&lt;D xsi:type="xsd:double"&gt;476.72&lt;/D&gt;&lt;D xsi:type="xsd:double"&gt;474.15&lt;/D&gt;&lt;D xsi:type="xsd:double"&gt;468.02&lt;/D&gt;&lt;D xsi:type="xsd:double"&gt;464.83&lt;/D&gt;&lt;D xsi:type="xsd:double"&gt;462.96&lt;/D&gt;&lt;D xsi:type="xsd:double"&gt;463.37&lt;/D&gt;&lt;D xsi:type="xsd:double"&gt;463.53&lt;/D&gt;&lt;D xsi:type="xsd:double"&gt;454.37&lt;/D&gt;&lt;D xsi:type="xsd:double"&gt;453.13&lt;/D&gt;&lt;D xsi:type="xsd:double"&gt;450.71&lt;/D&gt;&lt;D xsi:type="xsd:double"&gt;451.55&lt;/D&gt;&lt;D xsi:type="xsd:double"&gt;456.44&lt;/D&gt;&lt;D xsi:type="xsd:double"&gt;459.68&lt;/D&gt;&lt;D xsi:type="xsd:double"&gt;457.95&lt;/D&gt;&lt;D xsi:type="xsd:double"&gt;453.66&lt;/D&gt;&lt;D xsi:type="xsd:double"&gt;455.71&lt;/D&gt;&lt;D xsi:type="xsd:double"&gt;455.8&lt;/D&gt;&lt;D xsi:type="xsd:double"&gt;454.91&lt;/D&gt;&lt;D xsi:type="xsd:double"&gt;451.76&lt;/D&gt;&lt;D xsi:type="xsd:double"&gt;451.98&lt;/D&gt;&lt;D xsi:type="xsd:double"&gt;452.9&lt;/D&gt;&lt;D xsi:type="xsd:double"&gt;445.93&lt;/D&gt;&lt;D xsi:type="xsd:double"&gt;443.08&lt;/D&gt;&lt;D xsi:type="xsd:double"&gt;442.06&lt;/D&gt;&lt;D xsi:type="xsd:double"&gt;441.02&lt;/D&gt;&lt;D xsi:type="xsd:double"&gt;440.06&lt;/D&gt;&lt;D xsi:type="xsd:double"&gt;440.32&lt;/D&gt;&lt;D xsi:type="xsd:double"&gt;440.25&lt;/D&gt;&lt;D xsi:type="xsd:double"&gt;435.48&lt;/D&gt;&lt;D xsi:type="xsd:double"&gt;426.9&lt;/D&gt;&lt;D xsi:type="xsd:double"&gt;421.52&lt;/D&gt;&lt;D xsi:type="xsd:double"&gt;424.59&lt;/D&gt;&lt;D xsi:type="xsd:double"&gt;432.75&lt;/D&gt;&lt;D xsi:type="xsd:double"&gt;431&lt;/D&gt;&lt;D xsi:type="xsd:double"&gt;424.45&lt;/D&gt;&lt;D xsi:type="xsd:double"&gt;426.51&lt;/D&gt;&lt;D xsi:type="xsd:double"&gt;425.07&lt;/D&gt;&lt;D xsi:type="xsd:double"&gt;418.82&lt;/D&gt;&lt;D xsi:type="xsd:double"&gt;414.65&lt;/D&gt;&lt;D xsi:type="xsd:double"&gt;423.41&lt;/D&gt;&lt;D xsi:type="xsd:double"&gt;425.84&lt;/D&gt;&lt;D xsi:type="xsd:double"&gt;431.1&lt;/D&gt;&lt;D xsi:type="xsd:double"&gt;431.06&lt;/D&gt;&lt;D xsi:type="xsd:double"&gt;438.27&lt;/D&gt;&lt;D xsi:type="xsd:double"&gt;445.37&lt;/D&gt;&lt;D xsi:type="xsd:double"&gt;438.37&lt;/D&gt;&lt;D xsi:type="xsd:double"&gt;442.23&lt;/D&gt;&lt;D xsi:type="xsd:double"&gt;440.6&lt;/D&gt;&lt;D xsi:type="xsd:double"&gt;440.47&lt;/D&gt;&lt;D xsi:type="xsd:double"&gt;435.34&lt;/D&gt;&lt;D xsi:type="xsd:double"&gt;442.1&lt;/D&gt;&lt;D xsi:type="xsd:double"&gt;441.11&lt;/D&gt;&lt;D xsi:type="xsd:double"&gt;444.95&lt;/D&gt;&lt;D xsi:type="xsd:double"&gt;444.01&lt;/D&gt;&lt;D xsi:type="xsd:double"&gt;444.83&lt;/D&gt;&lt;D xsi:type="xsd:double"&gt;443.32&lt;/D&gt;&lt;D xsi:type="xsd:double"&gt;444.76&lt;/D&gt;&lt;D xsi:type="xsd:double"&gt;446.38&lt;/D&gt;&lt;D xsi:type="xsd:double"&gt;445.87&lt;/D&gt;&lt;D xsi:type="xsd:double"&gt;443.77&lt;/D&gt;&lt;D xsi:type="xsd:double"&gt;438.57&lt;/D&gt;&lt;D xsi:type="xsd:double"&gt;437.48&lt;/D&gt;&lt;D xsi:type="xsd:double"&gt;433.92&lt;/D&gt;&lt;D xsi:type="xsd:double"&gt;439.14&lt;/D&gt;&lt;D xsi:type="xsd:double"&gt;440.25&lt;/D&gt;&lt;D xsi:type="xsd:double"&gt;443.66&lt;/D&gt;&lt;D xsi:type="xsd:double"&gt;437.39&lt;/D&gt;&lt;D xsi:type="xsd:double"&gt;439.02&lt;/D&gt;&lt;D xsi:type="xsd:double"&gt;445.45&lt;/D&gt;&lt;D xsi:type="xsd:double"&gt;438.79&lt;/D&gt;&lt;D xsi:type="xsd:double"&gt;436.05&lt;/D&gt;&lt;D xsi:type="xsd:double"&gt;444.02&lt;/D&gt;&lt;D xsi:type="xsd:double"&gt;445.61&lt;/D&gt;&lt;D xsi:type="xsd:double"&gt;439&lt;/D&gt;&lt;D xsi:type="xsd:double"&gt;435.27&lt;/D&gt;&lt;D xsi:type="xsd:double"&gt;437.6&lt;/D&gt;&lt;D xsi:type="xsd:double"&gt;436.55&lt;/D&gt;&lt;D xsi:type="xsd:double"&gt;436.78&lt;/D&gt;&lt;D xsi:type="xsd:double"&gt;438.07&lt;/D&gt;&lt;D xsi:type="xsd:double"&gt;425.61&lt;/D&gt;&lt;D xsi:type="xsd:double"&gt;427.32&lt;/D&gt;&lt;D xsi:type="xsd:double"&gt;430.57&lt;/D&gt;&lt;D xsi:type="xsd:double"&gt;434.51&lt;/D&gt;&lt;D xsi:type="xsd:double"&gt;433.22&lt;/D&gt;&lt;D xsi:type="xsd:double"&gt;428.55&lt;/D&gt;&lt;D xsi:type="xsd:double"&gt;435.34&lt;/D&gt;&lt;D xsi:type="xsd:double"&gt;437.05&lt;/D&gt;&lt;D xsi:type="xsd:double"&gt;432.79&lt;/D&gt;&lt;D xsi:type="xsd:double"&gt;431.99&lt;/D&gt;&lt;D xsi:type="xsd:double"&gt;427.59&lt;/D&gt;&lt;D xsi:type="xsd:double"&gt;428.45&lt;/D&gt;&lt;D xsi:type="xsd:double"&gt;429.01&lt;/D&gt;&lt;D xsi:type="xsd:double"&gt;421.88&lt;/D&gt;&lt;D xsi:type="xsd:double"&gt;416.97&lt;/D&gt;&lt;D xsi:type="xsd:double"&gt;425.3&lt;/D&gt;&lt;D xsi:type="xsd:double"&gt;428.15&lt;/D&gt;&lt;D xsi:type="xsd:double"&gt;423.81&lt;/D&gt;&lt;D xsi:type="xsd:double"&gt;426.35&lt;/D&gt;</t>
        </r>
      </text>
    </comment>
    <comment ref="A4" authorId="0" shapeId="0" xr:uid="{DD45F78E-29B9-471E-A829-A422DD8E568B}">
      <text>
        <r>
          <rPr>
            <b/>
            <sz val="9"/>
            <color indexed="81"/>
            <rFont val="Tahoma"/>
            <charset val="1"/>
          </rPr>
          <t>&lt;D xsi:type="xsd:double"&gt;425.83&lt;/D&gt;&lt;D xsi:type="xsd:double"&gt;423.48&lt;/D&gt;&lt;D xsi:type="xsd:double"&gt;421.73&lt;/D&gt;&lt;D xsi:type="xsd:double"&gt;421.18&lt;/D&gt;&lt;D xsi:type="xsd:double"&gt;412.99&lt;/D&gt;&lt;D xsi:type="xsd:double"&gt;407.21&lt;/D&gt;&lt;D xsi:type="xsd:double"&gt;409.52&lt;/D&gt;&lt;D xsi:type="xsd:double"&gt;409.56&lt;/D&gt;&lt;D xsi:type="xsd:double"&gt;409.35&lt;/D&gt;&lt;D xsi:type="xsd:double"&gt;408.5&lt;/D&gt;&lt;D xsi:type="xsd:double"&gt;405.75&lt;/D&gt;&lt;D xsi:type="xsd:double"&gt;404.95&lt;/D&gt;&lt;D xsi:type="xsd:double"&gt;396.75&lt;/D&gt;&lt;D xsi:type="xsd:double"&gt;396.28&lt;/D&gt;&lt;D xsi:type="xsd:double"&gt;398.33&lt;/D&gt;&lt;D xsi:type="xsd:double"&gt;402.59&lt;/D&gt;&lt;D xsi:type="xsd:double"&gt;409.52&lt;/D&gt;&lt;D xsi:type="xsd:double"&gt;411.3&lt;/D&gt;&lt;D xsi:type="xsd:double"&gt;411.5&lt;/D&gt;&lt;D xsi:type="xsd:double"&gt;410.88&lt;/D&gt;&lt;D xsi:type="xsd:double"&gt;408.38&lt;/D&gt;&lt;D xsi:type="xsd:double"&gt;407.77&lt;/D&gt;&lt;D xsi:type="xsd:double"&gt;403.08&lt;/D&gt;&lt;D xsi:type="xsd:double"&gt;409.16&lt;/D&gt;&lt;D xsi:type="xsd:double"&gt;407.08&lt;/D&gt;&lt;D xsi:type="xsd:double"&gt;405.34&lt;/D&gt;&lt;D xsi:type="xsd:double"&gt;403.39&lt;/D&gt;&lt;D xsi:type="xsd:double"&gt;403.74&lt;/D&gt;&lt;D xsi:type="xsd:double"&gt;398.67&lt;/D&gt;&lt;D xsi:type="xsd:double"&gt;395.52&lt;/D&gt;&lt;D xsi:type="xsd:double"&gt;392.17&lt;/D&gt;&lt;D xsi:type="xsd:double"&gt;390.43&lt;/D&gt;&lt;D xsi:type="xsd:double"&gt;385.05&lt;/D&gt;&lt;D xsi:type="xsd:double"&gt;387.29&lt;/D&gt;&lt;D xsi:type="xsd:double"&gt;386.32&lt;/D&gt;&lt;D xsi:type="xsd:double"&gt;389.94&lt;/D&gt;&lt;D xsi:type="xsd:double"&gt;388.83&lt;/D&gt;&lt;D xsi:type="xsd:double"&gt;389.81&lt;/D&gt;&lt;D xsi:type="xsd:double"&gt;390.19&lt;/D&gt;&lt;D xsi:type="xsd:double"&gt;389.17&lt;/D&gt;&lt;D xsi:type="xsd:double"&gt;389.51&lt;/D&gt;&lt;D xsi:type="xsd:double"&gt;390.06&lt;/D&gt;&lt;D xsi:type="xsd:double"&gt;388.47&lt;/D&gt;&lt;D xsi:type="xsd:double"&gt;390.74&lt;/D&gt;&lt;D xsi:type="xsd:double"&gt;386.04&lt;/D&gt;&lt;D xsi:type="xsd:double"&gt;385.95&lt;/D&gt;&lt;D xsi:type="xsd:double"&gt;385.62&lt;/D&gt;&lt;D xsi:type="xsd:double"&gt;385.33&lt;/D&gt;&lt;D xsi:type="xsd:double"&gt;377.21&lt;/D&gt;&lt;D xsi:type="xsd:double"&gt;378.39&lt;/D&gt;&lt;D xsi:type="xsd:double"&gt;370.07&lt;/D&gt;&lt;D xsi:type="xsd:double"&gt;372.94&lt;/D&gt;&lt;D xsi:type="xsd:double"&gt;372.7&lt;/D&gt;&lt;D xsi:type="xsd:double"&gt;369.21&lt;/D&gt;&lt;D xsi:type="xsd:double"&gt;367.71&lt;/D&gt;&lt;D xsi:type="xsd:double"&gt;363.44&lt;/D&gt;&lt;D xsi:type="xsd:double"&gt;356.96&lt;/D&gt;&lt;D xsi:type="xsd:double"&gt;350.87&lt;/D&gt;&lt;D xsi:type="xsd:double"&gt;349.2&lt;/D&gt;&lt;D xsi:type="xsd:double"&gt;345.31&lt;/D&gt;&lt;D xsi:type="xsd:double"&gt;343.66&lt;/D&gt;&lt;D xsi:type="xsd:double"&gt;350.34&lt;/D&gt;&lt;D xsi:type="xsd:double"&gt;359.13&lt;/D&gt;&lt;D xsi:type="xsd:double"&gt;355.67&lt;/D&gt;&lt;D xsi:type="xsd:double"&gt;354.6&lt;/D&gt;&lt;D xsi:type="xsd:double"&gt;359.97&lt;/D&gt;&lt;D xsi:type="xsd:double"&gt;363.37&lt;/D&gt;&lt;D xsi:type="xsd:double"&gt;368.2&lt;/D&gt;&lt;D xsi:type="xsd:double"&gt;369.41&lt;/D&gt;&lt;D xsi:type="xsd:double"&gt;365.28&lt;/D&gt;&lt;D xsi:type="xsd:double"&gt;369.93&lt;/D&gt;&lt;D xsi:type="xsd:double"&gt;371.22&lt;/D&gt;&lt;D xsi:type="xsd:double"&gt;368.59&lt;/D&gt;&lt;D xsi:type="xsd:double"&gt;366.56&lt;/D&gt;&lt;/FQL&gt;&lt;FQL&gt;&lt;Q&gt;INDA^P_PRICE(0)/P_PRICE_HIGH_PR(0,,,USD,,,"PRICE","INTRA","52W")&lt;/Q&gt;&lt;R&gt;1&lt;/R&gt;&lt;C&gt;1&lt;/C&gt;&lt;D xsi:type="xsd:double"&gt;0.9895507&lt;/D&gt;&lt;/FQL&gt;&lt;FQL&gt;&lt;Q&gt;EWI^P_PRICE(0)/P_PRICE_HIGH_PR(0,,,USD,,,"PRICE","INTRA","52W")&lt;/Q&gt;&lt;R&gt;1&lt;/R&gt;&lt;C&gt;1&lt;/C&gt;&lt;D xsi:type="xsd:double"&gt;0.95250195&lt;/D&gt;&lt;/FQL&gt;&lt;FQL&gt;&lt;Q&gt;QQQ^FG_TOTAL_RETURNC(0,-3AM)&lt;/Q&gt;&lt;R&gt;1&lt;/R&gt;&lt;C&gt;1&lt;/C&gt;&lt;D xsi:type="xsd:double"&gt;7.5902224&lt;/D&gt;&lt;/FQL&gt;&lt;FQL&gt;&lt;Q&gt;ENZL^FG_TOTAL_RETURNC(0,-3AM)&lt;/Q&gt;&lt;R&gt;1&lt;/R&gt;&lt;C&gt;1&lt;/C&gt;&lt;D xsi:type="xsd:double"&gt;4.0211916&lt;/D&gt;&lt;/FQL&gt;&lt;FQL&gt;&lt;Q&gt;URTH^PERCENT_CHANGE(FMA_EPS(+1,0,,,,"PORTAGG","MEAN"),FMA_EPS(+1,-1AM,,,,"PORTAGG","MEAN"))&lt;/Q&gt;&lt;R&gt;1&lt;/R&gt;&lt;C&gt;1&lt;/C&gt;&lt;D xsi:type="xsd:double"&gt;0.0266636553384657&lt;/D&gt;&lt;/FQL&gt;&lt;FQL&gt;&lt;Q&gt;QQQ^PERCENT_CHANGE(FMA_EPS(+1,0,,,,"PORTAGG","MEAN"),FMA_EPS(+1,-1AM,,,,"PORTAGG","MEAN"))&lt;/Q&gt;&lt;R&gt;1&lt;/R&gt;&lt;C&gt;1&lt;/C&gt;&lt;D xsi:type="xsd:double"&gt;-0.140557886396838&lt;/D&gt;&lt;/FQL&gt;&lt;FQL&gt;&lt;Q&gt;ENZL^FMA_PCT_ABOVE_MAVG(200,0,,,,"PORTAGG")&lt;/Q&gt;&lt;R&gt;1&lt;/R&gt;&lt;C&gt;1&lt;/C&gt;&lt;D xsi:type="xsd:double"&gt;57.1428571428571&lt;/D&gt;&lt;/FQL&gt;&lt;FQL&gt;&lt;Q&gt;FC0000JP^FMA_EPS(NTMA,-20AY,0,CY,,"PORTAGG","MEANR")&lt;/Q&gt;&lt;R&gt;20&lt;/R&gt;&lt;C&gt;1&lt;/C&gt;&lt;D xsi:type="xsd:double"&gt;6.3219540592912&lt;/D&gt;&lt;D xsi:type="xsd:double"&gt;6.36711938836275&lt;/D&gt;&lt;D xsi:type="xsd:double"&gt;7.10166782446205&lt;/D&gt;&lt;D xsi:type="xsd:double"&gt;8.01436671368109&lt;/D&gt;&lt;D xsi:type="xsd:double"&gt;6.05678795097842&lt;/D&gt;&lt;D xsi:type="xsd:double"&gt;4.61011331653549&lt;/D&gt;&lt;D xsi:type="xsd:double"&gt;7.53350480682024&lt;/D&gt;&lt;D xsi:type="xsd:double"&gt;7.85626935567262&lt;/D&gt;&lt;D xsi:type="xsd:double"&gt;7.24528468547332&lt;/D&gt;&lt;D xsi:type="xsd:double"&gt;8.03763113189248&lt;/D&gt;&lt;D xsi:type="xsd:double"&gt;7.80736408967881&lt;/D&gt;&lt;D xsi:type="xsd:double"&gt;8.63988549144276&lt;/D&gt;&lt;D xsi:type="xsd:double"&gt;8.56785655145268&lt;/D&gt;&lt;D xsi:type="xsd:double"&gt;10.4136052900246&lt;/D&gt;&lt;D xsi:type="xsd:double"&gt;11.6762416161251&lt;/D&gt;&lt;D xsi:type="xsd:double"&gt;10.6136771275732&lt;/D&gt;&lt;D xsi:type="xsd:double"&gt;9.49697338536693&lt;/D&gt;&lt;D xsi:type="xsd:double"&gt;12.0143397881791&lt;/D&gt;&lt;D xsi:type="xsd:double"&gt;11.6137588539022&lt;/D&gt;&lt;D xsi:type="xsd:double"&gt;12.0022510442883&lt;/D&gt;&lt;/FQL&gt;&lt;FQL&gt;&lt;Q&gt;SPY^FG_PRICE(0,-200D)&lt;/Q&gt;&lt;R&gt;201&lt;/R&gt;&lt;C&gt;1&lt;/C&gt;&lt;D xsi:type="xsd:double"&gt;544.44&lt;/D&gt;&lt;D xsi:type="xsd:double"&gt;538.41&lt;/D&gt;&lt;D xsi:type="xsd:double"&gt;541.23&lt;/D&gt;&lt;D xsi:type="xsd:double"&gt;553.78&lt;/D&gt;&lt;D xsi:type="xsd:double"&gt;554.65&lt;/D&gt;&lt;D xsi:type="xsd:double"&gt;548.99&lt;/D&gt;&lt;D xsi:type="xsd:double"&gt;552.66&lt;/D&gt;&lt;D xsi:type="xsd:double"&gt;556.94&lt;/D&gt;&lt;D xsi:type="xsd:double"&gt;564.86&lt;/D&gt;&lt;D xsi:type="xsd:double"&gt;561.53&lt;/D&gt;&lt;D xsi:type="xsd:double"&gt;559.99&lt;/D&gt;&lt;D xsi:type="xsd:double"&gt;556.48&lt;/D&gt;&lt;D xsi:type="xsd:double"&gt;561.32&lt;/D&gt;&lt;D xsi:type="xsd:double"&gt;555.82&lt;/D&gt;&lt;D xsi:type="xsd:double"&gt;555.28&lt;/D&gt;&lt;D xsi:type="xsd:double"&gt;554.64&lt;/D&gt;&lt;D xsi:type="xsd:double"&gt;551.46&lt;/D&gt;&lt;D xsi:type="xsd:double"&gt;549.01&lt;/D&gt;&lt;D xsi:type="xsd:double"&gt;545.34&lt;/D&gt;&lt;D xsi:type="xsd:double"&gt;544.22&lt;/D&gt;&lt;D xsi:type="xsd:double"&gt;546.37&lt;/D&gt;&lt;D xsi:type="xsd:double"&gt;545.51&lt;/D&gt;&lt;D xsi:type="xsd:double"&gt;544.83&lt;/D&gt;&lt;D xsi:type="xsd:double"&gt;542.74&lt;/D&gt;&lt;D xsi:type="xsd:double"&gt;544.51&lt;/D&gt;&lt;D xsi:type="xsd:double"&gt;547&lt;/D&gt;&lt;D xsi:type="xsd:double"&gt;548.49&lt;/D&gt;&lt;D xsi:type="xsd:double"&gt;547.1&lt;/D&gt;&lt;D xsi:type="xsd:double"&gt;542.78&lt;/D&gt;&lt;D xsi:type="xsd:double"&gt;542.45&lt;/D&gt;&lt;D xsi:type="xsd:double"&gt;541.36&lt;/D&gt;&lt;D xsi:type="xsd:double"&gt;536.95&lt;/D&gt;&lt;D xsi:type="xsd:double"&gt;535.66&lt;/D&gt;&lt;D xsi:type="xsd:double"&gt;534.01&lt;/D&gt;&lt;D xsi:type="xsd:double"&gt;534.66&lt;/D&gt;&lt;D xsi:type="xsd:double"&gt;534.67&lt;/D&gt;&lt;D xsi:type="xsd:double"&gt;528.39&lt;/D&gt;&lt;D xsi:type="xsd:double"&gt;527.8&lt;/D&gt;&lt;D xsi:type="xsd:double"&gt;527.37&lt;/D&gt;&lt;D xsi:type="xsd:double"&gt;522.61&lt;/D&gt;&lt;D xsi:type="xsd:double"&gt;526.1&lt;/D&gt;&lt;D xsi:type="xsd:double"&gt;529.81&lt;/D&gt;&lt;D xsi:type="xsd:double"&gt;529.44&lt;/D&gt;&lt;D xsi:type="xsd:double"&gt;525.96&lt;/D&gt;&lt;D xsi:type="xsd:double"&gt;529.83&lt;/D&gt;&lt;D xsi:type="xsd:double"&gt;531.36&lt;/D&gt;&lt;D xsi:type="xsd:double"&gt;530.06&lt;/D&gt;&lt;D xsi:type="xsd:double"&gt;529.45&lt;/D&gt;&lt;D xsi:type="xsd:double"&gt;528.69&lt;/D&gt;&lt;D xsi:type="xsd:double"&gt;529.78&lt;/D&gt;&lt;D xsi:type="xsd:double"&gt;523.3&lt;/D&gt;&lt;D xsi:type="xsd:double"&gt;520.91&lt;/D&gt;&lt;D xsi:type="xsd:double"&gt;520.84&lt;/D&gt;&lt;D xsi:type="xsd:double"&gt;520.17&lt;/D&gt;&lt;D xsi:type="xsd:double"&gt;517.19&lt;/D&gt;&lt;D xsi:type="xsd:double"&gt;517.14&lt;/D&gt;&lt;D xsi:type="xsd:double"&gt;516.57&lt;/D&gt;&lt;D xsi:type="xsd:double"&gt;511.29&lt;/D&gt;&lt;D xsi:type="xsd:double"&gt;505.03&lt;/D&gt;&lt;D xsi:type="xsd:double"&gt;500.35&lt;/D&gt;&lt;D xsi:type="xsd:double"&gt;501.98&lt;/D&gt;&lt;D xsi:type="xsd:double"&gt;510.06&lt;/D&gt;&lt;D xsi:type="xsd:double"&gt;508.26&lt;/D&gt;&lt;D xsi:type="xsd:double"&gt;503.49&lt;/D&gt;&lt;D xsi:type="xsd:double"&gt;505.41&lt;/D&gt;&lt;D xsi:type="xsd:double"&gt;505.65&lt;/D&gt;&lt;D xsi:type="xsd:double"&gt;499.72&lt;/D&gt;&lt;D xsi:type="xsd:double"&gt;495.16&lt;/D&gt;&lt;D xsi:type="xsd:double"&gt;499.52&lt;/D&gt;&lt;D xsi:type="xsd:double"&gt;500.55&lt;/D&gt;&lt;D xsi:type="xsd:double"&gt;503.53&lt;/D&gt;&lt;D xsi:type="xsd:double"&gt;504.45&lt;/D&gt;&lt;D xsi:type="xsd:double"&gt;510.85&lt;/D&gt;&lt;D xsi:type="xsd:double"&gt;518&lt;/D&gt;&lt;D xsi:type="xsd:double"&gt;514.12&lt;/D&gt;&lt;D xsi:type="xsd:double"&gt;519.32&lt;/D&gt;&lt;D xsi:type="xsd:double"&gt;518.72&lt;/D&gt;&lt;D xsi:type="xsd:double"&gt;518.43&lt;/D&gt;&lt;D xsi:type="xsd:double"&gt;513.07&lt;/D&gt;&lt;D xsi:type="xsd:double"&gt;519.41&lt;/D&gt;&lt;D xsi:type="xsd:double"&gt;518.84&lt;/D&gt;&lt;D xsi:type="xsd:double"&gt;522.16&lt;/D&gt;&lt;D xsi:type="xsd:double"&gt;523.07&lt;/D&gt;&lt;D xsi:type="xsd:double"&gt;523.17&lt;/D&gt;&lt;D xsi:type="xsd:double"&gt;518.81&lt;/D&gt;&lt;D xsi:type="xsd:double"&gt;519.77&lt;/D&gt;&lt;D xsi:type="xsd:double"&gt;521.21&lt;/D&gt;&lt;D xsi:type="xsd:double"&gt;522.2&lt;/D&gt;&lt;D xsi:type="xsd:double"&gt;520.48&lt;/D&gt;&lt;D xsi:type="xsd:double"&gt;515.71&lt;/D&gt;&lt;D xsi:type="xsd:double"&gt;512.86&lt;/D&gt;&lt;D xsi:type="xsd:double"&gt;509.83&lt;/D&gt;&lt;D xsi:type="xsd:double"&gt;514.95&lt;/D&gt;&lt;D xsi:type="xsd:double"&gt;515.97&lt;/D&gt;&lt;D xsi:type="xsd:double"&gt;516.78&lt;/D&gt;&lt;D xsi:type="xsd:double"&gt;511.28&lt;/D&gt;&lt;D xsi:type="xsd:double"&gt;511.72&lt;/D&gt;&lt;D xsi:type="xsd:double"&gt;514.81&lt;/D&gt;&lt;D xsi:type="xsd:double"&gt;509.75&lt;/D&gt;&lt;D xsi:type="xsd:double"&gt;507.18&lt;/D&gt;&lt;D xsi:type="xsd:double"&gt;512.3&lt;/D&gt;&lt;D xsi:type="xsd:double"&gt;512.85&lt;/D&gt;&lt;D xsi:type="xsd:double"&gt;508.08&lt;/D&gt;&lt;D xsi:type="xsd:double"&gt;506.26&lt;/D&gt;&lt;D xsi:type="xsd:double"&gt;506.93&lt;/D&gt;&lt;D xsi:type="xsd:double"&gt;505.99&lt;/D&gt;&lt;D xsi:type="xsd:double"&gt;507.85&lt;/D&gt;&lt;D xsi:type="xsd:double"&gt;507.5&lt;/D&gt;&lt;D xsi:type="xsd:double"&gt;497.21&lt;/D&gt;&lt;D xsi:type="xsd:double"&gt;496.76&lt;/D&gt;&lt;D xsi:type="xsd:double"&gt;499.51&lt;/D&gt;&lt;D xsi:type="xsd:double"&gt;502.01&lt;/D&gt;&lt;D xsi:type="xsd:double"&gt;498.57&lt;/D&gt;&lt;D xsi:type="xsd:double"&gt;494.08&lt;/D&gt;&lt;D xsi:type="xsd:double"&gt;500.98&lt;/D&gt;&lt;D xsi:type="xsd:double"&gt;501.2&lt;/D&gt;&lt;D xsi:type="xsd:double"&gt;498.32&lt;/D&gt;&lt;D xsi:type="xsd:double"&gt;498.1&lt;/D&gt;&lt;D xsi:type="xsd:double"&gt;493.98&lt;/D&gt;&lt;D xsi:type="xsd:double"&gt;492.55&lt;/D&gt;&lt;D xsi:type="xsd:double"&gt;494.35&lt;/D&gt;&lt;D xsi:type="xsd:double"&gt;489.2&lt;/D&gt;&lt;D xsi:type="xsd:double"&gt;482.88&lt;/D&gt;&lt;D xsi:type="xsd:double"&gt;490.89&lt;/D&gt;&lt;D xsi:type="xsd:double"&gt;491.27&lt;/D&gt;&lt;D xsi:type="xsd:double"&gt;487.41&lt;/D&gt;&lt;D xsi:type="xsd:double"&gt;488.03&lt;/D&gt;&lt;D xsi:type="xsd:double"&gt;485.39&lt;/D&gt;&lt;D xsi:type="xsd:double"&gt;484.86&lt;/D&gt;&lt;D xsi:type="xsd:double"&gt;483.45&lt;/D&gt;&lt;D xsi:type="xsd:double"&gt;482.43&lt;/D&gt;&lt;D xsi:type="xsd:double"&gt;476.49&lt;/D&gt;&lt;D xsi:type="xsd:double"&gt;472.29&lt;/D&gt;&lt;D xsi:type="xsd:double"&gt;474.93&lt;/D&gt;&lt;D xsi:type="xsd:double"&gt;476.68&lt;/D&gt;&lt;D xsi:type="xsd:double"&gt;476.35&lt;/D&gt;&lt;D xsi:type="xsd:double"&gt;476.56&lt;/D&gt;&lt;D xsi:type="xsd:double"&gt;473.88&lt;/D&gt;&lt;D xsi:type="xsd:double"&gt;474.6&lt;/D&gt;&lt;D xsi:type="xsd:double"&gt;467.92&lt;/D&gt;&lt;D xsi:type="xsd:double"&gt;467.28&lt;/D&gt;&lt;D xsi:type="xsd:double"&gt;468.79&lt;/D&gt;&lt;D xsi:type="xsd:double"&gt;472.65&lt;/D&gt;&lt;D xsi:type="xsd:double"&gt;475.31&lt;/D&gt;&lt;D xsi:type="xsd:double"&gt;476.69&lt;/D&gt;&lt;D xsi:type="xsd:double"&gt;476.51&lt;/D&gt;&lt;D xsi:type="xsd:double"&gt;475.65&lt;/D&gt;&lt;D xsi:type="xsd:double"&gt;473.65&lt;/D&gt;&lt;D xsi:type="xsd:double"&gt;472.7&lt;/D&gt;&lt;D xsi:type="xsd:double"&gt;468.26&lt;/D&gt;&lt;D xsi:type="xsd:double"&gt;474.84&lt;/D&gt;&lt;D xsi:type="xsd:double"&gt;471.97&lt;/D&gt;&lt;D xsi:type="xsd:double"&gt;469.33&lt;/D&gt;&lt;D xsi:type="xsd:double"&gt;472.01&lt;/D&gt;&lt;D xsi:type="xsd:double"&gt;470.5&lt;/D&gt;&lt;D xsi:type="xsd:double"&gt;464.1&lt;/D&gt;&lt;D xsi:type="xsd:double"&gt;461.99&lt;/D&gt;&lt;D xsi:type="xsd:double"&gt;460.2&lt;/D&gt;&lt;D xsi:type="xsd:double"&gt;458.23&lt;/D&gt;&lt;D xsi:type="xsd:double"&gt;454.76&lt;/D&gt;&lt;D xsi:type="xsd:double"&gt;456.6&lt;/D&gt;&lt;D xsi:type="xsd:double"&gt;456.69&lt;/D&gt;&lt;D xsi:type="xsd:double"&gt;459.1&lt;/D&gt;&lt;D xsi:type="xsd:double"&gt;456.4&lt;/D&gt;&lt;D xsi:type="xsd:double"&gt;454.61&lt;/D&gt;&lt;D xsi:type="xsd:double"&gt;454.93&lt;/D&gt;&lt;D xsi:type="xsd:double"&gt;454.48&lt;/D&gt;&lt;D xsi:type="xsd:double"&gt;455.3&lt;/D&gt;&lt;D xsi:type="xsd:double"&gt;455.02&lt;/D&gt;&lt;D xsi:type="xsd:double"&gt;453.27&lt;/D&gt;&lt;D xsi:type="xsd:double"&gt;454.26&lt;/D&gt;&lt;D xsi:type="xsd:double"&gt;450.79&lt;/D&gt;&lt;D xsi:type="xsd:double"&gt;450.23&lt;/D&gt;&lt;D xsi:type="xsd:double"&gt;449.68&lt;/D&gt;&lt;D xsi:type="xsd:double"&gt;448.73&lt;/D&gt;&lt;D xsi:type="xsd:double"&gt;440.19&lt;/D&gt;&lt;D xsi:type="xsd:double"&gt;440.61&lt;/D&gt;&lt;D xsi:type="xsd:double"&gt;433.84&lt;/D&gt;&lt;D xsi:type="xsd:double"&gt;437.25&lt;/D&gt;&lt;D xsi:type="xsd:double"&gt;436.93&lt;/D&gt;&lt;D xsi:type="xsd:double"&gt;435.69&lt;/D&gt;&lt;D xsi:type="xsd:double"&gt;434.69&lt;/D&gt;&lt;D xsi:type="xsd:double"&gt;430.76&lt;/D&gt;&lt;D xsi:type="xsd:double"&gt;422.66&lt;/D&gt;&lt;D xsi:type="xsd:double"&gt;418.2&lt;/D&gt;&lt;D xsi:type="xsd:double"&gt;415.59&lt;/D&gt;&lt;D xsi:type="xsd:double"&gt;410.68&lt;/D&gt;&lt;D xsi:type="xsd:double"&gt;412.55&lt;/D&gt;&lt;D xsi:type="xsd:double"&gt;417.55&lt;/D&gt;&lt;D xsi:type="xsd:double"&gt;423.63&lt;/D&gt;&lt;D xsi:type="xsd:double"&gt;420.46&lt;/D&gt;&lt;D xsi:type="xsd:double"&gt;421.19&lt;/D&gt;&lt;D xsi:type="xsd:double"&gt;426.43&lt;/D&gt;&lt;D xsi:type="xsd:double"&gt;430.21&lt;/D&gt;&lt;D xsi:type="xsd:double"&gt;436.02&lt;/D&gt;&lt;D xsi:type="xsd:double"&gt;436.04&lt;/D&gt;&lt;D xsi:type="xsd:double"&gt;431.5&lt;/D&gt;&lt;D xsi:type="xsd:double"&gt;433.66&lt;/D&gt;&lt;D xsi:type="xsd:double"&gt;436.32&lt;/D&gt;&lt;D xsi:type="xsd:double"&gt;434.54&lt;/D&gt;&lt;D xsi:type="xsd:double"&gt;432.29&lt;/D&gt;&lt;/FQL&gt;&lt;FQL&gt;&lt;Q&gt;USO^FG_TOTAL_RETURNC(-1AM,-4AM)&lt;/Q&gt;&lt;R&gt;1&lt;/R&gt;&lt;C&gt;1&lt;/C&gt;&lt;D xsi:type="xsd:double"&gt;1.8889904&lt;/D&gt;&lt;/FQL&gt;&lt;FQL&gt;&lt;Q&gt;UUP^FG_COMPANY_NAME&lt;/Q&gt;&lt;R&gt;1&lt;/R&gt;&lt;C&gt;1&lt;/C&gt;&lt;D xsi:type="xsd:string"&gt;Invesco DB US Dollar Index Bullish Fund&lt;/D&gt;&lt;/FQL&gt;&lt;FQL&gt;&lt;Q&gt;QQQ^FG_FCF_YIELD_NTM(0)&lt;/Q&gt;&lt;R&gt;1&lt;/R&gt;&lt;C&gt;1&lt;/C&gt;&lt;D xsi:type="xsd:double"&gt;3.63563533924483&lt;/D&gt;&lt;/FQL&gt;&lt;FQL&gt;&lt;Q&gt;QQQ^FMA_DIV_YLD(NTMA,NOW,NOW,M,"PORTAGG","MEANR")&lt;/Q&gt;&lt;R&gt;1&lt;/R&gt;&lt;C&gt;1&lt;/C&gt;&lt;D xsi:type="xsd:double"&gt;0.843317139017348&lt;/D&gt;&lt;/FQL&gt;&lt;FQL&gt;&lt;Q&gt;VGK^P_PRICE(0)/P_PRICE_LOW_PR(0,,,USD,,,"PRICE","INTRA","52W")-1&lt;/Q&gt;&lt;R&gt;1&lt;/R&gt;&lt;C&gt;1&lt;/C&gt;&lt;D xsi:type="xsd:double"&gt;0.23719585&lt;/D&gt;&lt;/FQL&gt;&lt;FQL&gt;&lt;Q&gt;EWG^P_PRICE(0)/P_PRICE_HIGH_PR(0,,,USD,,,"PRICE","INTRA","52W")&lt;/Q&gt;&lt;R&gt;1&lt;/R&gt;&lt;C&gt;1&lt;/C&gt;&lt;D xsi:type="xsd:double"&gt;0.95610344&lt;/D&gt;&lt;/FQL&gt;&lt;FQL&gt;&lt;Q&gt;EWC^PERCENT_CHANGE(FMA_EPS(+1,0,,,,"PORTAGG","MEAN"),FMA_EPS(+1,-3AM,,,,"PORTAGG","MEAN"))&lt;/Q&gt;&lt;R&gt;1&lt;/R&gt;&lt;C&gt;1&lt;/C&gt;&lt;D xsi:type="xsd:double"&gt;-1.94019737710527&lt;/D&gt;&lt;/FQL&gt;&lt;FQL&gt;&lt;Q&gt;EWG^SIZE(FG_CONSTITUENTS)&lt;/Q&gt;&lt;R&gt;1&lt;/R&gt;&lt;C&gt;1&lt;/C&gt;&lt;D xsi:type="xsd:long"&gt;59&lt;/D&gt;&lt;/FQL&gt;&lt;FQL&gt;&lt;Q&gt;QQQ^FG_TOTAL_RETURNC(-1AM,-4AM)&lt;/Q&gt;&lt;R&gt;1&lt;/R&gt;&lt;C&gt;1&lt;/C&gt;&lt;D xsi:type="xsd:double"&gt;8.5314865&lt;/D&gt;&lt;/FQL&gt;&lt;FQL&gt;&lt;Q&gt;QQQ^FG_PE_NTM(0,,,90,0)&lt;/Q&gt;&lt;R&gt;1&lt;/R&gt;&lt;C&gt;1&lt;/C&gt;&lt;D xsi:type="xsd:double"&gt;25.7231507266766&lt;/D&gt;&lt;/FQL&gt;&lt;FQL&gt;&lt;Q&gt;URTH^FMA_PCT_ABOVE_MAVG(200,0,,,,"PORTAGG")&lt;/Q&gt;&lt;R&gt;1&lt;/R&gt;&lt;C&gt;1&lt;/C&gt;&lt;D xsi:type="xsd:double"&gt;65.0771388499299&lt;/D&gt;&lt;/FQL&gt;&lt;FQL&gt;&lt;Q&gt;VGK^SIZE(FG_CONSTITUENTS)&lt;/Q&gt;&lt;R&gt;1&lt;/R&gt;&lt;C&gt;1&lt;/C&gt;&lt;D xsi:type="xsd:long"&gt;1283&lt;/D&gt;&lt;/FQL&gt;&lt;FQL&gt;&lt;Q&gt;BTC00-USA^P_FUT_TOTAL_RETURN(-1AM,-2AM,,'')&lt;/Q&gt;&lt;R&gt;1&lt;/R&gt;&lt;C&gt;1&lt;/C&gt;&lt;D xsi:type="xsd:double"&gt;-12.8023371498271&lt;/D&gt;&lt;/FQL&gt;&lt;FQL&gt;&lt;Q&gt;FXI^P_PRICE(0)/P_PRICE_HIGH_PR(0,,,USD,,,"PRICE","INTRA","52W")&lt;/Q&gt;&lt;R&gt;1&lt;/R&gt;&lt;C&gt;1&lt;/C&gt;&lt;D xsi:type="xsd:double"&gt;0.8356254&lt;/D&gt;&lt;/FQL&gt;&lt;FQL&gt;&lt;Q&gt;UUP^FG_TOTAL_RETURNC(0,-3AM)&lt;/Q&gt;&lt;R&gt;1&lt;/R&gt;&lt;C&gt;1&lt;/C&gt;&lt;D xsi:type="xsd:double"&gt;-0.24229884&lt;/D&gt;&lt;/FQL&gt;&lt;FQL&gt;&lt;Q&gt;TRYIN10Y-FDS^FG_YIELD(0,,,,"YTM")&lt;/Q&gt;&lt;R&gt;1&lt;/R&gt;&lt;C&gt;1&lt;/C&gt;&lt;D xsi:type="xsd:double"&gt;6.952&lt;/D&gt;&lt;/FQL&gt;&lt;FQL&gt;&lt;Q&gt;EWI^FG_TOTAL_RETURNC(0,-6AM)&lt;/Q&gt;&lt;R&gt;1&lt;/R&gt;&lt;C&gt;1&lt;/C&gt;&lt;D xsi:type="xsd:double"&gt;14.849674&lt;/D&gt;&lt;/FQL&gt;&lt;FQL&gt;&lt;Q&gt;EWG^FG_TOTAL_RETURNC(0,-6AM)&lt;/Q&gt;&lt;R&gt;1&lt;/R&gt;&lt;C&gt;1&lt;/C&gt;&lt;D xsi:type="xsd:double"&gt;9.160566&lt;/D&gt;&lt;/FQL&gt;&lt;FQL&gt;&lt;Q&gt;EWC^PERCENT_CHANGE(FMA_EPS(+1,0,,,,"PORTAGG","MEAN"),FMA_EPS(+1,-1AM,,,,"PORTAGG","MEAN"))&lt;/Q&gt;&lt;R&gt;1&lt;/R&gt;&lt;C&gt;1&lt;/C&gt;&lt;D xsi:type="xsd:double"&gt;-1.12002504444639&lt;/D&gt;&lt;/FQL&gt;&lt;FQL&gt;&lt;Q&gt;EWG^FMA_COS_DOWN("EPS","1M",+1,0,,,"PORTAGG","MEANR")&lt;/Q&gt;&lt;R&gt;1&lt;/R&gt;&lt;C&gt;1&lt;/C&gt;&lt;D xsi:type="xsd:double"&gt;34&lt;/D&gt;&lt;/FQL&gt;&lt;FQL&gt;&lt;Q&gt;QQQ^FG_TOTAL_RETURNC(-1AM,-2AM)&lt;/Q&gt;&lt;R&gt;1&lt;/R&gt;&lt;C&gt;1&lt;/C&gt;&lt;D xsi:type="xsd:double"&gt;5.064273&lt;/D&gt;&lt;/FQL&gt;&lt;FQL&gt;&lt;Q&gt;GLD^P_PRICE(0)/P_PRICE_HIGH_PR(0,,,USD,,,"PRICE","INTRA","52W")&lt;/Q&gt;&lt;R&gt;1&lt;/R&gt;&lt;C&gt;1&lt;/C&gt;&lt;D xsi:type="xsd:double"&gt;0.96072286&lt;/D&gt;&lt;/FQL&gt;&lt;FQL&gt;&lt;Q&gt;IWM^P_PRICE(0)/P_PRICE_LOW_PR(0,,,USD,,,"PRICE","INTRA","52W")-1&lt;/Q&gt;&lt;R&gt;1&lt;/R&gt;&lt;C&gt;1&lt;/C&gt;&lt;D xsi:type="xsd:double"&gt;0.38689923&lt;/D&gt;&lt;/FQL&gt;&lt;FQL&gt;&lt;Q&gt;VWO^PERCENT_CHANGE(FMA_EPS(+1,0,,,,"PORTAGG","MEAN"),FMA_EPS(+1,-3AM,,,,"PORTAGG","MEAN"))&lt;/Q&gt;&lt;R&gt;1&lt;/R&gt;&lt;C&gt;1&lt;/C&gt;&lt;D xsi:type="xsd:double"&gt;-8.32273087312745&lt;/D&gt;&lt;/FQL&gt;&lt;FQL&gt;&lt;Q&gt;VGK^FMA_COS_DOWN("EPS","1M",+1,0,,,"PORTAGG","MEANR")&lt;/Q&gt;&lt;R&gt;1&lt;/R&gt;&lt;C&gt;1&lt;/C&gt;&lt;D xsi:type="xsd:double"&gt;488&lt;/D&gt;&lt;/FQL&gt;&lt;FQL&gt;&lt;Q&gt;FXI^P_PRICE(-1AM)/P_PRICE_HIGH_PR(-1AM,,,,,,"PRICE","INTRA","52W")&lt;/Q&gt;&lt;R&gt;1&lt;/R&gt;&lt;C&gt;1&lt;/C&gt;&lt;D xsi:type="xsd:double"&gt;0.86836934&lt;/D&gt;&lt;/FQL&gt;&lt;FQL&gt;&lt;Q&gt;EWJ^FG_TOTAL_RETURNC(0,-1AM)&lt;/Q&gt;&lt;R&gt;1&lt;/R&gt;&lt;C&gt;1&lt;/C&gt;&lt;D xsi:type="xsd:double"&gt;2.050221&lt;/D&gt;&lt;/FQL&gt;&lt;FQL&gt;&lt;Q&gt;SPY^FG_PE_NTM(0,,,90,0)&lt;/Q&gt;&lt;R&gt;1&lt;/R&gt;&lt;C&gt;1&lt;/C&gt;&lt;D xsi:type="xsd:double"&gt;20.5995979863517&lt;/D&gt;&lt;/FQL&gt;&lt;FQL&gt;&lt;Q&gt;EWI^FG_TOTAL_RETURNC(0,-3AM)&lt;/Q&gt;&lt;R&gt;1&lt;/R&gt;&lt;C&gt;1&lt;/C&gt;&lt;D xsi:type="xsd:double"&gt;3.1919956&lt;/D&gt;&lt;/FQL&gt;&lt;FQL&gt;&lt;Q&gt;EWG^FG_TOTAL_RETURNC(0,-3AM)&lt;/Q&gt;&lt;R&gt;1&lt;/R&gt;&lt;C&gt;1&lt;/C&gt;&lt;D xsi:type="xsd:double"&gt;3.6249757&lt;/D&gt;&lt;/FQL&gt;&lt;FQL&gt;&lt;Q&gt;EWC^FMA_PCT_ABOVE_MAVG(200,0,,,,"PORTAGG")&lt;/Q&gt;&lt;R&gt;1&lt;/R&gt;&lt;C&gt;1&lt;/C&gt;&lt;D xsi:type="xsd:double"&gt;76.1363636363636&lt;/D&gt;&lt;/FQL&gt;&lt;FQL&gt;&lt;Q&gt;EWC^FMA_COS_DOWN("EPS","1M",+1,0,,,"PORTAGG","MEANR")&lt;/Q&gt;&lt;R&gt;1&lt;/R&gt;&lt;C&gt;1&lt;/C&gt;&lt;D xsi:type="xsd:double"&gt;38&lt;/D&gt;&lt;/FQL&gt;&lt;FQL&gt;&lt;Q&gt;UUP^P_PRICE(-1AM)/P_PRICE_HIGH_PR(-1AM,,,,,,"PRICE","INTRA","52W")&lt;/Q&gt;&lt;R&gt;1&lt;/R&gt;&lt;C&gt;1&lt;/C&gt;&lt;D xsi:type="xsd:double"&gt;0.96701473&lt;/D&gt;&lt;/FQL&gt;&lt;FQL&gt;&lt;Q&gt;GLD^FG_TOTAL_RETURNC(0,-6AM)&lt;/Q&gt;&lt;R&gt;1&lt;/R&gt;&lt;C&gt;1&lt;/C&gt;&lt;D xsi:type="xsd:double"&gt;17.977655&lt;/D&gt;&lt;/FQL&gt;&lt;FQL&gt;&lt;Q&gt;IWM^P_PRICE(0)/P_PRICE_HIGH_PR(0,,,USD,,,"PRICE","INTRA","52W")&lt;/Q&gt;&lt;R&gt;1&lt;/R&gt;&lt;C&gt;1&lt;/C&gt;&lt;D xsi:type="xsd:double"&gt;0.9893223&lt;/D&gt;&lt;/FQL&gt;&lt;FQL&gt;&lt;Q&gt;VWO^PERCENT_CHANGE(FMA_EPS(+1,0,,,,"PORTAGG","MEAN"),FMA_EPS(+1,-1AM,,,,"PORTAGG","MEAN"))&lt;/Q&gt;&lt;R&gt;1&lt;/R&gt;&lt;C&gt;1&lt;/C&gt;&lt;D xsi:type="xsd:double"&gt;170.818965015428&lt;/D&gt;&lt;/FQL&gt;&lt;FQL&gt;&lt;Q&gt;EWI^FMA_COS_UP("EPS","1M",+1,0,,,"PORTAGG","MEANR")&lt;/Q&gt;&lt;R&gt;1&lt;/R&gt;&lt;C&gt;1&lt;/C&gt;&lt;D xsi:type="xsd:double"&gt;10&lt;/D&gt;&lt;/FQL&gt;&lt;FQL&gt;&lt;Q&gt;FXI^FG_TOTAL_RETURNC(-1AM,-7AM)&lt;/Q&gt;&lt;R&gt;1&lt;/R&gt;&lt;C&gt;1&lt;/C&gt;&lt;D xsi:type="xsd:double"&gt;14.577782&lt;/D&gt;&lt;/FQL&gt;&lt;FQL&gt;&lt;Q&gt;EMXC^P_PRICE(0)/P_PRICE_HIGH_PR(0,,,USD,,,"PRICE","INTRA","52W")&lt;/Q&gt;&lt;R&gt;1&lt;/R&gt;&lt;C&gt;1&lt;/C&gt;&lt;D xsi:type="xsd:double"&gt;0.9530395&lt;/D&gt;&lt;/FQL&gt;&lt;FQL&gt;&lt;Q&gt;FXI^FG_FCF_YIELD_NTM(0)&lt;/Q&gt;&lt;R&gt;1&lt;/R&gt;&lt;C&gt;1&lt;/C&gt;&lt;D xsi:type="xsd:double"&gt;8.00829781330782&lt;/D&gt;&lt;/FQL&gt;&lt;FQL&gt;&lt;Q&gt;EWD^P_PRICE(0)/P_PRICE_LOW_PR(0,,,USD,,,"PRICE","INTRA","52W")-1&lt;/Q&gt;&lt;R&gt;1&lt;/R&gt;&lt;C&gt;1&lt;/C&gt;&lt;D xsi:type="xsd:double"&gt;0.29248822&lt;/D&gt;&lt;/FQL&gt;&lt;FQL&gt;&lt;Q&gt;EWC^P_PRICE(0)/P_PRICE_HIGH_PR(0,,,USD,,,"PRICE","INTRA","52W")&lt;/Q&gt;&lt;R&gt;1&lt;/R&gt;&lt;C&gt;1&lt;/C&gt;&lt;D xsi:type="xsd:double"&gt;0.98206514&lt;/D&gt;&lt;/FQL&gt;&lt;FQL&gt;&lt;Q&gt;EWI^PERCENT_CHANGE(FMA_EPS(+1,0,,,,"PORTAGG","MEAN"),FMA_EPS(+1,-3AM,,,,"PORTAGG","MEAN"))&lt;/Q&gt;&lt;R&gt;1&lt;/R&gt;&lt;C&gt;1&lt;/C&gt;&lt;D xsi:type="xsd:double"&gt;-2.70731727702463&lt;/D&gt;&lt;/FQL&gt;&lt;FQL&gt;&lt;Q&gt;EWA^PERCENT_CHANGE(FMA_EPS(+1,0,,,,"PORTAGG","MEAN"),FMA_EPS(+1,-3AM,,,,"PORTAGG","MEAN"))&lt;/Q&gt;&lt;R&gt;1&lt;/R&gt;&lt;C&gt;1&lt;/C&gt;&lt;D xsi:type="xsd:double"&gt;-2.49428968349461&lt;/D&gt;&lt;/FQL&gt;&lt;FQL&gt;&lt;Q&gt;EWC^FMA_COS_UP("EPS","1M",+1,0,,,"PORTAGG","MEANR")&lt;/Q&gt;&lt;R&gt;1&lt;/R&gt;&lt;C&gt;1&lt;/C&gt;&lt;D xsi:type="xsd:double"&gt;34&lt;/D&gt;&lt;/FQL&gt;&lt;FQL&gt;&lt;Q&gt;UUP^FG_TOTAL_RETURNC(-1AM,-7AM)&lt;/Q&gt;&lt;R&gt;1&lt;/R&gt;&lt;C&gt;1&lt;/C&gt;&lt;D xsi:type="xsd:double"&gt;7.6781154&lt;/D&gt;&lt;/FQL&gt;&lt;FQL&gt;&lt;Q&gt;GLD^FG_TOTAL_RETURNC(0,-3AM)&lt;/Q&gt;&lt;R&gt;1&lt;/R&gt;&lt;C&gt;1&lt;/C&gt;&lt;D xsi:type="xsd:double"&gt;1.8511772&lt;/D&gt;&lt;/FQL&gt;&lt;FQL&gt;&lt;Q&gt;EWN^FG_TOTAL_RETURNC(0,-3AM)&lt;/Q&gt;&lt;R&gt;1&lt;/R&gt;&lt;C&gt;1&lt;/C&gt;&lt;D xsi:type="xsd:double"&gt;1.880157&lt;/D&gt;&lt;/FQL&gt;&lt;FQL&gt;&lt;Q&gt;EWD^SIZE(FG_CONSTITUENTS)&lt;/Q&gt;&lt;R&gt;1&lt;/R&gt;&lt;C&gt;1&lt;/C&gt;&lt;D xsi:type="xsd:long"&gt;46&lt;/D&gt;&lt;/FQL&gt;&lt;FQL&gt;&lt;Q&gt;EWA^SIZE(FG_CONSTITUENTS)&lt;/Q&gt;&lt;R&gt;1&lt;/R&gt;&lt;C&gt;1&lt;/C&gt;&lt;D xsi:type="xsd:long"&gt;60&lt;/D&gt;&lt;/FQL&gt;&lt;FQL&gt;&lt;Q&gt;EWJ^FG_TOTAL_RETURNC(-1AM,-7AM)&lt;/Q&gt;&lt;R&gt;1&lt;/R&gt;&lt;C&gt;1&lt;/C&gt;&lt;D xsi:type="xsd:double"&gt;7.112682&lt;/D&gt;&lt;/FQL&gt;&lt;FQL&gt;&lt;Q&gt;FXI^FMA_DIV_YLD(NTMA,NOW,NOW,M,"PORTAGG","MEANR")&lt;/Q&gt;&lt;R&gt;1&lt;/R&gt;&lt;C&gt;1&lt;/C&gt;&lt;D xsi:type="xsd:double"&gt;3.6631516409143&lt;/D&gt;&lt;/FQL&gt;&lt;FQL&gt;&lt;Q&gt;EWC^FG_TOTAL_RETURNC(0,-6AM)&lt;/Q&gt;&lt;R&gt;1&lt;/R&gt;&lt;C&gt;1&lt;/C&gt;&lt;D xsi:type="xsd:double"&gt;6.0952067&lt;/D&gt;&lt;/FQL&gt;&lt;FQL&gt;&lt;Q&gt;EWI^PERCENT_CHANGE(FMA_EPS(+1,0,,,,"PORTAGG","MEAN"),FMA_EPS(+1,-1AM,,,,"PORTAGG","MEAN"))&lt;/Q&gt;&lt;R&gt;1&lt;/R&gt;&lt;C&gt;1&lt;/C&gt;&lt;D xsi:type="xsd:double"&gt;-0.487928687262707&lt;/D&gt;&lt;/FQL&gt;&lt;FQL&gt;&lt;Q&gt;EWA^PERCENT_CHANGE(FMA_EPS(+1,0,,,,"PORTAGG","MEAN"),FMA_EPS(+1,-1AM,,,,"PORTAGG","MEAN"))&lt;/Q&gt;&lt;R&gt;1&lt;/R&gt;&lt;C&gt;1&lt;/C&gt;&lt;D xsi:type="xsd:double"&gt;-0.178085886270944&lt;/D&gt;&lt;/FQL&gt;&lt;FQL&gt;&lt;Q&gt;UUP^FG_TOTAL_RETURNC(-1AM,-4AM)&lt;/Q&gt;&lt;R&gt;1&lt;/R&gt;&lt;C&gt;1&lt;/C&gt;&lt;D xsi:type="xsd:double"&gt;3.1835914&lt;/D&gt;&lt;/FQL&gt;&lt;FQL&gt;&lt;Q&gt;GLD^FG_TOTAL_RETURNC(0,-1AM)&lt;/Q&gt;&lt;R&gt;1&lt;/R&gt;&lt;C&gt;1&lt;/C&gt;&lt;D xsi:type="xsd:double"&gt;3.7868142&lt;/D&gt;&lt;/FQL&gt;&lt;FQL&gt;&lt;Q&gt;EMXC^P_PRICE(0)/P_PRICE_LOW_PR(0,,,USD,,,"PRICE","INTRA","52W")-1&lt;/Q&gt;&lt;R&gt;1&lt;/R&gt;&lt;C&gt;1&lt;/C&gt;&lt;D xsi:type="xsd:double"&gt;0.24065733&lt;/D&gt;&lt;/FQL&gt;&lt;FQL&gt;&lt;Q&gt;EWQ^P_PRICE(0)/P_PRICE_LOW_PR(0,,,USD,,,"PRICE","INTRA","52W")-1&lt;/Q&gt;&lt;R&gt;1&lt;/R&gt;&lt;C&gt;1&lt;/C&gt;&lt;D xsi:type="xsd:double"&gt;0.14913845&lt;/D&gt;&lt;/FQL&gt;&lt;FQL&gt;&lt;Q&gt;EWD^FMA_COS_DOWN("EPS","1M",+1,0,,,"PORTAGG","MEANR")&lt;/Q&gt;&lt;R&gt;1&lt;/R&gt;&lt;C&gt;1&lt;/C&gt;&lt;D xsi:type="xsd:double"&gt;25&lt;/D&gt;&lt;/FQL&gt;&lt;FQL&gt;&lt;Q&gt;EWA^FMA_COS_DOWN("EPS","1M",+1,0,,,"PORTAGG","MEANR")&lt;/Q&gt;&lt;R&gt;1&lt;/R&gt;&lt;C&gt;1&lt;/C&gt;&lt;D xsi:type="xsd:double"&gt;32&lt;/D&gt;&lt;/FQL&gt;&lt;FQL&gt;&lt;Q&gt;EMXC^P_PRICE(-1AM)/P_PRICE_HIGH_PR(-1AM,,,,,,"PRICE","INTRA","52W")&lt;/Q&gt;&lt;R&gt;1&lt;/R&gt;&lt;C&gt;1&lt;/C&gt;&lt;D xsi:type="xsd:double"&gt;0.9888551&lt;/D&gt;&lt;/FQL&gt;&lt;FQL&gt;&lt;Q&gt;FXI^FG_PE_NTM(0,,,90,0)&lt;/Q&gt;&lt;R&gt;1&lt;/R&gt;&lt;C&gt;1&lt;/C&gt;&lt;D xsi:type="xsd:double"&gt;7.32325773033222&lt;/D&gt;&lt;/FQL&gt;&lt;FQL&gt;&lt;Q&gt;QQQ^FMA_EPS(NTMA,-20AY,0,CY,,"PORTAGG","MEANR")&lt;/Q&gt;&lt;R&gt;20&lt;/R&gt;&lt;C&gt;1&lt;/C&gt;&lt;D xsi:type="xsd:double"&gt;1.41943121352323&lt;/D&gt;&lt;D xsi:type="xsd:double"&gt;1.68578719870209&lt;/D&gt;&lt;D xsi:type="xsd:double"&gt;1.94027371724036&lt;/D&gt;&lt;D xsi:type="xsd:double"&gt;2.37669563100619&lt;/D&gt;&lt;D xsi:type="xsd:double"&gt;2.17042637250219&lt;/D&gt;&lt;D xsi:type="xsd:double"&gt;2.60687130060486&lt;/D&gt;&lt;D xsi:type="xsd:double"&gt;3.60763505413585&lt;/D&gt;&lt;D xsi:type="xsd:double"&gt;4.63179037237028&lt;/D&gt;&lt;D xsi:type="xsd:double"&gt;4.97239360017991&lt;/D&gt;&lt;D xsi:type="xsd:double"&gt;5.01453468918522&lt;/D&gt;&lt;D xsi:type="xsd:double"&gt;5.91894771391699&lt;/D&gt;&lt;D xsi:type="xsd:double"&gt;6.05997516056538&lt;/D&gt;&lt;D xsi:type="xsd:double"&gt;6.56529580140728&lt;/D&gt;&lt;D xsi:type="xsd:double"&gt;7.49098519655955&lt;/D&gt;&lt;D xsi:type="xsd:double"&gt;8.94438586016391&lt;/D&gt;&lt;D xsi:type="xsd:double"&gt;9.35231847826133&lt;/D&gt;&lt;D xsi:type="xsd:double"&gt;10.4260782968222&lt;/D&gt;&lt;D xsi:type="xsd:double"&gt;13.6402697448185&lt;/D&gt;&lt;D xsi:type="xsd:double"&gt;12.7503134402041&lt;/D&gt;&lt;D xsi:type="xsd:double"&gt;16.3243000822322&lt;/D&gt;&lt;/FQL&gt;&lt;FQL&gt;&lt;Q&gt;EWC^FG_TOTAL_RETURNC(0,-3AM)&lt;/Q&gt;&lt;R&gt;1&lt;/R&gt;&lt;C&gt;1&lt;/C&gt;&lt;D xsi:type="xsd:double"&gt;2.824676&lt;/D&gt;&lt;/FQL&gt;&lt;FQL&gt;&lt;Q&gt;EWI^FMA_PCT_ABOVE_MAVG(200,0,,,,"PORTAGG")&lt;/Q&gt;&lt;R&gt;1&lt;/R&gt;&lt;C&gt;1&lt;/C&gt;&lt;D xsi:type="xsd:double"&gt;56&lt;/D&gt;&lt;/FQL&gt;&lt;FQL&gt;&lt;Q&gt;ENZL^FMA_COS_DOWN("EPS","1M",+1,0,,,"PORTAGG","MEANR")&lt;/Q&gt;&lt;R&gt;1&lt;/R&gt;&lt;C&gt;1&lt;/C&gt;&lt;D xsi:type="xsd:double"&gt;4&lt;/D&gt;&lt;/FQL&gt;&lt;FQL&gt;&lt;Q&gt;UUP^FG_TOTAL_RETURNC(-1AM,-2AM)&lt;/Q&gt;&lt;R&gt;1&lt;/R&gt;&lt;C&gt;1&lt;/C&gt;&lt;D xsi:type="xsd:double"&gt;1.7794847&lt;/D&gt;&lt;/FQL&gt;&lt;FQL&gt;&lt;Q&gt;EWQ^P_PRICE(0)/P_PRICE_HIGH_PR(0,,,USD,,,"PRICE","INTRA","52W")&lt;/Q&gt;&lt;R&gt;1&lt;/R&gt;&lt;C&gt;1&lt;/C&gt;&lt;D xsi:type="xsd:double"&gt;0.9079813&lt;/D&gt;&lt;/FQL&gt;&lt;FQL&gt;&lt;Q&gt;FXI^SIZE(FG_CONSTITUENTS)&lt;/Q&gt;&lt;R&gt;1&lt;/R&gt;&lt;C&gt;1&lt;/C&gt;&lt;D xsi:type="xsd:long"&gt;52&lt;/D&gt;&lt;/FQL&gt;&lt;FQL&gt;&lt;Q&gt;EWD^FMA_COS_UP("EPS","1M",+1,0,,,"PORTAGG","MEANR")&lt;/Q&gt;&lt;R&gt;1&lt;/R&gt;&lt;C&gt;1&lt;/C&gt;&lt;D xsi:type="xsd:double"&gt;12&lt;/D&gt;&lt;/FQL&gt;&lt;FQL&gt;&lt;Q&gt;EMXC^FG_TOTAL_RETURNC(-1AM,-7AM)&lt;/Q&gt;&lt;R&gt;1&lt;/R&gt;&lt;C&gt;1&lt;/C&gt;&lt;D xsi:type="xsd:double"&gt;7.5233817&lt;/D&gt;&lt;/FQL&gt;&lt;FQL&gt;&lt;Q&gt;INDA^FMA_DIV_YLD(NTMA,NOW,NOW,M,"PORTAGG","MEANR")&lt;/Q&gt;&lt;R&gt;1&lt;/R&gt;&lt;C&gt;1&lt;/C&gt;&lt;D xsi:type="xsd:double"&gt;1.26937007162542&lt;/D&gt;&lt;/FQL&gt;&lt;FQL&gt;&lt;Q&gt;SPY^FMA_EPS(NTMA,-20AY,0,CY,,"PORTAGG","MEANR")&lt;/Q&gt;&lt;R&gt;20&lt;/R&gt;&lt;C&gt;1&lt;/C&gt;&lt;D xsi:type="xsd:double"&gt;7.60742439139767&lt;/D&gt;&lt;D xsi:type="xsd:double"&gt;8.83942892152885&lt;/D&gt;&lt;D xsi:type="xsd:double"&gt;9.84578104860351&lt;/D&gt;&lt;D xsi:type="xsd:double"&gt;10.5833561911057&lt;/D&gt;&lt;D xsi:type="xsd:double"&gt;8.05373941846298&lt;/D&gt;&lt;D xsi:type="xsd:double"&gt;8.02297532880562&lt;/D&gt;&lt;D xsi:type="xsd:double"&gt;9.85143912569227&lt;/D&gt;&lt;D xsi:type="xsd:double"&gt;10.9336154938693&lt;/D&gt;&lt;D xsi:type="xsd:double"&gt;11.5093609233453&lt;/D&gt;&lt;D xsi:type="xsd:double"&gt;12.2962726199201&lt;/D&gt;&lt;D xsi:type="xsd:double"&gt;12.8692035676989&lt;/D&gt;&lt;D xsi:type="xsd:double"&gt;12.7487032117915&lt;/D&gt;&lt;D xsi:type="xsd:double"&gt;13.3024280719142&lt;/D&gt;&lt;D xsi:type="xsd:double"&gt;14.7240376920018&lt;/D&gt;&lt;D xsi:type="xsd:double"&gt;17.3558464695548&lt;/D&gt;&lt;D xsi:type="xsd:double"&gt;17.7294354415451&lt;/D&gt;&lt;D xsi:type="xsd:double"&gt;16.6617703289926&lt;/D&gt;&lt;D xsi:type="xsd:double"&gt;22.2767073851686&lt;/D&gt;&lt;D xsi:type="xsd:double"&gt;22.9687104615331&lt;/D&gt;&lt;D xsi:type="xsd:double"&gt;24.3449867619937&lt;/D&gt;&lt;/FQL&gt;&lt;FQL&gt;&lt;Q&gt;FXI^PERCENT_CHANGE(FMA_EPS(+1,0,,,,"PORTAGG","MEAN"),FMA_EPS(+1,-3AM,,,,"PORTAGG","MEAN"))&lt;/Q&gt;&lt;R&gt;1&lt;/R&gt;&lt;C&gt;1&lt;/C&gt;&lt;D xsi:type="xsd:double"&gt;3.74787077364792&lt;/D&gt;&lt;/FQL&gt;&lt;FQL&gt;&lt;Q&gt;EWN^PERCENT_CHANGE(FMA_EPS(+1,0,,,,"PORTAGG","MEAN"),FMA_EPS(+1,-1AM,,,,"PORTAGG","MEAN"))&lt;/Q&gt;&lt;R&gt;1&lt;/R&gt;&lt;C&gt;1&lt;/C&gt;&lt;D xsi:type="xsd:double"&gt;-0.710738689340707&lt;/D&gt;&lt;/FQL&gt;&lt;FQL&gt;&lt;Q&gt;ENZL^FMA_COS_UP("EPS","1M",+1,0,,,"PORTAGG","MEANR")&lt;/Q&gt;&lt;R&gt;1&lt;/R&gt;&lt;C&gt;1&lt;/C&gt;&lt;D xsi:type="xsd:double"&gt;3&lt;/D&gt;&lt;/FQL&gt;&lt;FQL&gt;&lt;Q&gt;GLD^FG_TOTAL_RETURNC(-1AM,-2AM)&lt;/Q&gt;&lt;R&gt;1&lt;/R&gt;&lt;C&gt;1&lt;/C&gt;&lt;D xsi:type="xsd:double"&gt;-1.5468657&lt;/D&gt;&lt;/FQL&gt;&lt;FQL&gt;&lt;Q&gt;SPY^FG_TOTAL_RETURNC(0,-1AM)&lt;/Q&gt;&lt;R&gt;1&lt;/R&gt;&lt;C&gt;1&lt;/C&gt;&lt;D xsi:type="xsd:double"&gt;-0.19614697&lt;/D&gt;&lt;/FQL&gt;&lt;FQL&gt;&lt;Q&gt;INDA^FG_TOTAL_RETURNC(0,-6AM)&lt;/Q&gt;&lt;R&gt;1&lt;/R&gt;&lt;C&gt;1&lt;/C&gt;&lt;D xsi:type="xsd:double"&gt;15.511286&lt;/D&gt;&lt;/FQL&gt;&lt;FQL&gt;&lt;Q&gt;SPY^P_PRICE(0)/P_PRICE_LOW_PR(0,,,USD,,,"PRICE","INTRA","52W")-1&lt;/Q&gt;&lt;R&gt;1&lt;/R&gt;&lt;C&gt;1&lt;/C&gt;&lt;D xsi:type="xsd:double"&gt;0.33046603&lt;/D&gt;&lt;/FQL&gt;&lt;FQL&gt;&lt;Q&gt;FXI^FMA_COS_DOWN("EPS","1M",+1,0,,,"PORTAGG","MEANR")&lt;/Q&gt;&lt;R&gt;1&lt;/R&gt;&lt;C&gt;1&lt;/C&gt;&lt;D xsi:type="xsd:double"&gt;22&lt;/D&gt;&lt;/FQL&gt;&lt;FQL&gt;&lt;Q&gt;EWN^SIZE(FG_CONSTITUENTS)&lt;/Q&gt;&lt;R&gt;1&lt;/R&gt;&lt;C&gt;1&lt;/C&gt;&lt;D xsi:type="xsd:long"&gt;53&lt;/D&gt;&lt;/FQL&gt;&lt;FQL&gt;&lt;Q&gt;EWD^FG_COMPANY_NAME&lt;/Q&gt;&lt;R&gt;1&lt;/R&gt;&lt;C&gt;1&lt;/C&gt;&lt;D xsi:type="xsd:string"&gt;iShares MSCI Sweden ETF&lt;/D&gt;&lt;/FQL&gt;&lt;FQL&gt;&lt;Q&gt;EMXC^FG_TOTAL_RETURNC(-1AM,-4AM)&lt;/Q&gt;&lt;R&gt;1&lt;/R&gt;&lt;C&gt;1&lt;/C&gt;&lt;D xsi:type="xsd:double"&gt;3.2021642&lt;/D&gt;&lt;/FQL&gt;&lt;FQL&gt;&lt;Q&gt;VGK^FG_TOTAL_RETURNC(0,-1AM)&lt;/Q&gt;&lt;R&gt;1&lt;/R&gt;&lt;C&gt;1&lt;/C&gt;&lt;D xsi:type="xsd:double"&gt;1.7779827&lt;/D&gt;&lt;/FQL&gt;&lt;FQL&gt;&lt;Q&gt;INDA^FG_PE_NTM(0,,,90,0)&lt;/Q&gt;&lt;R&gt;1&lt;/R&gt;&lt;C&gt;1&lt;/C&gt;&lt;D xsi:type="xsd:double"&gt;23.950291447862&lt;/D&gt;&lt;/FQL&gt;&lt;FQL&gt;&lt;Q&gt;SPY^JULIAN(FMA_EPS(NTMA,-20AY,0,CY,,"PORTAGG","MEANR").DATES)&lt;/Q&gt;&lt;R&gt;20&lt;/R&gt;&lt;C&gt;1&lt;/C&gt;&lt;D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xsi:type="xsd:long"&gt;45289&lt;/D&gt;&lt;/FQL&gt;&lt;FQL&gt;&lt;Q&gt;BIGPX^FG_TOTAL_RETURNC(-1AM,-7AM)&lt;/Q&gt;&lt;R&gt;1&lt;/R&gt;&lt;C&gt;1&lt;/C&gt;&lt;D xsi:type="xsd:double"&gt;8.196724&lt;/D&gt;&lt;/FQL&gt;&lt;FQL&gt;&lt;Q&gt;BTC00-USA^P_FUT_TOTAL_RETURN(0,-3AM,,'')&lt;/Q&gt;&lt;R&gt;1&lt;/R&gt;&lt;C&gt;1&lt;/C&gt;&lt;D xsi:type="xsd:double"&gt;6.41796111365791&lt;/D&gt;&lt;/FQL&gt;&lt;FQL&gt;&lt;Q&gt;EWG^P_PRICE(0)/P_PRICE_LOW_PR(0,,,USD,,,"PRICE","INTRA","52W")-1&lt;/Q&gt;&lt;R&gt;1&lt;/R&gt;&lt;C&gt;1&lt;/C&gt;&lt;D xsi:type="xsd:double"&gt;0.26735473&lt;/D&gt;&lt;/FQL&gt;&lt;FQL&gt;&lt;Q&gt;EWG^PERCENT_CHANGE(FMA_EPS(+1,0,,,,"PORTAGG","MEAN"),FMA_EPS(+1,-3AM,,,,"PORTAGG","MEAN"))&lt;/Q&gt;&lt;R&gt;1&lt;/R&gt;&lt;C&gt;1&lt;/C&gt;&lt;D xsi:type="xsd:double"&gt;-0.240318164429368&lt;/D&gt;&lt;/FQL&gt;&lt;FQL&gt;&lt;Q&gt;QQQ^FG_TOTAL_RETURNC(-1AM,-7AM)&lt;/Q&gt;&lt;R&gt;1&lt;/R&gt;&lt;C&gt;1&lt;/C&gt;&lt;D xsi:type="xsd:double"&gt;17.315329&lt;/D&gt;&lt;/FQL&gt;&lt;FQL&gt;&lt;Q&gt;VWO^FMA_COS_UP("EPS","1M",+1,0,,,"PORTAGG","MEANR")&lt;/Q&gt;&lt;R&gt;1&lt;/R&gt;&lt;C&gt;1&lt;/C&gt;&lt;D xsi:type="xsd:double"&gt;820&lt;/D&gt;&lt;/FQL&gt;&lt;FQL&gt;&lt;Q&gt;BIGPX^FG_TOTAL_RETURNC(-1AM,-4AM)&lt;/Q&gt;&lt;R&gt;1&lt;/R&gt;&lt;C&gt;1&lt;/C&gt;&lt;D xsi:type="xsd:double"&gt;3.125&lt;/D&gt;&lt;/FQL&gt;&lt;FQL&gt;&lt;Q&gt;BTC00-USA^P_FUT_TOTAL_RETURN(0,-1AM,,'')&lt;/Q&gt;&lt;R&gt;1&lt;/R&gt;&lt;C&gt;1&lt;/C&gt;&lt;D xsi:type="xsd:double"&gt;12.9516310584141&lt;/D&gt;&lt;/FQL&gt;&lt;FQL&gt;&lt;Q&gt;UUP^FG_TOTAL_RETURNC(0,-6AM)&lt;/Q&gt;&lt;R&gt;1&lt;/R&gt;&lt;C&gt;1&lt;/C&gt;&lt;D xsi:type="xsd:double"&gt;3.7436962&lt;/D&gt;&lt;/FQL&gt;&lt;FQL&gt;&lt;Q&gt;TRYCN10Y-FDS^FG_YIELD(0,,,,"YTM")&lt;/Q&gt;&lt;R&gt;1&lt;/R&gt;&lt;C&gt;1&lt;/C&gt;&lt;D xsi:type="xsd:double"&gt;2.197&lt;/D&gt;&lt;/FQL&gt;&lt;FQL&gt;&lt;Q&gt;INDA^FG_COMPANY_NAME&lt;/Q&gt;&lt;R&gt;1&lt;/R&gt;&lt;C&gt;1&lt;/C&gt;&lt;D xsi:type="xsd:string"&gt;iShares MSCI India ETF&lt;/D&gt;&lt;/FQL&gt;&lt;FQL&gt;&lt;Q&gt;EWN^FG_COMPANY_NAME&lt;/Q&gt;&lt;R&gt;1&lt;/R&gt;&lt;C&gt;1&lt;/C&gt;&lt;D xsi:type="xsd:string"&gt;iShares MSCI Netherlands ETF&lt;/D&gt;&lt;/FQL&gt;&lt;FQL&gt;&lt;Q&gt;BIGPX^FG_PRICE(0,-200D)&lt;/Q&gt;&lt;R&gt;201&lt;/R&gt;&lt;C&gt;1&lt;/C&gt;&lt;D xsi:type="xsd:double"&gt;15.8&lt;/D&gt;&lt;D xsi:type="xsd:double"&gt;15.66&lt;/D&gt;&lt;D xsi:type="xsd:double"&gt;15.72&lt;/D&gt;&lt;D xsi:type="xsd:double"&gt;15.98&lt;/D&gt;&lt;D xsi:type="xsd:double"&gt;16.01&lt;/D&gt;&lt;D xsi:type="xsd:double"&gt;15.89&lt;/D&gt;&lt;D xsi:type="xsd:double"&gt;15.97&lt;/D&gt;&lt;D xsi:type="xsd:double"&gt;16.07&lt;/D&gt;&lt;D xsi:type="xsd:double"&gt;16.27&lt;/D&gt;&lt;D xsi:type="xsd:double"&gt;16.19&lt;/D&gt;&lt;D xsi:type="xsd:double"&gt;16.21&lt;/D&gt;&lt;D xsi:type="xsd:double"&gt;16.12&lt;/D&gt;&lt;D xsi:type="xsd:double"&gt;16.18&lt;/D&gt;&lt;D xsi:type="xsd:double"&gt;16.06&lt;/D&gt;&lt;D xsi:type="xsd:double"&gt;16.07&lt;/D&gt;&lt;D xsi:type="xsd:double"&gt;15.78&lt;/D&gt;&lt;D xsi:type="xsd:double"&gt;15.86&lt;/D&gt;&lt;D xsi:type="xsd:double"&gt;15.78&lt;/D&gt;&lt;D xsi:type="xsd:double"&gt;15.78&lt;/D&gt;&lt;D xsi:type="xsd:double"&gt;15.8&lt;/D&gt;&lt;D xsi:type="xsd:double"&gt;15.87&lt;/D&gt;&lt;D xsi:type="xsd:double"&gt;15.84&lt;/D&gt;&lt;D xsi:type="xsd:double"&gt;15.88&lt;/D&gt;&lt;D xsi:type="xsd:double"&gt;15.82&lt;/D&gt;&lt;D xsi:type="xsd:double"&gt;15.85&lt;/D&gt;&lt;D xsi:type="xsd:double"&gt;15.88&lt;/D&gt;&lt;D xsi:type="xsd:double"&gt;15.93&lt;/D&gt;&lt;D xsi:type="xsd:double"&gt;15.87&lt;/D&gt;&lt;D xsi:type="xsd:double"&gt;15.81&lt;/D&gt;&lt;D xsi:type="xsd:double"&gt;15.81&lt;/D&gt;&lt;D xsi:type="xsd:double"&gt;15.78&lt;/D&gt;&lt;D xsi:type="xsd:double"&gt;15.65&lt;/D&gt;&lt;D xsi:type="xsd:double"&gt;15.59&lt;/D&gt;&lt;D xsi:type="xsd:double"&gt;15.59&lt;/D&gt;&lt;D xsi:type="xsd:double"&gt;15.67&lt;/D&gt;&lt;D xsi:type="xsd:double"&gt;15.67&lt;/D&gt;&lt;D xsi:type="xsd:double"&gt;15.53&lt;/D&gt;&lt;D xsi:type="xsd:double"&gt;15.51&lt;/D&gt;&lt;D xsi:type="xsd:double"&gt;15.47&lt;/D&gt;&lt;D xsi:type="xsd:double"&gt;15.37&lt;/D&gt;&lt;D xsi:type="xsd:double"&gt;15.4&lt;/D&gt;&lt;D xsi:type="xsd:double"&gt;15.52&lt;/D&gt;&lt;D xsi:type="xsd:double"&gt;15.53&lt;/D&gt;&lt;D xsi:type="xsd:double"&gt;15.45&lt;/D&gt;&lt;D xsi:type="xsd:double"&gt;15.52&lt;/D&gt;&lt;D xsi:type="xsd:double"&gt;15.57&lt;/D&gt;&lt;D xsi:type="xsd:double"&gt;15.55&lt;/D&gt;&lt;D xsi:type="xsd:double"&gt;15.53&lt;/D&gt;&lt;D xsi:type="xsd:double"&gt;15.53&lt;/D&gt;&lt;D xsi:type="xsd:double"&gt;15.57&lt;/D&gt;&lt;D xsi:type="xsd:double"&gt;15.4&lt;/D&gt;&lt;D xsi:type="xsd:double"&gt;15.34&lt;/D&gt;&lt;D xsi:type="xsd:double"&gt;15.33&lt;/D&gt;&lt;D xsi:type="xsd:double"&gt;15.33&lt;/D&gt;&lt;D xsi:type="xsd:double"&gt;15.27&lt;/D&gt;&lt;D xsi:type="xsd:double"&gt;15.28&lt;/D&gt;&lt;D xsi:type="xsd:double"&gt;15.26&lt;/D&gt;&lt;D xsi:type="xsd:double"&gt;15.15&lt;/D&gt;&lt;D xsi:type="xsd:double"&gt;15.01&lt;/D&gt;&lt;D xsi:type="xsd:double"&gt;14.89&lt;/D&gt;&lt;D xsi:type="xsd:double"&gt;14.91&lt;/D&gt;&lt;D xsi:type="xsd:double"&gt;15.08&lt;/D&gt;&lt;D xsi:type="xsd:double"&gt;15.03&lt;/D&gt;&lt;D xsi:type="xsd:double"&gt;14.92&lt;/D&gt;&lt;D xsi:type="xsd:double"&gt;14.98&lt;/D&gt;&lt;D xsi:type="xsd:double"&gt;15&lt;/D&gt;&lt;D xsi:type="xsd:double"&gt;14.88&lt;/D&gt;&lt;D xsi:type="xsd:double"&gt;14.79&lt;/D&gt;&lt;D xsi:type="xsd:double"&gt;14.86&lt;/D&gt;&lt;D xsi:type="xsd:double"&gt;14.9&lt;/D&gt;&lt;D xsi:type="xsd:double"&gt;14.93&lt;/D&gt;&lt;D xsi:type="xsd:double"&gt;14.98&lt;/D&gt;&lt;D xsi:type="xsd:double"&gt;15.12&lt;/D&gt;&lt;D xsi:type="xsd:double"&gt;15.25&lt;/D&gt;&lt;D xsi:type="xsd:double"&gt;15.19&lt;/D&gt;&lt;D xsi:type="xsd:double"&gt;15.35&lt;/D&gt;&lt;D xsi:type="xsd:double"&gt;15.32&lt;/D&gt;&lt;D xsi:type="xsd:double"&gt;15.32&lt;/D&gt;&lt;D xsi:type="xsd:double"&gt;15.25&lt;/D&gt;&lt;D xsi:type="xsd:double"&gt;15.35&lt;/D&gt;&lt;D xsi:type="xsd:double"&gt;15.32&lt;/D&gt;&lt;D xsi:type="xsd:double"&gt;15.38&lt;/D&gt;&lt;D xsi:type="xsd:double"&gt;15.44&lt;/D&gt;&lt;D xsi:type="xsd:double"&gt;15.44&lt;/D&gt;&lt;D xsi:type="xsd:double"&gt;15.36&lt;/D&gt;&lt;D xsi:type="xsd:double"&gt;15.4&lt;/D&gt;&lt;D xsi:type="xsd:double"&gt;15.4&lt;/D&gt;&lt;D xsi:type="xsd:double"&gt;15.4&lt;/D&gt;&lt;D xsi:type="xsd:double"&gt;15.37&lt;/D&gt;&lt;D xsi:type="xsd:double"&gt;15.27&lt;/D&gt;&lt;D xsi:type="xsd:double"&gt;15.21&lt;/D&gt;&lt;D xsi:type="xsd:double"&gt;15.16&lt;/D&gt;&lt;D xsi:type="xsd:double"&gt;15.24&lt;/D&gt;&lt;D xsi:type="xsd:double"&gt;15.31&lt;/D&gt;&lt;D xsi:type="xsd:double"&gt;15.33&lt;/D&gt;&lt;D xsi:type="xsd:double"&gt;15.27&lt;/D&gt;&lt;D xsi:type="xsd:double"&gt;15.27&lt;/D&gt;&lt;D xsi:type="xsd:double"&gt;15.31&lt;/D&gt;&lt;D xsi:type="xsd:double"&gt;15.21&lt;/D&gt;&lt;D xsi:type="xsd:double"&gt;15.12&lt;/D&gt;&lt;D xsi:type="xsd:double"&gt;15.18&lt;/D&gt;&lt;D xsi:type="xsd:double"&gt;15.2&lt;/D&gt;&lt;D xsi:type="xsd:double"&gt;15.09&lt;/D&gt;&lt;D xsi:type="xsd:double"&gt;15.04&lt;/D&gt;&lt;D xsi:type="xsd:double"&gt;15.05&lt;/D&gt;&lt;D xsi:type="xsd:double"&gt;15.04&lt;/D&gt;&lt;D xsi:type="xsd:double"&gt;15.09&lt;/D&gt;&lt;D xsi:type="xsd:double"&gt;15.05&lt;/D&gt;&lt;D xsi:type="xsd:double"&gt;14.88&lt;/D&gt;&lt;D xsi:type="xsd:double"&gt;14.88&lt;/D&gt;&lt;D xsi:type="xsd:double"&gt;14.91&lt;/D&gt;&lt;D xsi:type="xsd:double"&gt;14.97&lt;/D&gt;&lt;D xsi:type="xsd:double"&gt;14.88&lt;/D&gt;&lt;D xsi:type="xsd:double"&gt;14.78&lt;/D&gt;&lt;D xsi:type="xsd:double"&gt;14.96&lt;/D&gt;&lt;D xsi:type="xsd:double"&gt;14.96&lt;/D&gt;&lt;D xsi:type="xsd:double"&gt;14.91&lt;/D&gt;&lt;D xsi:type="xsd:double"&gt;14.92&lt;/D&gt;&lt;D xsi:type="xsd:double"&gt;14.88&lt;/D&gt;&lt;D xsi:type="xsd:double"&gt;14.81&lt;/D&gt;&lt;D xsi:type="xsd:double"&gt;14.89&lt;/D&gt;&lt;D xsi:type="xsd:double"&gt;14.75&lt;/D&gt;&lt;D xsi:type="xsd:double"&gt;14.75&lt;/D&gt;&lt;D xsi:type="xsd:double"&gt;14.84&lt;/D&gt;&lt;D xsi:type="xsd:double"&gt;14.84&lt;/D&gt;&lt;D xsi:type="xsd:double"&gt;14.76&lt;/D&gt;&lt;D xsi:type="xsd:double"&gt;14.76&lt;/D&gt;&lt;D xsi:type="xsd:double"&gt;14.69&lt;/D&gt;&lt;D xsi:type="xsd:double"&gt;14.67&lt;/D&gt;&lt;D xsi:type="xsd:double"&gt;14.67&lt;/D&gt;&lt;D xsi:type="xsd:double"&gt;14.65&lt;/D&gt;&lt;D xsi:type="xsd:double"&gt;14.54&lt;/D&gt;&lt;D xsi:type="xsd:double"&gt;14.46&lt;/D&gt;&lt;D xsi:type="xsd:double"&gt;14.54&lt;/D&gt;&lt;D xsi:type="xsd:double"&gt;14.64&lt;/D&gt;&lt;D xsi:type="xsd:double"&gt;14.61&lt;/D&gt;&lt;D xsi:type="xsd:double"&gt;14.59&lt;/D&gt;&lt;D xsi:type="xsd:double"&gt;14.54&lt;/D&gt;&lt;D xsi:type="xsd:double"&gt;14.58&lt;/D&gt;&lt;D xsi:type="xsd:double"&gt;14.44&lt;/D&gt;&lt;D xsi:type="xsd:double"&gt;14.44&lt;/D&gt;&lt;D xsi:type="xsd:double"&gt;14.49&lt;/D&gt;&lt;D xsi:type="xsd:double"&gt;14.55&lt;/D&gt;&lt;D xsi:type="xsd:double"&gt;14.65&lt;/D&gt;&lt;D xsi:type="xsd:double"&gt;14.68&lt;/D&gt;&lt;D xsi:type="xsd:double"&gt;14.7&lt;/D&gt;&lt;D xsi:type="xsd:double"&gt;14.64&lt;/D&gt;&lt;D xsi:type="xsd:double"&gt;15.02&lt;/D&gt;&lt;D xsi:type="xsd:double"&gt;15.02&lt;/D&gt;&lt;D xsi:type="xsd:double"&gt;14.92&lt;/D&gt;&lt;D xsi:type="xsd:double"&gt;15.03&lt;/D&gt;&lt;D xsi:type="xsd:double"&gt;14.96&lt;/D&gt;&lt;D xsi:type="xsd:double"&gt;14.92&lt;/D&gt;&lt;D xsi:type="xsd:double"&gt;14.96&lt;/D&gt;&lt;D xsi:type="xsd:double"&gt;14.87&lt;/D&gt;&lt;D xsi:type="xsd:double"&gt;14.68&lt;/D&gt;&lt;D xsi:type="xsd:double"&gt;14.63&lt;/D&gt;&lt;D xsi:type="xsd:double"&gt;14.6&lt;/D&gt;&lt;D xsi:type="xsd:double"&gt;14.59&lt;/D&gt;&lt;D xsi:type="xsd:double"&gt;14.52&lt;/D&gt;&lt;D xsi:type="xsd:double"&gt;14.53&lt;/D&gt;&lt;D xsi:type="xsd:double"&gt;14.5&lt;/D&gt;&lt;D xsi:type="xsd:double"&gt;14.57&lt;/D&gt;&lt;D xsi:type="xsd:double"&gt;14.47&lt;/D&gt;&lt;D xsi:type="xsd:double"&gt;14.46&lt;/D&gt;&lt;D xsi:type="xsd:double"&gt;14.44&lt;/D&gt;&lt;D xsi:type="xsd:double"&gt;14.41&lt;/D&gt;&lt;D xsi:type="xsd:double"&gt;14.4&lt;/D&gt;&lt;D xsi:type="xsd:double"&gt;14.4&lt;/D&gt;&lt;D xsi:type="xsd:double"&gt;14.37&lt;/D&gt;&lt;D xsi:type="xsd:double"&gt;14.39&lt;/D&gt;&lt;D xsi:type="xsd:double"&gt;14.31&lt;/D&gt;&lt;D xsi:type="xsd:double"&gt;14.27&lt;/D&gt;&lt;D xsi:type="xsd:double"&gt;14.24&lt;/D&gt;&lt;D xsi:type="xsd:double"&gt;14.26&lt;/D&gt;&lt;D xsi:type="xsd:double"&gt;14.02&lt;/D&gt;&lt;D xsi:type="xsd:double"&gt;14.02&lt;/D&gt;&lt;D xsi:type="xsd:double"&gt;13.89&lt;/D&gt;&lt;D xsi:type="xsd:double"&gt;13.99&lt;/D&gt;&lt;D xsi:type="xsd:double"&gt;13.97&lt;/D&gt;&lt;D xsi:type="xsd:double"&gt;13.93&lt;/D&gt;&lt;D xsi:type="xsd:double"&gt;13.94&lt;/D&gt;&lt;D xsi:type="xsd:double"&gt;13.82&lt;/D&gt;&lt;D xsi:type="xsd:double"&gt;13.63&lt;/D&gt;&lt;D xsi:type="xsd:double"&gt;13.48&lt;/D&gt;&lt;D xsi:type="xsd:double"&gt;13.45&lt;/D&gt;&lt;D xsi:type="xsd:double"&gt;13.37&lt;/D&gt;&lt;D xsi:type="xsd:double"&gt;13.4&lt;/D&gt;&lt;D xsi:type="xsd:double"&gt;13.46&lt;/D&gt;&lt;D xsi:type="xsd:double"&gt;13.61&lt;/D&gt;&lt;D xsi:type="xsd:double"&gt;13.53&lt;/D&gt;&lt;D xsi:type="xsd:double"&gt;13.52&lt;/D&gt;&lt;D xsi:type="xsd:double"&gt;13.6&lt;/D&gt;&lt;D xsi:type="xsd:double"&gt;13.71&lt;/D&gt;&lt;D xsi:type="xsd:double"&gt;13.85&lt;/D&gt;&lt;D xsi:type="xsd:double"&gt;13.83&lt;/D&gt;&lt;D xsi:type="xsd:double"&gt;13.83&lt;/D&gt;&lt;D xsi:type="xsd:double"&gt;13.86&lt;/D&gt;&lt;D xsi:type="xsd:double"&gt;13.96&lt;/D&gt;&lt;D xsi:type="xsd:double"&gt;13.88&lt;/D&gt;&lt;D xsi:type="xsd:double"&gt;13.8&lt;/D&gt;&lt;/FQL&gt;&lt;FQL&gt;&lt;Q&gt;EWU^PERCENT_CHANGE(FMA_EPS(+1,0,,,,"PORTAGG","MEAN"),FMA_EPS(+1,-1AM,,,,"PORT</t>
        </r>
      </text>
    </comment>
    <comment ref="A5" authorId="0" shapeId="0" xr:uid="{5B4D4E0D-4CC7-4261-9D67-4890822666CE}">
      <text>
        <r>
          <rPr>
            <b/>
            <sz val="9"/>
            <color indexed="81"/>
            <rFont val="Tahoma"/>
            <charset val="1"/>
          </rPr>
          <t>AGG","MEAN"))&lt;/Q&gt;&lt;R&gt;1&lt;/R&gt;&lt;C&gt;1&lt;/C&gt;&lt;D xsi:type="xsd:double"&gt;-0.871649960847914&lt;/D&gt;&lt;/FQL&gt;&lt;FQL&gt;&lt;Q&gt;BIGPX^FG_TOTAL_RETURNC(0,-6AM)&lt;/Q&gt;&lt;R&gt;1&lt;/R&gt;&lt;C&gt;1&lt;/C&gt;&lt;D xsi:type="xsd:double"&gt;7.0460677&lt;/D&gt;&lt;/FQL&gt;&lt;FQL&gt;&lt;Q&gt;DBC^FG_COMPANY_NAME&lt;/Q&gt;&lt;R&gt;1&lt;/R&gt;&lt;C&gt;1&lt;/C&gt;&lt;D xsi:type="xsd:string"&gt;Invesco DB Commodity Index Tracking Fund&lt;/D&gt;&lt;/FQL&gt;&lt;FQL&gt;&lt;Q&gt;EWU^P_PRICE(0)/P_PRICE_HIGH_PR(0,,,USD,,,"PRICE","INTRA","52W")&lt;/Q&gt;&lt;R&gt;1&lt;/R&gt;&lt;C&gt;1&lt;/C&gt;&lt;D xsi:type="xsd:double"&gt;0.9797362&lt;/D&gt;&lt;/FQL&gt;&lt;FQL&gt;&lt;Q&gt;BTC00-USA^FG_PRICE(0,-200D)&lt;/Q&gt;&lt;R&gt;201&lt;/R&gt;&lt;C&gt;1&lt;/C&gt;&lt;D xsi:type="xsd:double"&gt;68775&lt;/D&gt;&lt;D xsi:type="xsd:double"&gt;64695&lt;/D&gt;&lt;D xsi:type="xsd:double"&gt;65700&lt;/D&gt;&lt;D xsi:type="xsd:double"&gt;65565&lt;/D&gt;&lt;D xsi:type="xsd:double"&gt;68340&lt;/D&gt;&lt;D xsi:type="xsd:double"&gt;67480&lt;/D&gt;&lt;D xsi:type="xsd:double"&gt;63650&lt;/D&gt;&lt;D xsi:type="xsd:double"&gt;64730&lt;/D&gt;&lt;D xsi:type="xsd:double"&gt;65450&lt;/D&gt;&lt;D xsi:type="xsd:double"&gt;63700&lt;/D&gt;&lt;D xsi:type="xsd:double"&gt;57845&lt;/D&gt;&lt;D xsi:type="xsd:double"&gt;57580&lt;/D&gt;&lt;D xsi:type="xsd:double"&gt;57625&lt;/D&gt;&lt;D xsi:type="xsd:double"&gt;58160&lt;/D&gt;&lt;D xsi:type="xsd:double"&gt;56755&lt;/D&gt;&lt;D xsi:type="xsd:double"&gt;56685&lt;/D&gt;&lt;D xsi:type="xsd:double"&gt;59825&lt;/D&gt;&lt;D xsi:type="xsd:double"&gt;62185&lt;/D&gt;&lt;D xsi:type="xsd:double"&gt;63695&lt;/D&gt;&lt;D xsi:type="xsd:double"&gt;61024.23&lt;/D&gt;&lt;D xsi:type="xsd:double"&gt;61365&lt;/D&gt;&lt;D xsi:type="xsd:double"&gt;60940&lt;/D&gt;&lt;D xsi:type="xsd:double"&gt;62055&lt;/D&gt;&lt;D xsi:type="xsd:double"&gt;59145&lt;/D&gt;&lt;D xsi:type="xsd:double"&gt;64260&lt;/D&gt;&lt;D xsi:type="xsd:double"&gt;65100&lt;/D&gt;&lt;D xsi:type="xsd:double"&gt;64475&lt;/D&gt;&lt;D xsi:type="xsd:double"&gt;66865&lt;/D&gt;&lt;D xsi:type="xsd:double"&gt;65640&lt;/D&gt;&lt;D xsi:type="xsd:double"&gt;66860&lt;/D&gt;&lt;D xsi:type="xsd:double"&gt;67875&lt;/D&gt;&lt;D xsi:type="xsd:double"&gt;67735&lt;/D&gt;&lt;D xsi:type="xsd:double"&gt;69875&lt;/D&gt;&lt;D xsi:type="xsd:double"&gt;69755&lt;/D&gt;&lt;D xsi:type="xsd:double"&gt;70960&lt;/D&gt;&lt;D xsi:type="xsd:double"&gt;71890&lt;/D&gt;&lt;D xsi:type="xsd:double"&gt;71085&lt;/D&gt;&lt;D xsi:type="xsd:double"&gt;69660&lt;/D&gt;&lt;D xsi:type="xsd:double"&gt;67633.73&lt;/D&gt;&lt;D xsi:type="xsd:double"&gt;68675&lt;/D&gt;&lt;D xsi:type="xsd:double"&gt;67185&lt;/D&gt;&lt;D xsi:type="xsd:double"&gt;68455&lt;/D&gt;&lt;D xsi:type="xsd:double"&gt;69475&lt;/D&gt;&lt;D xsi:type="xsd:double"&gt;67205&lt;/D&gt;&lt;D xsi:type="xsd:double"&gt;69815&lt;/D&gt;&lt;D xsi:type="xsd:double"&gt;69500&lt;/D&gt;&lt;D xsi:type="xsd:double"&gt;70435&lt;/D&gt;&lt;D xsi:type="xsd:double"&gt;67365&lt;/D&gt;&lt;D xsi:type="xsd:double"&gt;65445&lt;/D&gt;&lt;D xsi:type="xsd:double"&gt;66495&lt;/D&gt;&lt;D xsi:type="xsd:double"&gt;61835&lt;/D&gt;&lt;D xsi:type="xsd:double"&gt;63480&lt;/D&gt;&lt;D xsi:type="xsd:double"&gt;60950&lt;/D&gt;&lt;D xsi:type="xsd:double"&gt;62840&lt;/D&gt;&lt;D xsi:type="xsd:double"&gt;62460&lt;/D&gt;&lt;D xsi:type="xsd:double"&gt;63365&lt;/D&gt;&lt;D xsi:type="xsd:double"&gt;63585&lt;/D&gt;&lt;D xsi:type="xsd:double"&gt;62590&lt;/D&gt;&lt;D xsi:type="xsd:double"&gt;59765&lt;/D&gt;&lt;D xsi:type="xsd:double"&gt;57355&lt;/D&gt;&lt;D xsi:type="xsd:double"&gt;59400&lt;/D&gt;&lt;D xsi:type="xsd:double"&gt;63450&lt;/D&gt;&lt;D xsi:type="xsd:double"&gt;64302.05&lt;/D&gt;&lt;D xsi:type="xsd:double"&gt;64700&lt;/D&gt;&lt;D xsi:type="xsd:double"&gt;63880&lt;/D&gt;&lt;D xsi:type="xsd:double"&gt;66435&lt;/D&gt;&lt;D xsi:type="xsd:double"&gt;66610&lt;/D&gt;&lt;D xsi:type="xsd:double"&gt;64355&lt;/D&gt;&lt;D xsi:type="xsd:double"&gt;63660&lt;/D&gt;&lt;D xsi:type="xsd:double"&gt;61130&lt;/D&gt;&lt;D xsi:type="xsd:double"&gt;62920&lt;/D&gt;&lt;D xsi:type="xsd:double"&gt;63560&lt;/D&gt;&lt;D xsi:type="xsd:double"&gt;67170&lt;/D&gt;&lt;D xsi:type="xsd:double"&gt;70800&lt;/D&gt;&lt;D xsi:type="xsd:double"&gt;70410&lt;/D&gt;&lt;D xsi:type="xsd:double"&gt;69355&lt;/D&gt;&lt;D xsi:type="xsd:double"&gt;72110&lt;/D&gt;&lt;D xsi:type="xsd:double"&gt;67755&lt;/D&gt;&lt;D xsi:type="xsd:double"&gt;68840&lt;/D&gt;&lt;D xsi:type="xsd:double"&gt;66305&lt;/D&gt;&lt;D xsi:type="xsd:double"&gt;66550&lt;/D&gt;&lt;D xsi:type="xsd:double"&gt;70380&lt;/D&gt;&lt;D xsi:type="xsd:double"&gt;71530&lt;/D&gt;&lt;D xsi:type="xsd:double"&gt;68635&lt;/D&gt;&lt;D xsi:type="xsd:double"&gt;69440&lt;/D&gt;&lt;D xsi:type="xsd:double"&gt;71130&lt;/D&gt;&lt;D xsi:type="xsd:double"&gt;63975&lt;/D&gt;&lt;D xsi:type="xsd:double"&gt;65415&lt;/D&gt;&lt;D xsi:type="xsd:double"&gt;65990&lt;/D&gt;&lt;D xsi:type="xsd:double"&gt;64595&lt;/D&gt;&lt;D xsi:type="xsd:double"&gt;67180&lt;/D&gt;&lt;D xsi:type="xsd:double"&gt;69165&lt;/D&gt;&lt;D xsi:type="xsd:double"&gt;69600&lt;/D&gt;&lt;D xsi:type="xsd:double"&gt;73915&lt;/D&gt;&lt;D xsi:type="xsd:double"&gt;71800&lt;/D&gt;&lt;D xsi:type="xsd:double"&gt;72660&lt;/D&gt;&lt;D xsi:type="xsd:double"&gt;69805&lt;/D&gt;&lt;D xsi:type="xsd:double"&gt;68365&lt;/D&gt;&lt;D xsi:type="xsd:double"&gt;67760&lt;/D&gt;&lt;D xsi:type="xsd:double"&gt;62425&lt;/D&gt;&lt;D xsi:type="xsd:double"&gt;68480&lt;/D&gt;&lt;D xsi:type="xsd:double"&gt;63825&lt;/D&gt;&lt;D xsi:type="xsd:double"&gt;62760&lt;/D&gt;&lt;D xsi:type="xsd:double"&gt;60870&lt;/D&gt;&lt;D xsi:type="xsd:double"&gt;57620&lt;/D&gt;&lt;D xsi:type="xsd:double"&gt;55290&lt;/D&gt;&lt;D xsi:type="xsd:double"&gt;51750&lt;/D&gt;&lt;D xsi:type="xsd:double"&gt;52040&lt;/D&gt;&lt;D xsi:type="xsd:double"&gt;50955&lt;/D&gt;&lt;D xsi:type="xsd:double"&gt;52090&lt;/D&gt;&lt;D xsi:type="xsd:double"&gt;52025&lt;/D&gt;&lt;D xsi:type="xsd:double"&gt;51955&lt;/D&gt;&lt;D xsi:type="xsd:double"&gt;51990&lt;/D&gt;&lt;D xsi:type="xsd:double"&gt;49640&lt;/D&gt;&lt;D xsi:type="xsd:double"&gt;50465&lt;/D&gt;&lt;D xsi:type="xsd:double"&gt;47770&lt;/D&gt;&lt;D xsi:type="xsd:double"&gt;45750&lt;/D&gt;&lt;D xsi:type="xsd:double"&gt;44410&lt;/D&gt;&lt;D xsi:type="xsd:double"&gt;43305&lt;/D&gt;&lt;D xsi:type="xsd:double"&gt;42555&lt;/D&gt;&lt;D xsi:type="xsd:double"&gt;43185&lt;/D&gt;&lt;D xsi:type="xsd:double"&gt;43275&lt;/D&gt;&lt;D xsi:type="xsd:double"&gt;42815&lt;/D&gt;&lt;D xsi:type="xsd:double"&gt;43890&lt;/D&gt;&lt;D xsi:type="xsd:double"&gt;43530&lt;/D&gt;&lt;D xsi:type="xsd:double"&gt;42390&lt;/D&gt;&lt;D xsi:type="xsd:double"&gt;39750&lt;/D&gt;&lt;D xsi:type="xsd:double"&gt;39700&lt;/D&gt;&lt;D xsi:type="xsd:double"&gt;39235&lt;/D&gt;&lt;D xsi:type="xsd:double"&gt;40180&lt;/D&gt;&lt;D xsi:type="xsd:double"&gt;41585&lt;/D&gt;&lt;D xsi:type="xsd:double"&gt;40880&lt;/D&gt;&lt;D xsi:type="xsd:double"&gt;42810&lt;/D&gt;&lt;D xsi:type="xsd:double"&gt;43295&lt;/D&gt;&lt;D xsi:type="xsd:double"&gt;43690&lt;/D&gt;&lt;D xsi:type="xsd:double"&gt;46350&lt;/D&gt;&lt;D xsi:type="xsd:double"&gt;46325&lt;/D&gt;&lt;D xsi:type="xsd:double"&gt;47045&lt;/D&gt;&lt;D xsi:type="xsd:double"&gt;47305&lt;/D&gt;&lt;D xsi:type="xsd:double"&gt;44385&lt;/D&gt;&lt;D xsi:type="xsd:double"&gt;44630&lt;/D&gt;&lt;D xsi:type="xsd:double"&gt;43080&lt;/D&gt;&lt;D xsi:type="xsd:double"&gt;45330&lt;/D&gt;&lt;D xsi:type="xsd:double"&gt;42485&lt;/D&gt;&lt;D xsi:type="xsd:double"&gt;42515&lt;/D&gt;&lt;D xsi:type="xsd:double"&gt;43565&lt;/D&gt;&lt;D xsi:type="xsd:double"&gt;42150&lt;/D&gt;&lt;D xsi:type="xsd:double"&gt;43765&lt;/D&gt;&lt;D xsi:type="xsd:double"&gt;43860&lt;/D&gt;&lt;D xsi:type="xsd:double"&gt;43630&lt;/D&gt;&lt;D xsi:type="xsd:double"&gt;42360&lt;/D&gt;&lt;D xsi:type="xsd:double"&gt;42105&lt;/D&gt;&lt;D xsi:type="xsd:double"&gt;42440&lt;/D&gt;&lt;D xsi:type="xsd:double"&gt;43140&lt;/D&gt;&lt;D xsi:type="xsd:double"&gt;43210&lt;/D&gt;&lt;D xsi:type="xsd:double"&gt;41455&lt;/D&gt;&lt;D xsi:type="xsd:double"&gt;41035&lt;/D&gt;&lt;D xsi:type="xsd:double"&gt;44910&lt;/D&gt;&lt;D xsi:type="xsd:double"&gt;43700&lt;/D&gt;&lt;D xsi:type="xsd:double"&gt;44215&lt;/D&gt;&lt;D xsi:type="xsd:double"&gt;44290&lt;/D&gt;&lt;D xsi:type="xsd:double"&gt;42280&lt;/D&gt;&lt;D xsi:type="xsd:double"&gt;39225&lt;/D&gt;&lt;D xsi:type="xsd:double"&gt;38190&lt;/D&gt;&lt;D xsi:type="xsd:double"&gt;38065&lt;/D&gt;&lt;D xsi:type="xsd:double"&gt;38885&lt;/D&gt;&lt;D xsi:type="xsd:double"&gt;37210&lt;/D&gt;&lt;D xsi:type="xsd:double"&gt;38122.84&lt;/D&gt;&lt;D xsi:type="xsd:double"&gt;37655&lt;/D&gt;&lt;D xsi:type="xsd:double"&gt;36920&lt;/D&gt;&lt;D xsi:type="xsd:double"&gt;37615&lt;/D&gt;&lt;D xsi:type="xsd:double"&gt;36565&lt;/D&gt;&lt;D xsi:type="xsd:double"&gt;36040&lt;/D&gt;&lt;D xsi:type="xsd:double"&gt;37820&lt;/D&gt;&lt;D xsi:type="xsd:double"&gt;35365&lt;/D&gt;&lt;D xsi:type="xsd:double"&gt;36915&lt;/D&gt;&lt;D xsi:type="xsd:double"&gt;37555&lt;/D&gt;&lt;D xsi:type="xsd:double"&gt;36805&lt;/D&gt;&lt;D xsi:type="xsd:double"&gt;35895&lt;/D&gt;&lt;D xsi:type="xsd:double"&gt;36145&lt;/D&gt;&lt;D xsi:type="xsd:double"&gt;35320&lt;/D&gt;&lt;D xsi:type="xsd:double"&gt;34805&lt;/D&gt;&lt;D xsi:type="xsd:double"&gt;35300&lt;/D&gt;&lt;D xsi:type="xsd:double"&gt;34965&lt;/D&gt;&lt;D xsi:type="xsd:double"&gt;34905&lt;/D&gt;&lt;D xsi:type="xsd:double"&gt;34765&lt;/D&gt;&lt;D xsi:type="xsd:double"&gt;33955&lt;/D&gt;&lt;D xsi:type="xsd:double"&gt;34065&lt;/D&gt;&lt;D xsi:type="xsd:double"&gt;34840&lt;/D&gt;&lt;D xsi:type="xsd:double"&gt;33845&lt;/D&gt;&lt;D xsi:type="xsd:double"&gt;31485&lt;/D&gt;&lt;D xsi:type="xsd:double"&gt;29685&lt;/D&gt;&lt;D xsi:type="xsd:double"&gt;28900&lt;/D&gt;&lt;D xsi:type="xsd:double"&gt;28320&lt;/D&gt;&lt;D xsi:type="xsd:double"&gt;28620&lt;/D&gt;&lt;D xsi:type="xsd:double"&gt;28575&lt;/D&gt;&lt;D xsi:type="xsd:double"&gt;26840&lt;/D&gt;&lt;D xsi:type="xsd:double"&gt;26755&lt;/D&gt;&lt;D xsi:type="xsd:double"&gt;26800&lt;/D&gt;&lt;D xsi:type="xsd:double"&gt;27490&lt;/D&gt;&lt;D xsi:type="xsd:double"&gt;27735&lt;/D&gt;&lt;/FQL&gt;&lt;FQL&gt;&lt;Q&gt;EWU^FG_COMPANY_NAME&lt;/Q&gt;&lt;R&gt;1&lt;/R&gt;&lt;C&gt;1&lt;/C&gt;&lt;D xsi:type="xsd:string"&gt;iShares MSCI United Kingdom ETF&lt;/D&gt;&lt;/FQL&gt;&lt;FQL&gt;&lt;Q&gt;BIGPX^FG_TOTAL_RETURNC(0,-3AM)&lt;/Q&gt;&lt;R&gt;1&lt;/R&gt;&lt;C&gt;1&lt;/C&gt;&lt;D xsi:type="xsd:double"&gt;5.1230907&lt;/D&gt;&lt;/FQL&gt;&lt;FQL&gt;&lt;Q&gt;EWL^P_PRICE(0)/P_PRICE_HIGH_PR(0,,,USD,,,"PRICE","INTRA","52W")&lt;/Q&gt;&lt;R&gt;1&lt;/R&gt;&lt;C&gt;1&lt;/C&gt;&lt;D xsi:type="xsd:double"&gt;0.9887419&lt;/D&gt;&lt;/FQL&gt;&lt;FQL&gt;&lt;Q&gt;IWM^FG_PRICE(0,-200D)&lt;/Q&gt;&lt;R&gt;201&lt;/R&gt;&lt;C&gt;1&lt;/C&gt;&lt;D xsi:type="xsd:double"&gt;224.22&lt;/D&gt;&lt;D xsi:type="xsd:double"&gt;220.57&lt;/D&gt;&lt;D xsi:type="xsd:double"&gt;217.85&lt;/D&gt;&lt;D xsi:type="xsd:double"&gt;222.63&lt;/D&gt;&lt;D xsi:type="xsd:double"&gt;220.29&lt;/D&gt;&lt;D xsi:type="xsd:double"&gt;216.84&lt;/D&gt;&lt;D xsi:type="xsd:double"&gt;217.95&lt;/D&gt;&lt;D xsi:type="xsd:double"&gt;222.25&lt;/D&gt;&lt;D xsi:type="xsd:double"&gt;224.6&lt;/D&gt;&lt;D xsi:type="xsd:double"&gt;217.19&lt;/D&gt;&lt;D xsi:type="xsd:double"&gt;213.14&lt;/D&gt;&lt;D xsi:type="xsd:double"&gt;210.68&lt;/D&gt;&lt;D xsi:type="xsd:double"&gt;203.37&lt;/D&gt;&lt;D xsi:type="xsd:double"&gt;201.4&lt;/D&gt;&lt;D xsi:type="xsd:double"&gt;202.28&lt;/D&gt;&lt;D xsi:type="xsd:double"&gt;200.87&lt;/D&gt;&lt;D xsi:type="xsd:double"&gt;201.83&lt;/D&gt;&lt;D xsi:type="xsd:double"&gt;201.88&lt;/D&gt;&lt;D xsi:type="xsd:double"&gt;201.19&lt;/D&gt;&lt;D xsi:type="xsd:double"&gt;202.89&lt;/D&gt;&lt;D xsi:type="xsd:double"&gt;202.06&lt;/D&gt;&lt;D xsi:type="xsd:double"&gt;200.03&lt;/D&gt;&lt;D xsi:type="xsd:double"&gt;200.56&lt;/D&gt;&lt;D xsi:type="xsd:double"&gt;201.22&lt;/D&gt;&lt;D xsi:type="xsd:double"&gt;200.35&lt;/D&gt;&lt;D xsi:type="xsd:double"&gt;199.9&lt;/D&gt;&lt;D xsi:type="xsd:double"&gt;200.75&lt;/D&gt;&lt;D xsi:type="xsd:double"&gt;200.4&lt;/D&gt;&lt;D xsi:type="xsd:double"&gt;198.73&lt;/D&gt;&lt;D xsi:type="xsd:double"&gt;201.94&lt;/D&gt;&lt;D xsi:type="xsd:double"&gt;203.72&lt;/D&gt;&lt;D xsi:type="xsd:double"&gt;200.64&lt;/D&gt;&lt;D xsi:type="xsd:double"&gt;201.89&lt;/D&gt;&lt;D xsi:type="xsd:double"&gt;201.2&lt;/D&gt;&lt;D xsi:type="xsd:double"&gt;203.59&lt;/D&gt;&lt;D xsi:type="xsd:double"&gt;205.06&lt;/D&gt;&lt;D xsi:type="xsd:double"&gt;201.97&lt;/D&gt;&lt;D xsi:type="xsd:double"&gt;204.61&lt;/D&gt;&lt;D xsi:type="xsd:double"&gt;205.77&lt;/D&gt;&lt;D xsi:type="xsd:double"&gt;204.05&lt;/D&gt;&lt;D xsi:type="xsd:double"&gt;202.13&lt;/D&gt;&lt;D xsi:type="xsd:double"&gt;205.16&lt;/D&gt;&lt;D xsi:type="xsd:double"&gt;205.44&lt;/D&gt;&lt;D xsi:type="xsd:double"&gt;203.19&lt;/D&gt;&lt;D xsi:type="xsd:double"&gt;206.58&lt;/D&gt;&lt;D xsi:type="xsd:double"&gt;208.34&lt;/D&gt;&lt;D xsi:type="xsd:double"&gt;208.54&lt;/D&gt;&lt;D xsi:type="xsd:double"&gt;208.08&lt;/D&gt;&lt;D xsi:type="xsd:double"&gt;207.93&lt;/D&gt;&lt;D xsi:type="xsd:double"&gt;209.44&lt;/D&gt;&lt;D xsi:type="xsd:double"&gt;206.86&lt;/D&gt;&lt;D xsi:type="xsd:double"&gt;204.74&lt;/D&gt;&lt;D xsi:type="xsd:double"&gt;204.31&lt;/D&gt;&lt;D xsi:type="xsd:double"&gt;205.86&lt;/D&gt;&lt;D xsi:type="xsd:double"&gt;203.78&lt;/D&gt;&lt;D xsi:type="xsd:double"&gt;204.97&lt;/D&gt;&lt;D xsi:type="xsd:double"&gt;204.51&lt;/D&gt;&lt;D xsi:type="xsd:double"&gt;201.9&lt;/D&gt;&lt;D xsi:type="xsd:double"&gt;199.92&lt;/D&gt;&lt;D xsi:type="xsd:double"&gt;196.31&lt;/D&gt;&lt;D xsi:type="xsd:double"&gt;195.9&lt;/D&gt;&lt;D xsi:type="xsd:double"&gt;199.96&lt;/D&gt;&lt;D xsi:type="xsd:double"&gt;198.36&lt;/D&gt;&lt;D xsi:type="xsd:double"&gt;196.48&lt;/D&gt;&lt;D xsi:type="xsd:double"&gt;197.68&lt;/D&gt;&lt;D xsi:type="xsd:double"&gt;198.57&lt;/D&gt;&lt;D xsi:type="xsd:double"&gt;195.3&lt;/D&gt;&lt;D xsi:type="xsd:double"&gt;193.14&lt;/D&gt;&lt;D xsi:type="xsd:double"&gt;192.84&lt;/D&gt;&lt;D xsi:type="xsd:double"&gt;193&lt;/D&gt;&lt;D xsi:type="xsd:double"&gt;195.06&lt;/D&gt;&lt;D xsi:type="xsd:double"&gt;195.78&lt;/D&gt;&lt;D xsi:type="xsd:double"&gt;198.69&lt;/D&gt;&lt;D xsi:type="xsd:double"&gt;202.29&lt;/D&gt;&lt;D xsi:type="xsd:double"&gt;200.93&lt;/D&gt;&lt;D xsi:type="xsd:double"&gt;206.38&lt;/D&gt;&lt;D xsi:type="xsd:double"&gt;205.57&lt;/D&gt;&lt;D xsi:type="xsd:double"&gt;204.45&lt;/D&gt;&lt;D xsi:type="xsd:double"&gt;203.77&lt;/D&gt;&lt;D xsi:type="xsd:double"&gt;205.83&lt;/D&gt;&lt;D xsi:type="xsd:double"&gt;204.49&lt;/D&gt;&lt;D xsi:type="xsd:double"&gt;208.32&lt;/D&gt;&lt;D xsi:type="xsd:double"&gt;210.3&lt;/D&gt;&lt;D xsi:type="xsd:double"&gt;209.64&lt;/D&gt;&lt;D xsi:type="xsd:double"&gt;205.17&lt;/D&gt;&lt;D xsi:type="xsd:double"&gt;205.54&lt;/D&gt;&lt;D xsi:type="xsd:double"&gt;205.07&lt;/D&gt;&lt;D xsi:type="xsd:double"&gt;207.94&lt;/D&gt;&lt;D xsi:type="xsd:double"&gt;206.1&lt;/D&gt;&lt;D xsi:type="xsd:double"&gt;202.1&lt;/D&gt;&lt;D xsi:type="xsd:double"&gt;201.25&lt;/D&gt;&lt;D xsi:type="xsd:double"&gt;202.41&lt;/D&gt;&lt;D xsi:type="xsd:double"&gt;202.03&lt;/D&gt;&lt;D xsi:type="xsd:double"&gt;205.71&lt;/D&gt;&lt;D xsi:type="xsd:double"&gt;204.91&lt;/D&gt;&lt;D xsi:type="xsd:double"&gt;205.19&lt;/D&gt;&lt;D xsi:type="xsd:double"&gt;206.83&lt;/D&gt;&lt;D xsi:type="xsd:double"&gt;206.96&lt;/D&gt;&lt;D xsi:type="xsd:double"&gt;205.25&lt;/D&gt;&lt;D xsi:type="xsd:double"&gt;203.73&lt;/D&gt;&lt;D xsi:type="xsd:double"&gt;205.7&lt;/D&gt;&lt;D xsi:type="xsd:double"&gt;205.89&lt;/D&gt;&lt;D xsi:type="xsd:double"&gt;203.73&lt;/D&gt;&lt;D xsi:type="xsd:double"&gt;202.32&lt;/D&gt;&lt;D xsi:type="xsd:double"&gt;204&lt;/D&gt;&lt;D xsi:type="xsd:double"&gt;201.15&lt;/D&gt;&lt;D xsi:type="xsd:double"&gt;199.89&lt;/D&gt;&lt;D xsi:type="xsd:double"&gt;199.44&lt;/D&gt;&lt;D xsi:type="xsd:double"&gt;197.94&lt;/D&gt;&lt;D xsi:type="xsd:double"&gt;198.88&lt;/D&gt;&lt;D xsi:type="xsd:double"&gt;201.66&lt;/D&gt;&lt;D xsi:type="xsd:double"&gt;204.44&lt;/D&gt;&lt;D xsi:type="xsd:double"&gt;199.13&lt;/D&gt;&lt;D xsi:type="xsd:double"&gt;194.61&lt;/D&gt;&lt;D xsi:type="xsd:double"&gt;202.96&lt;/D&gt;&lt;D xsi:type="xsd:double"&gt;199.34&lt;/D&gt;&lt;D xsi:type="xsd:double"&gt;196.15&lt;/D&gt;&lt;D xsi:type="xsd:double"&gt;193.22&lt;/D&gt;&lt;D xsi:type="xsd:double"&gt;193.67&lt;/D&gt;&lt;D xsi:type="xsd:double"&gt;191.94&lt;/D&gt;&lt;D xsi:type="xsd:double"&gt;194.41&lt;/D&gt;&lt;D xsi:type="xsd:double"&gt;195.44&lt;/D&gt;&lt;D xsi:type="xsd:double"&gt;192.88&lt;/D&gt;&lt;D xsi:type="xsd:double"&gt;197.71&lt;/D&gt;&lt;D xsi:type="xsd:double"&gt;199.41&lt;/D&gt;&lt;D xsi:type="xsd:double"&gt;195.98&lt;/D&gt;&lt;D xsi:type="xsd:double"&gt;195.97&lt;/D&gt;&lt;D xsi:type="xsd:double"&gt;194.36&lt;/D&gt;&lt;D xsi:type="xsd:double"&gt;195.97&lt;/D&gt;&lt;D xsi:type="xsd:double"&gt;196.54&lt;/D&gt;&lt;D xsi:type="xsd:double"&gt;192.43&lt;/D&gt;&lt;D xsi:type="xsd:double"&gt;190.6&lt;/D&gt;&lt;D xsi:type="xsd:double"&gt;189.48&lt;/D&gt;&lt;D xsi:type="xsd:double"&gt;190.84&lt;/D&gt;&lt;D xsi:type="xsd:double"&gt;193.23&lt;/D&gt;&lt;D xsi:type="xsd:double"&gt;193.55&lt;/D&gt;&lt;D xsi:type="xsd:double"&gt;195.08&lt;/D&gt;&lt;D xsi:type="xsd:double"&gt;194.97&lt;/D&gt;&lt;D xsi:type="xsd:double"&gt;196.73&lt;/D&gt;&lt;D xsi:type="xsd:double"&gt;193.25&lt;/D&gt;&lt;D xsi:type="xsd:double"&gt;193.82&lt;/D&gt;&lt;D xsi:type="xsd:double"&gt;194.2&lt;/D&gt;&lt;D xsi:type="xsd:double"&gt;199.52&lt;/D&gt;&lt;D xsi:type="xsd:double"&gt;200.71&lt;/D&gt;&lt;D xsi:type="xsd:double"&gt;204.04&lt;/D&gt;&lt;D xsi:type="xsd:double"&gt;204.82&lt;/D&gt;&lt;D xsi:type="xsd:double"&gt;204.1&lt;/D&gt;&lt;D xsi:type="xsd:double"&gt;201.48&lt;/D&gt;&lt;D xsi:type="xsd:double"&gt;199.62&lt;/D&gt;&lt;D xsi:type="xsd:double"&gt;196.28&lt;/D&gt;&lt;D xsi:type="xsd:double"&gt;200.93&lt;/D&gt;&lt;D xsi:type="xsd:double"&gt;197.11&lt;/D&gt;&lt;D xsi:type="xsd:double"&gt;197.04&lt;/D&gt;&lt;D xsi:type="xsd:double"&gt;198.71&lt;/D&gt;&lt;D xsi:type="xsd:double"&gt;193.33&lt;/D&gt;&lt;D xsi:type="xsd:double"&gt;187&lt;/D&gt;&lt;D xsi:type="xsd:double"&gt;187.19&lt;/D&gt;&lt;D xsi:type="xsd:double"&gt;186.8&lt;/D&gt;&lt;D xsi:type="xsd:double"&gt;185.39&lt;/D&gt;&lt;D xsi:type="xsd:double"&gt;184.06&lt;/D&gt;&lt;D xsi:type="xsd:double"&gt;184.39&lt;/D&gt;&lt;D xsi:type="xsd:double"&gt;186.89&lt;/D&gt;&lt;D xsi:type="xsd:double"&gt;184.91&lt;/D&gt;&lt;D xsi:type="xsd:double"&gt;179.66&lt;/D&gt;&lt;D xsi:type="xsd:double"&gt;178.98&lt;/D&gt;&lt;D xsi:type="xsd:double"&gt;178.04&lt;/D&gt;&lt;D xsi:type="xsd:double"&gt;178.73&lt;/D&gt;&lt;D xsi:type="xsd:double"&gt;179.33&lt;/D&gt;&lt;D xsi:type="xsd:double"&gt;178.13&lt;/D&gt;&lt;D xsi:type="xsd:double"&gt;177.02&lt;/D&gt;&lt;D xsi:type="xsd:double"&gt;179.33&lt;/D&gt;&lt;D xsi:type="xsd:double"&gt;178.29&lt;/D&gt;&lt;D xsi:type="xsd:double"&gt;175.88&lt;/D&gt;&lt;D xsi:type="xsd:double"&gt;178.77&lt;/D&gt;&lt;D xsi:type="xsd:double"&gt;178.46&lt;/D&gt;&lt;D xsi:type="xsd:double"&gt;169.17&lt;/D&gt;&lt;D xsi:type="xsd:double"&gt;169.11&lt;/D&gt;&lt;D xsi:type="xsd:double"&gt;167.24&lt;/D&gt;&lt;D xsi:type="xsd:double"&gt;169.87&lt;/D&gt;&lt;D xsi:type="xsd:double"&gt;171.7&lt;/D&gt;&lt;D xsi:type="xsd:double"&gt;172.31&lt;/D&gt;&lt;D xsi:type="xsd:double"&gt;174.49&lt;/D&gt;&lt;D xsi:type="xsd:double"&gt;169.87&lt;/D&gt;&lt;D xsi:type="xsd:double"&gt;165.46&lt;/D&gt;&lt;D xsi:type="xsd:double"&gt;164.52&lt;/D&gt;&lt;D xsi:type="xsd:double"&gt;163.11&lt;/D&gt;&lt;D xsi:type="xsd:double"&gt;162.21&lt;/D&gt;&lt;D xsi:type="xsd:double"&gt;164.14&lt;/D&gt;&lt;D xsi:type="xsd:double"&gt;163.72&lt;/D&gt;&lt;D xsi:type="xsd:double"&gt;166.47&lt;/D&gt;&lt;D xsi:type="xsd:double"&gt;165.03&lt;/D&gt;&lt;D xsi:type="xsd:double"&gt;166.44&lt;/D&gt;&lt;D xsi:type="xsd:double"&gt;168.62&lt;/D&gt;&lt;D xsi:type="xsd:double"&gt;171.35&lt;/D&gt;&lt;D xsi:type="xsd:double"&gt;174.95&lt;/D&gt;&lt;D xsi:type="xsd:double"&gt;173.02&lt;/D&gt;&lt;D xsi:type="xsd:double"&gt;170.27&lt;/D&gt;&lt;D xsi:type="xsd:double"&gt;171.7&lt;/D&gt;&lt;D xsi:type="xsd:double"&gt;175.67&lt;/D&gt;&lt;D xsi:type="xsd:double"&gt;175.97&lt;/D&gt;&lt;D xsi:type="xsd:double"&gt;174&lt;/D&gt;&lt;/FQL&gt;&lt;FQL&gt;&lt;Q&gt;EMXC^FMA_COS_DOWN("EPS","1M",+1,0,,,"PORTAGG","MEANR")&lt;/Q&gt;&lt;R&gt;1&lt;/R&gt;&lt;C&gt;1&lt;/C&gt;&lt;D xsi:type="xsd:double"&gt;247&lt;/D&gt;&lt;/FQL&gt;&lt;FQL&gt;&lt;Q&gt;EWL^FG_COMPANY_NAME&lt;/Q&gt;&lt;R&gt;1&lt;/R&gt;&lt;C&gt;1&lt;/C&gt;&lt;D xsi:type="xsd:string"&gt;iShares MSCI Switzerland ETF&lt;/D&gt;&lt;/FQL&gt;&lt;FQL&gt;&lt;Q&gt;BIGPX^FG_TOTAL_RETURNC(0,-1AM)&lt;/Q&gt;&lt;R&gt;1&lt;/R&gt;&lt;C&gt;1&lt;/C&gt;&lt;D xsi:type="xsd:double"&gt;-0.252527&lt;/D&gt;&lt;/FQL&gt;&lt;FQL&gt;&lt;Q&gt;INDA^FG_PE(0)&lt;/Q&gt;&lt;R&gt;1&lt;/R&gt;&lt;C&gt;1&lt;/C&gt;&lt;D xsi:type="xsd:double"&gt;26.7104043543071&lt;/D&gt;&lt;/FQL&gt;&lt;FQL&gt;&lt;Q&gt;URTH^FG_FCF_YIELD_NTM(0)&lt;/Q&gt;&lt;R&gt;1&lt;/R&gt;&lt;C&gt;1&lt;/C&gt;&lt;D xsi:type="xsd:double"&gt;4.41914729587391&lt;/D&gt;&lt;/FQL&gt;&lt;FQL&gt;&lt;Q&gt;EWA^FG_COMPANY_NAME&lt;/Q&gt;&lt;R&gt;1&lt;/R&gt;&lt;C&gt;1&lt;/C&gt;&lt;D xsi:type="xsd:string"&gt;iShares MSCI Australia ETF&lt;/D&gt;&lt;/FQL&gt;&lt;FQL&gt;&lt;Q&gt;BTC00-USA^P_FUT_TOTAL_RETURN(0,-6AM,,'')&lt;/Q&gt;&lt;R&gt;1&lt;/R&gt;&lt;C&gt;1&lt;/C&gt;&lt;D xsi:type="xsd:double"&gt;57.8080496263158&lt;/D&gt;&lt;/FQL&gt;&lt;FQL&gt;&lt;Q&gt;UUP^FG_PRICE(0,-200D)&lt;/Q&gt;&lt;R&gt;201&lt;/R&gt;&lt;C&gt;1&lt;/C&gt;&lt;D xsi:type="xsd:double"&gt;28.82&lt;/D&gt;&lt;D xsi:type="xsd:double"&gt;28.84&lt;/D&gt;&lt;D xsi:type="xsd:double"&gt;28.84&lt;/D&gt;&lt;D xsi:type="xsd:double"&gt;28.85&lt;/D&gt;&lt;D xsi:type="xsd:double"&gt;28.8&lt;/D&gt;&lt;D xsi:type="xsd:double"&gt;28.82&lt;/D&gt;&lt;D xsi:type="xsd:double"&gt;28.74&lt;/D&gt;&lt;D xsi:type="xsd:double"&gt;28.61&lt;/D&gt;&lt;D xsi:type="xsd:double"&gt;28.74&lt;/D&gt;&lt;D xsi:type="xsd:double"&gt;28.74&lt;/D&gt;&lt;D xsi:type="xsd:double"&gt;28.69&lt;/D&gt;&lt;D xsi:type="xsd:double"&gt;28.79&lt;/D&gt;&lt;D xsi:type="xsd:double"&gt;28.94&lt;/D&gt;&lt;D xsi:type="xsd:double"&gt;28.97&lt;/D&gt;&lt;D xsi:type="xsd:double"&gt;28.93&lt;/D&gt;&lt;D xsi:type="xsd:double"&gt;28.88&lt;/D&gt;&lt;D xsi:type="xsd:double"&gt;28.98&lt;/D&gt;&lt;D xsi:type="xsd:double"&gt;29.1&lt;/D&gt;&lt;D xsi:type="xsd:double"&gt;29.14&lt;/D&gt;&lt;D xsi:type="xsd:double"&gt;29.13&lt;/D&gt;&lt;D xsi:type="xsd:double"&gt;29.13&lt;/D&gt;&lt;D xsi:type="xsd:double"&gt;29.17&lt;/D&gt;&lt;D xsi:type="xsd:double"&gt;29.03&lt;/D&gt;&lt;D xsi:type="xsd:double"&gt;29&lt;/D&gt;&lt;D xsi:type="xsd:double"&gt;29.1&lt;/D&gt;&lt;D xsi:type="xsd:double"&gt;29.03&lt;/D&gt;&lt;D xsi:type="xsd:double"&gt;28.91&lt;/D&gt;&lt;D xsi:type="xsd:double"&gt;28.92&lt;/D&gt;&lt;D xsi:type="xsd:double"&gt;28.99&lt;/D&gt;&lt;D xsi:type="xsd:double"&gt;28.86&lt;/D&gt;&lt;D xsi:type="xsd:double"&gt;28.75&lt;/D&gt;&lt;D xsi:type="xsd:double"&gt;28.88&lt;/D&gt;&lt;D xsi:type="xsd:double"&gt;28.84&lt;/D&gt;&lt;D xsi:type="xsd:double"&gt;28.77&lt;/D&gt;&lt;D xsi:type="xsd:double"&gt;28.53&lt;/D&gt;&lt;D xsi:type="xsd:double"&gt;28.57&lt;/D&gt;&lt;D xsi:type="xsd:double"&gt;28.53&lt;/D&gt;&lt;D xsi:type="xsd:double"&gt;28.52&lt;/D&gt;&lt;D xsi:type="xsd:double"&gt;28.67&lt;/D&gt;&lt;D xsi:type="xsd:double"&gt;28.69&lt;/D&gt;&lt;D xsi:type="xsd:double"&gt;28.78&lt;/D&gt;&lt;D xsi:type="xsd:double"&gt;28.62&lt;/D&gt;&lt;D xsi:type="xsd:double"&gt;28.66&lt;/D&gt;&lt;D xsi:type="xsd:double"&gt;28.75&lt;/D&gt;&lt;D xsi:type="xsd:double"&gt;28.69&lt;/D&gt;&lt;D xsi:type="xsd:double"&gt;28.6&lt;/D&gt;&lt;D xsi:type="xsd:double"&gt;28.6&lt;/D&gt;&lt;D xsi:type="xsd:double"&gt;28.56&lt;/D&gt;&lt;D xsi:type="xsd:double"&gt;28.56&lt;/D&gt;&lt;D xsi:type="xsd:double"&gt;28.49&lt;/D&gt;&lt;D xsi:type="xsd:double"&gt;28.67&lt;/D&gt;&lt;D xsi:type="xsd:double"&gt;28.73&lt;/D&gt;&lt;D xsi:type="xsd:double"&gt;28.74&lt;/D&gt;&lt;D xsi:type="xsd:double"&gt;28.7&lt;/D&gt;&lt;D xsi:type="xsd:double"&gt;28.8&lt;/D&gt;&lt;D xsi:type="xsd:double"&gt;28.76&lt;/D&gt;&lt;D xsi:type="xsd:double"&gt;28.68&lt;/D&gt;&lt;D xsi:type="xsd:double"&gt;28.65&lt;/D&gt;&lt;D xsi:type="xsd:double"&gt;28.73&lt;/D&gt;&lt;D xsi:type="xsd:double"&gt;28.95&lt;/D&gt;&lt;D xsi:type="xsd:double"&gt;28.98&lt;/D&gt;&lt;D xsi:type="xsd:double"&gt;28.8&lt;/D&gt;&lt;D xsi:type="xsd:double"&gt;28.89&lt;/D&gt;&lt;D xsi:type="xsd:double"&gt;28.76&lt;/D&gt;&lt;D xsi:type="xsd:double"&gt;28.82&lt;/D&gt;&lt;D xsi:type="xsd:double"&gt;28.79&lt;/D&gt;&lt;D xsi:type="xsd:double"&gt;28.91&lt;/D&gt;&lt;D xsi:type="xsd:double"&gt;28.9&lt;/D&gt;&lt;D xsi:type="xsd:double"&gt;28.9&lt;/D&gt;&lt;D xsi:type="xsd:double"&gt;28.84&lt;/D&gt;&lt;D xsi:type="xsd:double"&gt;28.93&lt;/D&gt;&lt;D xsi:type="xsd:double"&gt;28.89&lt;/D&gt;&lt;D xsi:type="xsd:double"&gt;28.84&lt;/D&gt;&lt;D xsi:type="xsd:double"&gt;28.61&lt;/D&gt;&lt;D xsi:type="xsd:double"&gt;28.59&lt;/D&gt;&lt;D xsi:type="xsd:double"&gt;28.29&lt;/D&gt;&lt;D xsi:type="xsd:double"&gt;28.3&lt;/D&gt;&lt;D xsi:type="xsd:double"&gt;28.34&lt;/D&gt;&lt;D xsi:type="xsd:double"&gt;28.31&lt;/D&gt;&lt;D xsi:type="xsd:double"&gt;28.31&lt;/D&gt;&lt;D xsi:type="xsd:double"&gt;28.44&lt;/D&gt;&lt;D xsi:type="xsd:double"&gt;28.48&lt;/D&gt;&lt;D xsi:type="xsd:double"&gt;28.37&lt;/D&gt;&lt;D xsi:type="xsd:double"&gt;28.29&lt;/D&gt;&lt;D xsi:type="xsd:double"&gt;28.27&lt;/D&gt;&lt;D xsi:type="xsd:double"&gt;28.25&lt;/D&gt;&lt;D xsi:type="xsd:double"&gt;28.32&lt;/D&gt;&lt;D xsi:type="xsd:double"&gt;28.17&lt;/D&gt;&lt;D xsi:type="xsd:double"&gt;27.98&lt;/D&gt;&lt;D xsi:type="xsd:double"&gt;28.11&lt;/D&gt;&lt;D xsi:type="xsd:double"&gt;28.04&lt;/D&gt;&lt;D xsi:type="xsd:double"&gt;27.98&lt;/D&gt;&lt;D xsi:type="xsd:double"&gt;27.95&lt;/D&gt;&lt;D xsi:type="xsd:double"&gt;27.8&lt;/D&gt;&lt;D xsi:type="xsd:double"&gt;27.83&lt;/D&gt;&lt;D xsi:type="xsd:double"&gt;27.81&lt;/D&gt;&lt;D xsi:type="xsd:double"&gt;27.78&lt;/D&gt;&lt;D xsi:type="xsd:double"&gt;27.77&lt;/D&gt;&lt;D xsi:type="xsd:double"&gt;27.91&lt;/D&gt;&lt;D xsi:type="xsd:double"&gt;28.01&lt;/D&gt;&lt;D xsi:type="xsd:double"&gt;28.04&lt;/D&gt;&lt;D xsi:type="xsd:double"&gt;28.04&lt;/D&gt;&lt;D xsi:type="xsd:double"&gt;28.09&lt;/D&gt;&lt;D xsi:type="xsd:double"&gt;28.03&lt;/D&gt;&lt;D xsi:type="xsd:double"&gt;28.01&lt;/D&gt;&lt;D xsi:type="xsd:double"&gt;27.99&lt;/D&gt;&lt;D xsi:type="xsd:double"&gt;28.04&lt;/D&gt;&lt;D xsi:type="xsd:double"&gt;28.02&lt;/D&gt;&lt;D xsi:type="xsd:double"&gt;28.02&lt;/D&gt;&lt;D xsi:type="xsd:double"&gt;28.05&lt;/D&gt;&lt;D xsi:type="xsd:double"&gt;28.09&lt;/D&gt;&lt;D xsi:type="xsd:double"&gt;28.08&lt;/D&gt;&lt;D xsi:type="xsd:double"&gt;28.19&lt;/D&gt;&lt;D xsi:type="xsd:double"&gt;28.24&lt;/D&gt;&lt;D xsi:type="xsd:double"&gt;28.02&lt;/D&gt;&lt;D xsi:type="xsd:double"&gt;27.99&lt;/D&gt;&lt;D xsi:type="xsd:double"&gt;28.01&lt;/D&gt;&lt;D xsi:type="xsd:double"&gt;27.98&lt;/D&gt;&lt;D xsi:type="xsd:double"&gt;28.01&lt;/D&gt;&lt;D xsi:type="xsd:double"&gt;28.09&lt;/D&gt;&lt;D xsi:type="xsd:double"&gt;27.94&lt;/D&gt;&lt;D xsi:type="xsd:double"&gt;27.69&lt;/D&gt;&lt;D xsi:type="xsd:double"&gt;27.83&lt;/D&gt;&lt;D xsi:type="xsd:double"&gt;27.76&lt;/D&gt;&lt;D xsi:type="xsd:double"&gt;27.78&lt;/D&gt;&lt;D xsi:type="xsd:double"&gt;27.78&lt;/D&gt;&lt;D xsi:type="xsd:double"&gt;27.78&lt;/D&gt;&lt;D xsi:type="xsd:double"&gt;27.7&lt;/D&gt;&lt;D xsi:type="xsd:double"&gt;27.78&lt;/D&gt;&lt;D xsi:type="xsd:double"&gt;27.71&lt;/D&gt;&lt;D xsi:type="xsd:double"&gt;27.7&lt;/D&gt;&lt;D xsi:type="xsd:double"&gt;27.74&lt;/D&gt;&lt;D xsi:type="xsd:double"&gt;27.71&lt;/D&gt;&lt;D xsi:type="xsd:double"&gt;27.69&lt;/D&gt;&lt;D xsi:type="xsd:double"&gt;27.45&lt;/D&gt;&lt;D xsi:type="xsd:double"&gt;27.42&lt;/D&gt;&lt;D xsi:type="xsd:double"&gt;27.4&lt;/D&gt;&lt;D xsi:type="xsd:double"&gt;27.45&lt;/D&gt;&lt;D xsi:type="xsd:double"&gt;27.36&lt;/D&gt;&lt;D xsi:type="xsd:double"&gt;27.41&lt;/D&gt;&lt;D xsi:type="xsd:double"&gt;27.41&lt;/D&gt;&lt;D xsi:type="xsd:double"&gt;27.41&lt;/D&gt;&lt;D xsi:type="xsd:double"&gt;27.32&lt;/D&gt;&lt;D xsi:type="xsd:double"&gt;27.09&lt;/D&gt;&lt;D xsi:type="xsd:double"&gt;27.04&lt;/D&gt;&lt;D xsi:type="xsd:double"&gt;26.95&lt;/D&gt;&lt;D xsi:type="xsd:double"&gt;27.09&lt;/D&gt;&lt;D xsi:type="xsd:double"&gt;27.15&lt;/D&gt;&lt;D xsi:type="xsd:double"&gt;27.16&lt;/D&gt;&lt;D xsi:type="xsd:double"&gt;27.34&lt;/D&gt;&lt;D xsi:type="xsd:double"&gt;27.22&lt;/D&gt;&lt;D xsi:type="xsd:double"&gt;27.34&lt;/D&gt;&lt;D xsi:type="xsd:double"&gt;29.09&lt;/D&gt;&lt;D xsi:type="xsd:double"&gt;28.9&lt;/D&gt;&lt;D xsi:type="xsd:double"&gt;29.17&lt;/D&gt;&lt;D xsi:type="xsd:double"&gt;29.42&lt;/D&gt;&lt;D xsi:type="xsd:double"&gt;29.5&lt;/D&gt;&lt;D xsi:type="xsd:double"&gt;29.46&lt;/D&gt;&lt;D xsi:type="xsd:double"&gt;29.35&lt;/D&gt;&lt;D xsi:type="xsd:double"&gt;29.51&lt;/D&gt;&lt;D xsi:type="xsd:double"&gt;29.44&lt;/D&gt;&lt;D xsi:type="xsd:double"&gt;29.33&lt;/D&gt;&lt;D xsi:type="xsd:double"&gt;29.2&lt;/D&gt;&lt;D xsi:type="xsd:double"&gt;29.29&lt;/D&gt;&lt;D xsi:type="xsd:double"&gt;29.08&lt;/D&gt;&lt;D xsi:type="xsd:double"&gt;29.05&lt;/D&gt;&lt;D xsi:type="xsd:double"&gt;29.15&lt;/D&gt;&lt;D xsi:type="xsd:double"&gt;29.21&lt;/D&gt;&lt;D xsi:type="xsd:double"&gt;29.34&lt;/D&gt;&lt;D xsi:type="xsd:double"&gt;29.24&lt;/D&gt;&lt;D xsi:type="xsd:double"&gt;29.21&lt;/D&gt;&lt;D xsi:type="xsd:double"&gt;29.3&lt;/D&gt;&lt;D xsi:type="xsd:double"&gt;29.46&lt;/D&gt;&lt;D xsi:type="xsd:double"&gt;29.44&lt;/D&gt;&lt;D xsi:type="xsd:double"&gt;29.33&lt;/D&gt;&lt;D xsi:type="xsd:double"&gt;29.8&lt;/D&gt;&lt;D xsi:type="xsd:double"&gt;29.84&lt;/D&gt;&lt;D xsi:type="xsd:double"&gt;29.86&lt;/D&gt;&lt;D xsi:type="xsd:double"&gt;29.73&lt;/D&gt;&lt;D xsi:type="xsd:double"&gt;29.74&lt;/D&gt;&lt;D xsi:type="xsd:double"&gt;29.64&lt;/D&gt;&lt;D xsi:type="xsd:double"&gt;29.61&lt;/D&gt;&lt;D xsi:type="xsd:double"&gt;29.89&lt;/D&gt;&lt;D xsi:type="xsd:double"&gt;30.04&lt;/D&gt;&lt;D xsi:type="xsd:double"&gt;30.03&lt;/D&gt;&lt;D xsi:type="xsd:double"&gt;29.85&lt;/D&gt;&lt;D xsi:type="xsd:double"&gt;29.97&lt;/D&gt;&lt;D xsi:type="xsd:double"&gt;30.01&lt;/D&gt;&lt;D xsi:type="xsd:double"&gt;29.94&lt;/D&gt;&lt;D xsi:type="xsd:double"&gt;29.86&lt;/D&gt;&lt;D xsi:type="xsd:double"&gt;29.69&lt;/D&gt;&lt;D xsi:type="xsd:double"&gt;29.84&lt;/D&gt;&lt;D xsi:type="xsd:double"&gt;29.83&lt;/D&gt;&lt;D xsi:type="xsd:double"&gt;29.92&lt;/D&gt;&lt;D xsi:type="xsd:double"&gt;29.81&lt;/D&gt;&lt;D xsi:type="xsd:double"&gt;29.8&lt;/D&gt;&lt;D xsi:type="xsd:double"&gt;29.93&lt;/D&gt;&lt;D xsi:type="xsd:double"&gt;29.91&lt;/D&gt;&lt;D xsi:type="xsd:double"&gt;29.66&lt;/D&gt;&lt;D xsi:type="xsd:double"&gt;29.66&lt;/D&gt;&lt;D xsi:type="xsd:double"&gt;29.73&lt;/D&gt;&lt;/FQL&gt;&lt;FQL&gt;&lt;Q&gt;INDA^SIZE(FG_CONSTITUENTS)&lt;/Q&gt;&lt;R&gt;1&lt;/R&gt;&lt;C&gt;1&lt;/C&gt;&lt;D xsi:type="xsd:long"&gt;147&lt;/D&gt;&lt;/FQL&gt;&lt;FQL&gt;&lt;Q&gt;URTH^FG_PE(0)&lt;/Q&gt;&lt;R&gt;1&lt;/R&gt;&lt;C&gt;1&lt;/C&gt;&lt;D xsi:type="xsd:double"&gt;21.3739924715595&lt;/D&gt;&lt;/FQL&gt;&lt;FQL&gt;&lt;Q&gt;INDA^FMA_COS_DOWN("EPS","1M",+1,0,,,"PORTAGG","MEANR")&lt;/Q&gt;&lt;R&gt;1&lt;/R&gt;&lt;C&gt;1&lt;/C&gt;&lt;D xsi:type="xsd:double"&gt;60&lt;/D&gt;&lt;/FQL&gt;&lt;FQL&gt;&lt;Q&gt;VWO^FG_FCF_YIELD_NTM(0)&lt;/Q&gt;&lt;R&gt;1&lt;/R&gt;&lt;C&gt;1&lt;/C&gt;&lt;D xsi:type="xsd:double"&gt;5.35799702690336&lt;/D&gt;&lt;/FQL&gt;&lt;FQL&gt;&lt;Q&gt;BIGPX^P_PRICE(-1AM)/P_PRICE_HIGH_PR(-1AM,,,,,,"PRICE","INTRA","52W")&lt;/Q&gt;&lt;R&gt;1&lt;/R&gt;&lt;C&gt;1&lt;/C&gt;&lt;D xsi:type="xsd:double"&gt;0.99435025&lt;/D&gt;&lt;/FQL&gt;&lt;FQL&gt;&lt;Q&gt;TLT^FG_TOTAL_RETURNC(0,-6AM)&lt;/Q&gt;&lt;R&gt;1&lt;/R&gt;&lt;C&gt;1&lt;/C&gt;&lt;D xsi:type="xsd:double"&gt;1.1307478&lt;/D&gt;&lt;/FQL&gt;&lt;FQL&gt;&lt;Q&gt;INDA^FG_TOTAL_RETURNC(0,-3AM)&lt;/Q&gt;&lt;R&gt;1&lt;/R&gt;&lt;C&gt;1&lt;/C&gt;&lt;D xsi:type="xsd:double"&gt;8.600914&lt;/D&gt;&lt;/FQL&gt;&lt;FQL&gt;&lt;Q&gt;INDA^FMA_COS_UP("EPS","1M",+1,0,,,"PORTAGG","MEANR")&lt;/Q&gt;&lt;R&gt;1&lt;/R&gt;&lt;C&gt;1&lt;/C&gt;&lt;D xsi:type="xsd:double"&gt;58&lt;/D&gt;&lt;/FQL&gt;&lt;FQL&gt;&lt;Q&gt;TLT^FG_TOTAL_RETURNC(0,-3AM)&lt;/Q&gt;&lt;R&gt;1&lt;/R&gt;&lt;C&gt;1&lt;/C&gt;&lt;D xsi:type="xsd:double"&gt;6.44871&lt;/D&gt;&lt;/FQL&gt;&lt;FQL&gt;&lt;Q&gt;VWO^FG_PE(0)&lt;/Q&gt;&lt;R&gt;1&lt;/R&gt;&lt;C&gt;1&lt;/C&gt;&lt;D xsi:type="xsd:double"&gt;15.0436274694864&lt;/D&gt;&lt;/FQL&gt;&lt;FQL&gt;&lt;Q&gt;VGK^FG_TOTAL_RETURNC(-1AM,-7AM)&lt;/Q&gt;&lt;R&gt;1&lt;/R&gt;&lt;C&gt;1&lt;/C&gt;&lt;D xsi:type="xsd:double"&gt;5.94908&lt;/D&gt;&lt;/FQL&gt;&lt;FQL&gt;&lt;Q&gt;USO^P_PRICE(0)/P_PRICE_HIGH_PR(0,,,USD,,,"PRICE","INTRA","52W")&lt;/Q&gt;&lt;R&gt;1&lt;/R&gt;&lt;C&gt;1&lt;/C&gt;&lt;D xsi:type="xsd:double"&gt;0.9124805&lt;/D&gt;&lt;/FQL&gt;&lt;FQL&gt;&lt;Q&gt;VGK^FG_TOTAL_RETURNC(-1AM,-4AM)&lt;/Q&gt;&lt;R&gt;1&lt;/R&gt;&lt;C&gt;1&lt;/C&gt;&lt;D xsi:type="xsd:double"&gt;1.3567448&lt;/D&gt;&lt;/FQL&gt;&lt;FQL&gt;&lt;Q&gt;INDA^PERCENT_CHANGE(FMA_EPS(+1,0,,,,"PORTAGG","MEAN"),FMA_EPS(+1,-3AM,,,,"PORTAGG","MEAN"))&lt;/Q&gt;&lt;R&gt;1&lt;/R&gt;&lt;C&gt;1&lt;/C&gt;&lt;D xsi:type="xsd:double"&gt;-3.33115292832499&lt;/D&gt;&lt;/FQL&gt;&lt;FQL&gt;&lt;Q&gt;INDA^FG_PRICE(0,-200D)&lt;/Q&gt;&lt;R&gt;201&lt;/R&gt;&lt;C&gt;1&lt;/C&gt;&lt;D xsi:type="xsd:double"&gt;56.82&lt;/D&gt;&lt;D xsi:type="xsd:double"&gt;55.77&lt;/D&gt;&lt;D xsi:type="xsd:double"&gt;55.46&lt;/D&gt;&lt;D xsi:type="xsd:double"&gt;55.75&lt;/D&gt;&lt;D xsi:type="xsd:double"&gt;56.63&lt;/D&gt;&lt;D xsi:type="xsd:double"&gt;56.18&lt;/D&gt;&lt;D xsi:type="xsd:double"&gt;57.15&lt;/D&gt;&lt;D xsi:type="xsd:double"&gt;57.09&lt;/D&gt;&lt;D xsi:type="xsd:double"&gt;57.36&lt;/D&gt;&lt;D xsi:type="xsd:double"&gt;57.16&lt;/D&gt;&lt;D xsi:type="xsd:double"&gt;57.07&lt;/D&gt;&lt;D xsi:type="xsd:double"&gt;56.89&lt;/D&gt;&lt;D xsi:type="xsd:double"&gt;56.74&lt;/D&gt;&lt;D xsi:type="xsd:double"&gt;56.85&lt;/D&gt;&lt;D xsi:type="xsd:double"&gt;56.63&lt;/D&gt;&lt;D xsi:type="xsd:double"&gt;56.66&lt;/D&gt;&lt;D xsi:type="xsd:double"&gt;56.41&lt;/D&gt;&lt;D xsi:type="xsd:double"&gt;56.17&lt;/D&gt;&lt;D xsi:type="xsd:double"&gt;56.18&lt;/D&gt;&lt;D xsi:type="xsd:double"&gt;55.78&lt;/D&gt;&lt;D xsi:type="xsd:double"&gt;55.8&lt;/D&gt;&lt;D xsi:type="xsd:double"&gt;55.22&lt;/D&gt;&lt;D xsi:type="xsd:double"&gt;55.18&lt;/D&gt;&lt;D xsi:type="xsd:double"&gt;55.13&lt;/D&gt;&lt;D xsi:type="xsd:double"&gt;54.69&lt;/D&gt;&lt;D xsi:type="xsd:double"&gt;54.95&lt;/D&gt;&lt;D xsi:type="xsd:double"&gt;55.51&lt;/D&gt;&lt;D xsi:type="xsd:double"&gt;55.25&lt;/D&gt;&lt;D xsi:type="xsd:double"&gt;55.17&lt;/D&gt;&lt;D xsi:type="xsd:double"&gt;54.6&lt;/D&gt;&lt;D xsi:type="xsd:double"&gt;54.67&lt;/D&gt;&lt;D xsi:type="xsd:double"&gt;54.26&lt;/D&gt;&lt;D xsi:type="xsd:double"&gt;54.15&lt;/D&gt;&lt;D xsi:type="xsd:double"&gt;53.99&lt;/D&gt;&lt;D xsi:type="xsd:double"&gt;53.36&lt;/D&gt;&lt;D xsi:type="xsd:double"&gt;53.12&lt;/D&gt;&lt;D xsi:type="xsd:double"&gt;51.46&lt;/D&gt;&lt;D xsi:type="xsd:double"&gt;54.8&lt;/D&gt;&lt;D xsi:type="xsd:double"&gt;53.01&lt;/D&gt;&lt;D xsi:type="xsd:double"&gt;53.03&lt;/D&gt;&lt;D xsi:type="xsd:double"&gt;53.28&lt;/D&gt;&lt;D xsi:type="xsd:double"&gt;53.56&lt;/D&gt;&lt;D xsi:type="xsd:double"&gt;54.07&lt;/D&gt;&lt;D xsi:type="xsd:double"&gt;53.81&lt;/D&gt;&lt;D xsi:type="xsd:double"&gt;53.29&lt;/D&gt;&lt;D xsi:type="xsd:double"&gt;53.21&lt;/D&gt;&lt;D xsi:type="xsd:double"&gt;53.12&lt;/D&gt;&lt;D xsi:type="xsd:double"&gt;52.97&lt;/D&gt;&lt;D xsi:type="xsd:double"&gt;52.53&lt;/D&gt;&lt;D xsi:type="xsd:double"&gt;52.33&lt;/D&gt;&lt;D xsi:type="xsd:double"&gt;52.15&lt;/D&gt;&lt;D xsi:type="xsd:double"&gt;51.72&lt;/D&gt;&lt;D xsi:type="xsd:double"&gt;51.37&lt;/D&gt;&lt;D xsi:type="xsd:double"&gt;51.57&lt;/D&gt;&lt;D xsi:type="xsd:double"&gt;52.02&lt;/D&gt;&lt;D xsi:type="xsd:double"&gt;51.91&lt;/D&gt;&lt;D xsi:type="xsd:double"&gt;52.37&lt;/D&gt;&lt;D xsi:type="xsd:double"&gt;52.73&lt;/D&gt;&lt;D xsi:type="xsd:double"&gt;52.98&lt;/D&gt;&lt;D xsi:type="xsd:double"&gt;52.41&lt;/D&gt;&lt;D xsi:type="xsd:double"&gt;52.35&lt;/D&gt;&lt;D xsi:type="xsd:double"&gt;52.53&lt;/D&gt;&lt;D xsi:type="xsd:double"&gt;52.32&lt;/D&gt;&lt;D xsi:type="xsd:double"&gt;52.29&lt;/D&gt;&lt;D xsi:type="xsd:double"&gt;52.01&lt;/D&gt;&lt;D xsi:type="xsd:double"&gt;52.01&lt;/D&gt;&lt;D xsi:type="xsd:double"&gt;51.89&lt;/D&gt;&lt;D xsi:type="xsd:double"&gt;51.33&lt;/D&gt;&lt;D xsi:type="xsd:double"&gt;51.07&lt;/D&gt;&lt;D xsi:type="xsd:double"&gt;50.97&lt;/D&gt;&lt;D xsi:type="xsd:double"&gt;51.15&lt;/D&gt;&lt;D xsi:type="xsd:double"&gt;51.26&lt;/D&gt;&lt;D xsi:type="xsd:double"&gt;51.67&lt;/D&gt;&lt;D xsi:type="xsd:double"&gt;52.35&lt;/D&gt;&lt;D xsi:type="xsd:double"&gt;52.22&lt;/D&gt;&lt;D xsi:type="xsd:double"&gt;52.42&lt;/D&gt;&lt;D xsi:type="xsd:double"&gt;52.38&lt;/D&gt;&lt;D xsi:type="xsd:double"&gt;52.02&lt;/D&gt;&lt;D xsi:type="xsd:double"&gt;51.57&lt;/D&gt;&lt;D xsi:type="xsd:double"&gt;51.68&lt;/D&gt;&lt;D xsi:type="xsd:double"&gt;51.57&lt;/D&gt;&lt;D xsi:type="xsd:double"&gt;51.49&lt;/D&gt;&lt;D xsi:type="xsd:double"&gt;51.59&lt;/D&gt;&lt;D xsi:type="xsd:double"&gt;51.09&lt;/D&gt;&lt;D xsi:type="xsd:double"&gt;50.76&lt;/D&gt;&lt;D xsi:type="xsd:double"&gt;50.54&lt;/D&gt;&lt;D xsi:type="xsd:double"&gt;50.49&lt;/D&gt;&lt;D xsi:type="xsd:double"&gt;50.53&lt;/D&gt;&lt;D xsi:type="xsd:double"&gt;50.42&lt;/D&gt;&lt;D xsi:type="xsd:double"&gt;50.14&lt;/D&gt;&lt;D xsi:type="xsd:double"&gt;50.7&lt;/D&gt;&lt;D xsi:type="xsd:double"&gt;50.52&lt;/D&gt;&lt;D xsi:type="xsd:double"&gt;50.71&lt;/D&gt;&lt;D xsi:type="xsd:double"&gt;50.43&lt;/D&gt;&lt;D xsi:type="xsd:double"&gt;51.69&lt;/D&gt;&lt;D xsi:type="xsd:double"&gt;51.9&lt;/D&gt;&lt;D xsi:type="xsd:double"&gt;52.28&lt;/D&gt;&lt;D xsi:type="xsd:double"&gt;52.29&lt;/D&gt;&lt;D xsi:type="xsd:double"&gt;52.11&lt;/D&gt;&lt;D xsi:type="xsd:double"&gt;51.72&lt;/D&gt;&lt;D xsi:type="xsd:double"&gt;51.91&lt;/D&gt;&lt;D xsi:type="xsd:double"&gt;51.92&lt;/D&gt;&lt;D xsi:type="xsd:double"&gt;51.16&lt;/D&gt;&lt;D xsi:type="xsd:double"&gt;51.06&lt;/D&gt;&lt;D xsi:type="xsd:double"&gt;51.625&lt;/D&gt;&lt;D xsi:type="xsd:double"&gt;51.56&lt;/D&gt;&lt;D xsi:type="xsd:double"&gt;51.8&lt;/D&gt;&lt;D xsi:type="xsd:double"&gt;51.73&lt;/D&gt;&lt;D xsi:type="xsd:double"&gt;51.18&lt;/D&gt;&lt;D xsi:type="xsd:double"&gt;51.56&lt;/D&gt;&lt;D xsi:type="xsd:double"&gt;51.2&lt;/D&gt;&lt;D xsi:type="xsd:double"&gt;51.08&lt;/D&gt;&lt;D xsi:type="xsd:double"&gt;50.81&lt;/D&gt;&lt;D xsi:type="xsd:double"&gt;49.97&lt;/D&gt;&lt;D xsi:type="xsd:double"&gt;50.28&lt;/D&gt;&lt;D xsi:type="xsd:double"&gt;50.72&lt;/D&gt;&lt;D xsi:type="xsd:double"&gt;50.5&lt;/D&gt;&lt;D xsi:type="xsd:double"&gt;50.89&lt;/D&gt;&lt;D xsi:type="xsd:double"&gt;50.78&lt;/D&gt;&lt;D xsi:type="xsd:double"&gt;50.11&lt;/D&gt;&lt;D xsi:type="xsd:double"&gt;50.375&lt;/D&gt;&lt;D xsi:type="xsd:double"&gt;50.23&lt;/D&gt;&lt;D xsi:type="xsd:double"&gt;49.89&lt;/D&gt;&lt;D xsi:type="xsd:double"&gt;49.52&lt;/D&gt;&lt;D xsi:type="xsd:double"&gt;49.98&lt;/D&gt;&lt;D xsi:type="xsd:double"&gt;49.19&lt;/D&gt;&lt;D xsi:type="xsd:double"&gt;49.11&lt;/D&gt;&lt;D xsi:type="xsd:double"&gt;49.2&lt;/D&gt;&lt;D xsi:type="xsd:double"&gt;48.68&lt;/D&gt;&lt;D xsi:type="xsd:double"&gt;49.77&lt;/D&gt;&lt;D xsi:type="xsd:double"&gt;49.59&lt;/D&gt;&lt;D xsi:type="xsd:double"&gt;49.08&lt;/D&gt;&lt;D xsi:type="xsd:double"&gt;48.83&lt;/D&gt;&lt;D xsi:type="xsd:double"&gt;49.4&lt;/D&gt;&lt;D xsi:type="xsd:double"&gt;49.96&lt;/D&gt;&lt;D xsi:type="xsd:double"&gt;49.19&lt;/D&gt;&lt;D xsi:type="xsd:double"&gt;49.15&lt;/D&gt;&lt;D xsi:type="xsd:double"&gt;48.85&lt;/D&gt;&lt;D xsi:type="xsd:double"&gt;49.09&lt;/D&gt;&lt;D xsi:type="xsd:double"&gt;49.09&lt;/D&gt;&lt;D xsi:type="xsd:double"&gt;49.01&lt;/D&gt;&lt;D xsi:type="xsd:double"&gt;48.59&lt;/D&gt;&lt;D xsi:type="xsd:double"&gt;48.67&lt;/D&gt;&lt;D xsi:type="xsd:double"&gt;48.81&lt;/D&gt;&lt;D xsi:type="xsd:double"&gt;49.02&lt;/D&gt;&lt;D xsi:type="xsd:double"&gt;48.84&lt;/D&gt;&lt;D xsi:type="xsd:double"&gt;48.53&lt;/D&gt;&lt;D xsi:type="xsd:double"&gt;48.36&lt;/D&gt;&lt;D xsi:type="xsd:double"&gt;48.16&lt;/D&gt;&lt;D xsi:type="xsd:double"&gt;47.4&lt;/D&gt;&lt;D xsi:type="xsd:double"&gt;48.72&lt;/D&gt;&lt;D xsi:type="xsd:double"&gt;48.455&lt;/D&gt;&lt;D xsi:type="xsd:double"&gt;48.3&lt;/D&gt;&lt;D xsi:type="xsd:double"&gt;48.35&lt;/D&gt;&lt;D xsi:type="xsd:double"&gt;47.96&lt;/D&gt;&lt;D xsi:type="xsd:double"&gt;47.38&lt;/D&gt;&lt;D xsi:type="xsd:double"&gt;47.56&lt;/D&gt;&lt;D xsi:type="xsd:double"&gt;47.31&lt;/D&gt;&lt;D xsi:type="xsd:double"&gt;47.46&lt;/D&gt;&lt;D xsi:type="xsd:double"&gt;47.34&lt;/D&gt;&lt;D xsi:type="xsd:double"&gt;47.27&lt;/D&gt;&lt;D xsi:type="xsd:double"&gt;46.84&lt;/D&gt;&lt;D xsi:type="xsd:double"&gt;46.4&lt;/D&gt;&lt;D xsi:type="xsd:double"&gt;46.02&lt;/D&gt;&lt;D xsi:type="xsd:double"&gt;45.63&lt;/D&gt;&lt;D xsi:type="xsd:double"&gt;45.49&lt;/D&gt;&lt;D xsi:type="xsd:double"&gt;45.09&lt;/D&gt;&lt;D xsi:type="xsd:double"&gt;45.19&lt;/D&gt;&lt;D xsi:type="xsd:double"&gt;45.21&lt;/D&gt;&lt;D xsi:type="xsd:double"&gt;45.06&lt;/D&gt;&lt;D xsi:type="xsd:double"&gt;45.05&lt;/D&gt;&lt;D xsi:type="xsd:double"&gt;45.045&lt;/D&gt;&lt;D xsi:type="xsd:double"&gt;44.98&lt;/D&gt;&lt;D xsi:type="xsd:double"&gt;44.94&lt;/D&gt;&lt;D xsi:type="xsd:double"&gt;45.08&lt;/D&gt;&lt;D xsi:type="xsd:double"&gt;44.42&lt;/D&gt;&lt;D xsi:type="xsd:double"&gt;44.49&lt;/D&gt;&lt;D xsi:type="xsd:double"&gt;44.04&lt;/D&gt;&lt;D xsi:type="xsd:double"&gt;44.33&lt;/D&gt;&lt;D xsi:type="xsd:double"&gt;44.21&lt;/D&gt;&lt;D xsi:type="xsd:double"&gt;44.19&lt;/D&gt;&lt;D xsi:type="xsd:double"&gt;44.15&lt;/D&gt;&lt;D xsi:type="xsd:double"&gt;43.83&lt;/D&gt;&lt;D xsi:type="xsd:double"&gt;43.4&lt;/D&gt;&lt;D xsi:type="xsd:double"&gt;43.24&lt;/D&gt;&lt;D xsi:type="xsd:double"&gt;43.33&lt;/D&gt;&lt;D xsi:type="xsd:double"&gt;42.96&lt;/D&gt;&lt;D xsi:type="xsd:double"&gt;42.73&lt;/D&gt;&lt;D xsi:type="xsd:double"&gt;43.25&lt;/D&gt;&lt;D xsi:type="xsd:double"&gt;43.75&lt;/D&gt;&lt;D xsi:type="xsd:double"&gt;43.62&lt;/D&gt;&lt;D xsi:type="xsd:double"&gt;43.98&lt;/D&gt;&lt;D xsi:type="xsd:double"&gt;44.33&lt;/D&gt;&lt;D xsi:type="xsd:double"&gt;44.22&lt;/D&gt;&lt;D xsi:type="xsd:double"&gt;44.77&lt;/D&gt;&lt;D xsi:type="xsd:double"&gt;44.76&lt;/D&gt;&lt;D xsi:type="xsd:double"&gt;44.46&lt;/D&gt;&lt;D xsi:type="xsd:double"&gt;44.32&lt;/D&gt;&lt;D xsi:type="xsd:double"&gt;44.68&lt;/D&gt;&lt;D xsi:type="xsd:double"&gt;44.59&lt;/D&gt;&lt;D xsi:type="xsd:double"&gt;44.09&lt;/D&gt;&lt;/FQL&gt;&lt;FQL&gt;&lt;Q&gt;FXI^PERCENT_CHANGE(FMA_EPS(+1,0,,,,"PORTAGG","MEAN"),FMA_EPS(+1,-1AM,,,,"PORTAGG","MEAN"))&lt;/Q&gt;&lt;R&gt;1&lt;/R&gt;&lt;C&gt;1&lt;/C&gt;&lt;D xsi:type="xsd:double"&gt;1.67285133080617&lt;/D&gt;&lt;/FQL&gt;&lt;FQL&gt;&lt;Q&gt;EMXC^FMA_COS_UP("EPS","1M",+1,0,,,"PORTAGG","MEANR")&lt;/Q&gt;&lt;R&gt;1&lt;/R&gt;&lt;C&gt;1&lt;/C&gt;&lt;D xsi:type="xsd:double"&gt;264&lt;/D&gt;&lt;/FQL&gt;&lt;FQL&gt;&lt;Q&gt;BTC00-USA^FG_PRICE(0)/MAX(FG_PRICE(0,-12AM,D))&lt;/Q&gt;&lt;R&gt;1&lt;/R&gt;&lt;C&gt;1&lt;/C&gt;&lt;D xsi:type="xsd:double"&gt;0.930460664276534&lt;/D&gt;&lt;/FQL&gt;&lt;FQL&gt;&lt;Q&gt;FXI^FMA_PCT_ABOVE_MAVG(200,0,,,,"PORTAGG")&lt;/Q&gt;&lt;R&gt;1&lt;/R&gt;&lt;C&gt;1&lt;/C&gt;&lt;D xsi:type="xsd:double"&gt;56.8627450980392&lt;/D&gt;&lt;/FQL&gt;&lt;FQL&gt;&lt;Q&gt;ENZL^FG_COMPANY_NAME&lt;/Q&gt;&lt;R&gt;1&lt;/R&gt;&lt;C&gt;1&lt;/C&gt;&lt;D xsi:type="xsd:string"&gt;iShares MSCI New Zealand ETF&lt;/D&gt;&lt;/FQL&gt;&lt;FQL&gt;&lt;Q&gt;TLT^P_PRICE(0)/P_PRICE_HIGH_PR(0,,,USD,,,"PRICE","INTRA","52W")&lt;/Q&gt;&lt;R&gt;1&lt;/R&gt;&lt;C&gt;1&lt;/C&gt;&lt;D xsi:type="xsd:double"&gt;0.9213772&lt;/D&gt;&lt;/FQL&gt;&lt;FQL&gt;&lt;Q&gt;GLD^FG_PRICE(0,-200D)&lt;/Q&gt;&lt;R&gt;201&lt;/R&gt;&lt;C&gt;1&lt;/C&gt;&lt;D xsi:type="xsd:double"&gt;220.63&lt;/D&gt;&lt;D xsi:type="xsd:double"&gt;218.33&lt;/D&gt;&lt;D xsi:type="xsd:double"&gt;221.8&lt;/D&gt;&lt;D xsi:type="xsd:double"&gt;222.58&lt;/D&gt;&lt;D xsi:type="xsd:double"&gt;221.8&lt;/D&gt;&lt;D xsi:type="xsd:double"&gt;221.73&lt;/D&gt;&lt;D xsi:type="xsd:double"&gt;225.78&lt;/D&gt;&lt;D xsi:type="xsd:double"&gt;227.23&lt;/D&gt;&lt;D xsi:type="xsd:double"&gt;228.29&lt;/D&gt;&lt;D xsi:type="xsd:double"&gt;223.83&lt;/D&gt;&lt;D xsi:type="xsd:double"&gt;223.11&lt;/D&gt;&lt;D xsi:type="xsd:double"&gt;223.25&lt;/D&gt;&lt;D xsi:type="xsd:double"&gt;219.36&lt;/D&gt;&lt;D xsi:type="xsd:double"&gt;218.56&lt;/D&gt;&lt;D xsi:type="xsd:double"&gt;218.19&lt;/D&gt;&lt;D xsi:type="xsd:double"&gt;220.93&lt;/D&gt;&lt;D xsi:type="xsd:double"&gt;217.99&lt;/D&gt;&lt;D xsi:type="xsd:double"&gt;215.56&lt;/D&gt;&lt;D xsi:type="xsd:double"&gt;215.57&lt;/D&gt;&lt;D xsi:type="xsd:double"&gt;215.01&lt;/D&gt;&lt;D xsi:type="xsd:double"&gt;214.99&lt;/D&gt;&lt;D xsi:type="xsd:double"&gt;212.58&lt;/D&gt;&lt;D xsi:type="xsd:double"&gt;214.56&lt;/D&gt;&lt;D xsi:type="xsd:double"&gt;215.63&lt;/D&gt;&lt;D xsi:type="xsd:double"&gt;214.78&lt;/D&gt;&lt;D xsi:type="xsd:double"&gt;218.16&lt;/D&gt;&lt;D xsi:type="xsd:double"&gt;215.47&lt;/D&gt;&lt;D xsi:type="xsd:double"&gt;214.61&lt;/D&gt;&lt;D xsi:type="xsd:double"&gt;215.73&lt;/D&gt;&lt;D xsi:type="xsd:double"&gt;212.97&lt;/D&gt;&lt;D xsi:type="xsd:double"&gt;214.72&lt;/D&gt;&lt;D xsi:type="xsd:double</t>
        </r>
      </text>
    </comment>
    <comment ref="A6" authorId="0" shapeId="0" xr:uid="{FF81DD87-C2A8-43BD-A037-3E4AD8072220}">
      <text>
        <r>
          <rPr>
            <b/>
            <sz val="9"/>
            <color indexed="81"/>
            <rFont val="Tahoma"/>
            <charset val="1"/>
          </rPr>
          <t>"&gt;214.15&lt;/D&gt;&lt;D xsi:type="xsd:double"&gt;213.54&lt;/D&gt;&lt;D xsi:type="xsd:double"&gt;211.6&lt;/D&gt;&lt;D xsi:type="xsd:double"&gt;219.43&lt;/D&gt;&lt;D xsi:type="xsd:double"&gt;217.82&lt;/D&gt;&lt;D xsi:type="xsd:double"&gt;215.27&lt;/D&gt;&lt;D xsi:type="xsd:double"&gt;217.22&lt;/D&gt;&lt;D xsi:type="xsd:double"&gt;215.3&lt;/D&gt;&lt;D xsi:type="xsd:double"&gt;216.57&lt;/D&gt;&lt;D xsi:type="xsd:double"&gt;216.16&lt;/D&gt;&lt;D xsi:type="xsd:double"&gt;218.19&lt;/D&gt;&lt;D xsi:type="xsd:double"&gt;215.92&lt;/D&gt;&lt;D xsi:type="xsd:double"&gt;215.72&lt;/D&gt;&lt;D xsi:type="xsd:double"&gt;220.11&lt;/D&gt;&lt;D xsi:type="xsd:double"&gt;224.23&lt;/D&gt;&lt;D xsi:type="xsd:double"&gt;224.56&lt;/D&gt;&lt;D xsi:type="xsd:double"&gt;223.66&lt;/D&gt;&lt;D xsi:type="xsd:double"&gt;220.03&lt;/D&gt;&lt;D xsi:type="xsd:double"&gt;220.89&lt;/D&gt;&lt;D xsi:type="xsd:double"&gt;218.09&lt;/D&gt;&lt;D xsi:type="xsd:double"&gt;216.26&lt;/D&gt;&lt;D xsi:type="xsd:double"&gt;218.71&lt;/D&gt;&lt;D xsi:type="xsd:double"&gt;216.95&lt;/D&gt;&lt;D xsi:type="xsd:double"&gt;213.58&lt;/D&gt;&lt;D xsi:type="xsd:double"&gt;214.21&lt;/D&gt;&lt;D xsi:type="xsd:double"&gt;215.2&lt;/D&gt;&lt;D xsi:type="xsd:double"&gt;212.96&lt;/D&gt;&lt;D xsi:type="xsd:double"&gt;213.13&lt;/D&gt;&lt;D xsi:type="xsd:double"&gt;213.79&lt;/D&gt;&lt;D xsi:type="xsd:double"&gt;211.87&lt;/D&gt;&lt;D xsi:type="xsd:double"&gt;216.18&lt;/D&gt;&lt;D xsi:type="xsd:double"&gt;216.62&lt;/D&gt;&lt;D xsi:type="xsd:double"&gt;215.92&lt;/D&gt;&lt;D xsi:type="xsd:double"&gt;214.64&lt;/D&gt;&lt;D xsi:type="xsd:double"&gt;215.04&lt;/D&gt;&lt;D xsi:type="xsd:double"&gt;215.57&lt;/D&gt;&lt;D xsi:type="xsd:double"&gt;221.03&lt;/D&gt;&lt;D xsi:type="xsd:double"&gt;220.34&lt;/D&gt;&lt;D xsi:type="xsd:double"&gt;219.59&lt;/D&gt;&lt;D xsi:type="xsd:double"&gt;221.22&lt;/D&gt;&lt;D xsi:type="xsd:double"&gt;220.95&lt;/D&gt;&lt;D xsi:type="xsd:double"&gt;216.89&lt;/D&gt;&lt;D xsi:type="xsd:double"&gt;219.8&lt;/D&gt;&lt;D xsi:type="xsd:double"&gt;215.61&lt;/D&gt;&lt;D xsi:type="xsd:double"&gt;217.67&lt;/D&gt;&lt;D xsi:type="xsd:double"&gt;216.48&lt;/D&gt;&lt;D xsi:type="xsd:double"&gt;215.14&lt;/D&gt;&lt;D xsi:type="xsd:double"&gt;211.52&lt;/D&gt;&lt;D xsi:type="xsd:double"&gt;212.74&lt;/D&gt;&lt;D xsi:type="xsd:double"&gt;210.89&lt;/D&gt;&lt;D xsi:type="xsd:double"&gt;207.82&lt;/D&gt;&lt;D xsi:type="xsd:double"&gt;205.72&lt;/D&gt;&lt;D xsi:type="xsd:double"&gt;203.1&lt;/D&gt;&lt;D xsi:type="xsd:double"&gt;201.64&lt;/D&gt;&lt;D xsi:type="xsd:double"&gt;200.99&lt;/D&gt;&lt;D xsi:type="xsd:double"&gt;200.35&lt;/D&gt;&lt;D xsi:type="xsd:double"&gt;201.97&lt;/D&gt;&lt;D xsi:type="xsd:double"&gt;202.18&lt;/D&gt;&lt;D xsi:type="xsd:double"&gt;199.8&lt;/D&gt;&lt;D xsi:type="xsd:double"&gt;200.03&lt;/D&gt;&lt;D xsi:type="xsd:double"&gt;199.71&lt;/D&gt;&lt;D xsi:type="xsd:double"&gt;200.35&lt;/D&gt;&lt;D xsi:type="xsd:double"&gt;201.19&lt;/D&gt;&lt;D xsi:type="xsd:double"&gt;199.79&lt;/D&gt;&lt;D xsi:type="xsd:double"&gt;202&lt;/D&gt;&lt;D xsi:type="xsd:double"&gt;201.63&lt;/D&gt;&lt;D xsi:type="xsd:double"&gt;199.94&lt;/D&gt;&lt;D xsi:type="xsd:double"&gt;198.81&lt;/D&gt;&lt;D xsi:type="xsd:double"&gt;197.19&lt;/D&gt;&lt;D xsi:type="xsd:double"&gt;196.01&lt;/D&gt;&lt;D xsi:type="xsd:double"&gt;192.89&lt;/D&gt;&lt;D xsi:type="xsd:double"&gt;189.31&lt;/D&gt;&lt;D xsi:type="xsd:double"&gt;188.34&lt;/D&gt;&lt;D xsi:type="xsd:double"&gt;188&lt;/D&gt;&lt;D xsi:type="xsd:double"&gt;188.2&lt;/D&gt;&lt;D xsi:type="xsd:double"&gt;188.62&lt;/D&gt;&lt;D xsi:type="xsd:double"&gt;187.56&lt;/D&gt;&lt;D xsi:type="xsd:double"&gt;187.48&lt;/D&gt;&lt;D xsi:type="xsd:double"&gt;187.47&lt;/D&gt;&lt;D xsi:type="xsd:double"&gt;186.34&lt;/D&gt;&lt;D xsi:type="xsd:double"&gt;185.66&lt;/D&gt;&lt;D xsi:type="xsd:double"&gt;184.42&lt;/D&gt;&lt;D xsi:type="xsd:double"&gt;184.53&lt;/D&gt;&lt;D xsi:type="xsd:double"&gt;187.11&lt;/D&gt;&lt;D xsi:type="xsd:double"&gt;187.6&lt;/D&gt;&lt;D xsi:type="xsd:double"&gt;188.33&lt;/D&gt;&lt;D xsi:type="xsd:double"&gt;188.5&lt;/D&gt;&lt;D xsi:type="xsd:double"&gt;188.55&lt;/D&gt;&lt;D xsi:type="xsd:double"&gt;187.57&lt;/D&gt;&lt;D xsi:type="xsd:double"&gt;188.61&lt;/D&gt;&lt;D xsi:type="xsd:double"&gt;190.41&lt;/D&gt;&lt;D xsi:type="xsd:double"&gt;188.45&lt;/D&gt;&lt;D xsi:type="xsd:double"&gt;188.59&lt;/D&gt;&lt;D xsi:type="xsd:double"&gt;188.33&lt;/D&gt;&lt;D xsi:type="xsd:double"&gt;187.01&lt;/D&gt;&lt;D xsi:type="xsd:double"&gt;187.14&lt;/D&gt;&lt;D xsi:type="xsd:double"&gt;186.4&lt;/D&gt;&lt;D xsi:type="xsd:double"&gt;187.95&lt;/D&gt;&lt;D xsi:type="xsd:double"&gt;187.22&lt;/D&gt;&lt;D xsi:type="xsd:double"&gt;187.93&lt;/D&gt;&lt;D xsi:type="xsd:double"&gt;187.37&lt;/D&gt;&lt;D xsi:type="xsd:double"&gt;185.84&lt;/D&gt;&lt;D xsi:type="xsd:double"&gt;187.91&lt;/D&gt;&lt;D xsi:type="xsd:double"&gt;189.71&lt;/D&gt;&lt;D xsi:type="xsd:double"&gt;187.87&lt;/D&gt;&lt;D xsi:type="xsd:double"&gt;187.5&lt;/D&gt;&lt;D xsi:type="xsd:double"&gt;187.93&lt;/D&gt;&lt;D xsi:type="xsd:double"&gt;187.87&lt;/D&gt;&lt;D xsi:type="xsd:double"&gt;189.35&lt;/D&gt;&lt;D xsi:type="xsd:double"&gt;189.32&lt;/D&gt;&lt;D xsi:type="xsd:double"&gt;189.13&lt;/D&gt;&lt;D xsi:type="xsd:double"&gt;190.72&lt;/D&gt;&lt;D xsi:type="xsd:double"&gt;191.17&lt;/D&gt;&lt;D xsi:type="xsd:double"&gt;191.47&lt;/D&gt;&lt;D xsi:type="xsd:double"&gt;192.59&lt;/D&gt;&lt;D xsi:type="xsd:double"&gt;191.72&lt;/D&gt;&lt;D xsi:type="xsd:double"&gt;190.27&lt;/D&gt;&lt;D xsi:type="xsd:double"&gt;189.43&lt;/D&gt;&lt;D xsi:type="xsd:double"&gt;188.1&lt;/D&gt;&lt;D xsi:type="xsd:double"&gt;189.13&lt;/D&gt;&lt;D xsi:type="xsd:double"&gt;187.85&lt;/D&gt;&lt;D xsi:type="xsd:double"&gt;187&lt;/D&gt;&lt;D xsi:type="xsd:double"&gt;188.73&lt;/D&gt;&lt;D xsi:type="xsd:double"&gt;187.63&lt;/D&gt;&lt;D xsi:type="xsd:double"&gt;183.49&lt;/D&gt;&lt;D xsi:type="xsd:double"&gt;183.59&lt;/D&gt;&lt;D xsi:type="xsd:double"&gt;185.64&lt;/D&gt;&lt;D xsi:type="xsd:double"&gt;188.15&lt;/D&gt;&lt;D xsi:type="xsd:double"&gt;187.84&lt;/D&gt;&lt;D xsi:type="xsd:double"&gt;187.15&lt;/D&gt;&lt;D xsi:type="xsd:double"&gt;187.86&lt;/D&gt;&lt;D xsi:type="xsd:double"&gt;192.01&lt;/D&gt;&lt;D xsi:type="xsd:double"&gt;188.75&lt;/D&gt;&lt;D xsi:type="xsd:double"&gt;189.54&lt;/D&gt;&lt;D xsi:type="xsd:double"&gt;189.26&lt;/D&gt;&lt;D xsi:type="xsd:double"&gt;186.77&lt;/D&gt;&lt;D xsi:type="xsd:double"&gt;185.52&lt;/D&gt;&lt;D xsi:type="xsd:double"&gt;184.56&lt;/D&gt;&lt;D xsi:type="xsd:double"&gt;185.35&lt;/D&gt;&lt;D xsi:type="xsd:double"&gt;183.37&lt;/D&gt;&lt;D xsi:type="xsd:double"&gt;183.67&lt;/D&gt;&lt;D xsi:type="xsd:double"&gt;183.69&lt;/D&gt;&lt;D xsi:type="xsd:double"&gt;181.64&lt;/D&gt;&lt;D xsi:type="xsd:double"&gt;182.12&lt;/D&gt;&lt;D xsi:type="xsd:double"&gt;180.51&lt;/D&gt;&lt;D xsi:type="xsd:double"&gt;179.51&lt;/D&gt;&lt;D xsi:type="xsd:double"&gt;181.49&lt;/D&gt;&lt;D xsi:type="xsd:double"&gt;180.77&lt;/D&gt;&lt;D xsi:type="xsd:double"&gt;182.59&lt;/D&gt;&lt;D xsi:type="xsd:double"&gt;183.35&lt;/D&gt;&lt;D xsi:type="xsd:double"&gt;184.79&lt;/D&gt;&lt;D xsi:type="xsd:double"&gt;184.12&lt;/D&gt;&lt;D xsi:type="xsd:double"&gt;183.51&lt;/D&gt;&lt;D xsi:type="xsd:double"&gt;184.09&lt;/D&gt;&lt;D xsi:type="xsd:double"&gt;185.1&lt;/D&gt;&lt;D xsi:type="xsd:double"&gt;186.15&lt;/D&gt;&lt;D xsi:type="xsd:double"&gt;184.01&lt;/D&gt;&lt;D xsi:type="xsd:double"&gt;183.72&lt;/D&gt;&lt;D xsi:type="xsd:double"&gt;182.95&lt;/D&gt;&lt;D xsi:type="xsd:double"&gt;182.97&lt;/D&gt;&lt;D xsi:type="xsd:double"&gt;183.59&lt;/D&gt;&lt;D xsi:type="xsd:double"&gt;183.09&lt;/D&gt;&lt;D xsi:type="xsd:double"&gt;180.87&lt;/D&gt;&lt;D xsi:type="xsd:double"&gt;178.29&lt;/D&gt;&lt;D xsi:type="xsd:double"&gt;177.96&lt;/D&gt;&lt;D xsi:type="xsd:double"&gt;178.83&lt;/D&gt;&lt;D xsi:type="xsd:double"&gt;173.26&lt;/D&gt;&lt;D xsi:type="xsd:double"&gt;173.79&lt;/D&gt;&lt;D xsi:type="xsd:double"&gt;172.53&lt;/D&gt;&lt;D xsi:type="xsd:double"&gt;172.82&lt;/D&gt;&lt;/FQL&gt;&lt;FQL&gt;&lt;Q&gt;VGK^P_PRICE(-1AM)/P_PRICE_HIGH_PR(-1AM,,,,,,"PRICE","INTRA","52W")&lt;/Q&gt;&lt;R&gt;1&lt;/R&gt;&lt;C&gt;1&lt;/C&gt;&lt;D xsi:type="xsd:double"&gt;0.94701093&lt;/D&gt;&lt;/FQL&gt;&lt;FQL&gt;&lt;Q&gt;VWO^FMA_DIV_YLD(NTMA,NOW,NOW,M,"PORTAGG","MEANR")&lt;/Q&gt;&lt;R&gt;1&lt;/R&gt;&lt;C&gt;1&lt;/C&gt;&lt;D xsi:type="xsd:double"&gt;4.15554678031482&lt;/D&gt;&lt;/FQL&gt;&lt;FQL&gt;&lt;Q&gt;QQQ^FMA_PCT_ABOVE_MAVG(200,0,,,,"PORTAGG")&lt;/Q&gt;&lt;R&gt;1&lt;/R&gt;&lt;C&gt;1&lt;/C&gt;&lt;D xsi:type="xsd:double"&gt;63.7254901960784&lt;/D&gt;&lt;/FQL&gt;&lt;FQL&gt;&lt;Q&gt;EMXC^PERCENT_CHANGE(FMA_EPS(+1,0,,,,"PORTAGG","MEAN"),FMA_EPS(+1,-3AM,,,,"PORTAGG","MEAN"))&lt;/Q&gt;&lt;R&gt;1&lt;/R&gt;&lt;C&gt;1&lt;/C&gt;&lt;D xsi:type="xsd:double"&gt;-1.03293557643491&lt;/D&gt;&lt;/FQL&gt;&lt;FQL&gt;&lt;Q&gt;EWJ^FG_FCF_YIELD_NTM(0)&lt;/Q&gt;&lt;R&gt;1&lt;/R&gt;&lt;C&gt;1&lt;/C&gt;&lt;D xsi:type="xsd:double"&gt;3.89773188028289&lt;/D&gt;&lt;/FQL&gt;&lt;FQL&gt;&lt;Q&gt;USO^FG_TOTAL_RETURNC(0,-6AM)&lt;/Q&gt;&lt;R&gt;1&lt;/R&gt;&lt;C&gt;1&lt;/C&gt;&lt;D xsi:type="xsd:double"&gt;4.1176558&lt;/D&gt;&lt;/FQL&gt;&lt;FQL&gt;&lt;Q&gt;EWQ^SIZE(FG_CONSTITUENTS)&lt;/Q&gt;&lt;R&gt;1&lt;/R&gt;&lt;C&gt;1&lt;/C&gt;&lt;D xsi:type="xsd:long"&gt;63&lt;/D&gt;&lt;/FQL&gt;&lt;FQL&gt;&lt;Q&gt;VGK^FG_TOTAL_RETURNC(-1AM,-2AM)&lt;/Q&gt;&lt;R&gt;1&lt;/R&gt;&lt;C&gt;1&lt;/C&gt;&lt;D xsi:type="xsd:double"&gt;-2.524811&lt;/D&gt;&lt;/FQL&gt;&lt;FQL&gt;&lt;Q&gt;URTH^FG_TOTAL_RETURNC(0,-6AM)&lt;/Q&gt;&lt;R&gt;1&lt;/R&gt;&lt;C&gt;1&lt;/C&gt;&lt;D xsi:type="xsd:double"&gt;10.562611&lt;/D&gt;&lt;/FQL&gt;&lt;FQL&gt;&lt;Q&gt;INDA^PERCENT_CHANGE(FMA_EPS(+1,0,,,,"PORTAGG","MEAN"),FMA_EPS(+1,-1AM,,,,"PORTAGG","MEAN"))&lt;/Q&gt;&lt;R&gt;1&lt;/R&gt;&lt;C&gt;1&lt;/C&gt;&lt;D xsi:type="xsd:double"&gt;-2.14070552983498&lt;/D&gt;&lt;/FQL&gt;&lt;FQL&gt;&lt;Q&gt;EWQ^FMA_COS_DOWN("EPS","1M",+1,0,,,"PORTAGG","MEANR")&lt;/Q&gt;&lt;R&gt;1&lt;/R&gt;&lt;C&gt;1&lt;/C&gt;&lt;D xsi:type="xsd:double"&gt;37&lt;/D&gt;&lt;/FQL&gt;&lt;FQL&gt;&lt;Q&gt;DBC^FG_TOTAL_RETURNC(0,-1AM)&lt;/Q&gt;&lt;R&gt;1&lt;/R&gt;&lt;C&gt;1&lt;/C&gt;&lt;D xsi:type="xsd:double"&gt;-4.1792274&lt;/D&gt;&lt;/FQL&gt;&lt;FQL&gt;&lt;Q&gt;EWN^FMA_PCT_ABOVE_MAVG(200,0,,,,"PORTAGG")&lt;/Q&gt;&lt;R&gt;1&lt;/R&gt;&lt;C&gt;1&lt;/C&gt;&lt;D xsi:type="xsd:double"&gt;58.4905660377358&lt;/D&gt;&lt;/FQL&gt;&lt;FQL&gt;&lt;Q&gt;URTH^FG_TOTAL_RETURNC(0,-3AM)&lt;/Q&gt;&lt;R&gt;1&lt;/R&gt;&lt;C&gt;1&lt;/C&gt;&lt;D xsi:type="xsd:double"&gt;6.0631514&lt;/D&gt;&lt;/FQL&gt;&lt;FQL&gt;&lt;Q&gt;TLT^FG_TOTAL_RETURNC(-1AM,-2AM)&lt;/Q&gt;&lt;R&gt;1&lt;/R&gt;&lt;C&gt;1&lt;/C&gt;&lt;D xsi:type="xsd:double"&gt;2.2800565&lt;/D&gt;&lt;/FQL&gt;&lt;FQL&gt;&lt;Q&gt;EWQ^PERCENT_CHANGE(FMA_EPS(+1,0,,,,"PORTAGG","MEAN"),FMA_EPS(+1,-3AM,,,,"PORTAGG","MEAN"))&lt;/Q&gt;&lt;R&gt;1&lt;/R&gt;&lt;C&gt;1&lt;/C&gt;&lt;D xsi:type="xsd:double"&gt;-1.27728187207148&lt;/D&gt;&lt;/FQL&gt;&lt;FQL&gt;&lt;Q&gt;VWO^FG_TOTAL_RETURNC(0,-1AM)&lt;/Q&gt;&lt;R&gt;1&lt;/R&gt;&lt;C&gt;1&lt;/C&gt;&lt;D xsi:type="xsd:double"&gt;0.11450052&lt;/D&gt;&lt;/FQL&gt;&lt;FQL&gt;&lt;Q&gt;USO^P_PRICE(-1AM)/P_PRICE_HIGH_PR(-1AM,,,,,,"PRICE","INTRA","52W")&lt;/Q&gt;&lt;R&gt;1&lt;/R&gt;&lt;C&gt;1&lt;/C&gt;&lt;D xsi:type="xsd:double"&gt;0.9441314&lt;/D&gt;&lt;/FQL&gt;&lt;FQL&gt;&lt;Q&gt;EWQ^PERCENT_CHANGE(FMA_EPS(+1,0,,,,"PORTAGG","MEAN"),FMA_EPS(+1,-1AM,,,,"PORTAGG","MEAN"))&lt;/Q&gt;&lt;R&gt;1&lt;/R&gt;&lt;C&gt;1&lt;/C&gt;&lt;D xsi:type="xsd:double"&gt;-0.0537371048478806&lt;/D&gt;&lt;/FQL&gt;&lt;FQL&gt;&lt;Q&gt;EWU^SIZE(FG_CONSTITUENTS)&lt;/Q&gt;&lt;R&gt;1&lt;/R&gt;&lt;C&gt;1&lt;/C&gt;&lt;D xsi:type="xsd:long"&gt;81&lt;/D&gt;&lt;/FQL&gt;&lt;FQL&gt;&lt;Q&gt;USO^FG_TOTAL_RETURNC(-1AM,-7AM)&lt;/Q&gt;&lt;R&gt;1&lt;/R&gt;&lt;C&gt;1&lt;/C&gt;&lt;D xsi:type="xsd:double"&gt;12.163507&lt;/D&gt;&lt;/FQL&gt;&lt;FQL&gt;&lt;Q&gt;BIGPX^FG_COMPANY_NAME&lt;/Q&gt;&lt;R&gt;1&lt;/R&gt;&lt;C&gt;1&lt;/C&gt;&lt;D xsi:type="xsd:string"&gt;BlackRock 60/40 Target Allocation Fund, Institutional&lt;/D&gt;&lt;/FQL&gt;&lt;FQL&gt;&lt;Q&gt;EWQ^FMA_PCT_ABOVE_MAVG(200,0,,,,"PORTAGG")&lt;/Q&gt;&lt;R&gt;1&lt;/R&gt;&lt;C&gt;1&lt;/C&gt;&lt;D xsi:type="xsd:double"&gt;45.1612903225806&lt;/D&gt;&lt;/FQL&gt;&lt;FQL&gt;&lt;Q&gt;EWU^FMA_COS_DOWN("EPS","1M",+1,0,,,"PORTAGG","MEANR")&lt;/Q&gt;&lt;R&gt;1&lt;/R&gt;&lt;C&gt;1&lt;/C&gt;&lt;D xsi:type="xsd:double"&gt;45&lt;/D&gt;&lt;/FQL&gt;&lt;FQL&gt;&lt;Q&gt;SPY^P_PRICE(-1AM)/P_PRICE_HIGH_PR(-1AM,,,,,,"PRICE","INTRA","52W")&lt;/Q&gt;&lt;R&gt;1&lt;/R&gt;&lt;C&gt;1&lt;/C&gt;&lt;D xsi:type="xsd:double"&gt;0.99162006&lt;/D&gt;&lt;/FQL&gt;&lt;FQL&gt;&lt;Q&gt;BTC00-USA^FG_COMPANY_NAME&lt;/Q&gt;&lt;R&gt;1&lt;/R&gt;&lt;C&gt;1&lt;/C&gt;&lt;D xsi:type="xsd:string"&gt;Bitcoin (CME) Continuous&lt;/D&gt;&lt;/FQL&gt;&lt;FQL&gt;&lt;Q&gt;EWU^FMA_COS_UP("EPS","1M",+1,0,,,"PORTAGG","MEANR")&lt;/Q&gt;&lt;R&gt;1&lt;/R&gt;&lt;C&gt;1&lt;/C&gt;&lt;D xsi:type="xsd:double"&gt;22&lt;/D&gt;&lt;/FQL&gt;&lt;FQL&gt;&lt;Q&gt;SPY^FG_TOTAL_RETURNC(-1AM,-7AM)&lt;/Q&gt;&lt;R&gt;1&lt;/R&gt;&lt;C&gt;1&lt;/C&gt;&lt;D xsi:type="xsd:double"&gt;15.417719&lt;/D&gt;&lt;/FQL&gt;&lt;FQL&gt;&lt;Q&gt;VWO^FG_TOTAL_RETURNC(-1AM,-7AM)&lt;/Q&gt;&lt;R&gt;1&lt;/R&gt;&lt;C&gt;1&lt;/C&gt;&lt;D xsi:type="xsd:double"&gt;8.291912&lt;/D&gt;&lt;/FQL&gt;&lt;FQL&gt;&lt;Q&gt;EWU^PERCENT_CHANGE(FMA_EPS(+1,0,,,,"PORTAGG","MEAN"),FMA_EPS(+1,-3AM,,,,"PORTAGG","MEAN"))&lt;/Q&gt;&lt;R&gt;1&lt;/R&gt;&lt;C&gt;1&lt;/C&gt;&lt;D xsi:type="xsd:double"&gt;-0.0135858940419601&lt;/D&gt;&lt;/FQL&gt;&lt;FQL&gt;&lt;Q&gt;USO^FG_COMPANY_NAME&lt;/Q&gt;&lt;R&gt;1&lt;/R&gt;&lt;C&gt;1&lt;/C&gt;&lt;D xsi:type="xsd:string"&gt;United States Oil Fund LP&lt;/D&gt;&lt;/FQL&gt;&lt;/Schema&gt;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tc={B86B2533-796E-4B04-AD10-21967D8FEA6B}</author>
  </authors>
  <commentList>
    <comment ref="G19" authorId="0" shapeId="0" xr:uid="{B86B2533-796E-4B04-AD10-21967D8FEA6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Formula needs to be changed later
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<sst xmlns="http://schemas.openxmlformats.org/spreadsheetml/2006/main" count="302" uniqueCount="121">
  <si>
    <t>ETF name</t>
  </si>
  <si>
    <t>SPY</t>
  </si>
  <si>
    <t>3 month return</t>
  </si>
  <si>
    <t>6 month return</t>
  </si>
  <si>
    <t>VWO</t>
  </si>
  <si>
    <t>Price / 52 week high</t>
  </si>
  <si>
    <t>EWG</t>
  </si>
  <si>
    <t>This sheet contains FactSet XML data for use with this workbook's =FDS codes.  Modifying the worksheet's contents may damage the workbook's =FDS functionality.</t>
  </si>
  <si>
    <t>Number of companies with downward revisions (1 month)</t>
  </si>
  <si>
    <t>INDA</t>
  </si>
  <si>
    <t>EWL</t>
  </si>
  <si>
    <t>EWA</t>
  </si>
  <si>
    <t>EWJ</t>
  </si>
  <si>
    <t>EWU</t>
  </si>
  <si>
    <t>EWC</t>
  </si>
  <si>
    <t>QQQ</t>
  </si>
  <si>
    <t>Upgardes</t>
  </si>
  <si>
    <t xml:space="preserve">Number of companies </t>
  </si>
  <si>
    <t>% of Fund/Index above moving average</t>
  </si>
  <si>
    <t>Downgrades</t>
  </si>
  <si>
    <t>Breadth</t>
  </si>
  <si>
    <t>6 month rank</t>
  </si>
  <si>
    <t>12 month return</t>
  </si>
  <si>
    <t>Index breadth</t>
  </si>
  <si>
    <t>upgardes %</t>
  </si>
  <si>
    <t>U/D</t>
  </si>
  <si>
    <t>Score</t>
  </si>
  <si>
    <t>Diffusiion</t>
  </si>
  <si>
    <t>US</t>
  </si>
  <si>
    <t>CC_JP</t>
  </si>
  <si>
    <t>CC_US</t>
  </si>
  <si>
    <t>Europe</t>
  </si>
  <si>
    <t xml:space="preserve"> 1 month revison</t>
  </si>
  <si>
    <t>3 month revsion</t>
  </si>
  <si>
    <t>Rev 1 month</t>
  </si>
  <si>
    <t>Rev 3 month</t>
  </si>
  <si>
    <t>median</t>
  </si>
  <si>
    <t>ENZL</t>
  </si>
  <si>
    <t>Prioce / 52 week low</t>
  </si>
  <si>
    <t>Closeness - 52W- H</t>
  </si>
  <si>
    <t>Away-52W L</t>
  </si>
  <si>
    <t>Closeness - 52w L</t>
  </si>
  <si>
    <t>VGK</t>
  </si>
  <si>
    <t>COUNTRY</t>
  </si>
  <si>
    <t>China</t>
  </si>
  <si>
    <t>Japan</t>
  </si>
  <si>
    <t>United States</t>
  </si>
  <si>
    <t>EM</t>
  </si>
  <si>
    <t>Top down</t>
  </si>
  <si>
    <t>URTH</t>
  </si>
  <si>
    <t>World</t>
  </si>
  <si>
    <t>japan</t>
  </si>
  <si>
    <t>Mcap of Underlying</t>
  </si>
  <si>
    <t>No  comp. with upward revisions (1 month)</t>
  </si>
  <si>
    <t>Market_Cap Percentile</t>
  </si>
  <si>
    <t>EWD</t>
  </si>
  <si>
    <t>EWQ</t>
  </si>
  <si>
    <t>EWI</t>
  </si>
  <si>
    <t>EWN</t>
  </si>
  <si>
    <t>GLD</t>
  </si>
  <si>
    <t>UUP</t>
  </si>
  <si>
    <t>TLT</t>
  </si>
  <si>
    <t>Upgrades 1 month</t>
  </si>
  <si>
    <t>Downgrades 1 month</t>
  </si>
  <si>
    <t>FXI</t>
  </si>
  <si>
    <t>Clsoeness to 52 week</t>
  </si>
  <si>
    <t>1 month</t>
  </si>
  <si>
    <t>Closeness to 52 week</t>
  </si>
  <si>
    <t>rank</t>
  </si>
  <si>
    <t>USO</t>
  </si>
  <si>
    <t>EMXC</t>
  </si>
  <si>
    <t>Top Down</t>
  </si>
  <si>
    <t xml:space="preserve">Above 30 D </t>
  </si>
  <si>
    <t>Above 200D</t>
  </si>
  <si>
    <t>Above 30D</t>
  </si>
  <si>
    <t>Above 60 D</t>
  </si>
  <si>
    <t>12 month rank</t>
  </si>
  <si>
    <t>RTY</t>
  </si>
  <si>
    <t>IWM</t>
  </si>
  <si>
    <t>Current_Price</t>
  </si>
  <si>
    <t>30DMA</t>
  </si>
  <si>
    <t>60DMA</t>
  </si>
  <si>
    <t>200DMA</t>
  </si>
  <si>
    <t>CP/30DMA</t>
  </si>
  <si>
    <t>CP/60DMA</t>
  </si>
  <si>
    <t>CP/200DMA</t>
  </si>
  <si>
    <t>ETF</t>
  </si>
  <si>
    <t>India</t>
  </si>
  <si>
    <t>Growth in E</t>
  </si>
  <si>
    <t>PE trailing</t>
  </si>
  <si>
    <t>PE forward</t>
  </si>
  <si>
    <t>FCF yield</t>
  </si>
  <si>
    <t>CURRENT RATES</t>
  </si>
  <si>
    <t xml:space="preserve">VWO </t>
  </si>
  <si>
    <t>Relative ranking</t>
  </si>
  <si>
    <t>Table 1 : Equity relative to othr Assset Classes</t>
  </si>
  <si>
    <t>Table 3 : Equity Ranking :  Momnetum+ Breadth+ Upgrades</t>
  </si>
  <si>
    <t xml:space="preserve">Table 2 : Relative ranking </t>
  </si>
  <si>
    <t>Table 4 : Equity ETF - MA Signals</t>
  </si>
  <si>
    <t>Table 5 : Equity ETF - Upgrades</t>
  </si>
  <si>
    <t>Table 6 : Long Term forecasts ( above local rates )</t>
  </si>
  <si>
    <t>CC_CN</t>
  </si>
  <si>
    <t>CC_IN</t>
  </si>
  <si>
    <t>10Y Treasury</t>
  </si>
  <si>
    <t>TRYCN10Y-FDS</t>
  </si>
  <si>
    <t>TRYIN10Y-FDS</t>
  </si>
  <si>
    <t>TRYUS10Y-FDS</t>
  </si>
  <si>
    <t>ETF NAME</t>
  </si>
  <si>
    <t>Dividend Yield</t>
  </si>
  <si>
    <t>TRYJP10Y-FDS</t>
  </si>
  <si>
    <t>LONG TERM RETURN</t>
  </si>
  <si>
    <t>ABOVE RATES</t>
  </si>
  <si>
    <t>Growth</t>
  </si>
  <si>
    <t>FC0000IN</t>
  </si>
  <si>
    <t>FC0000CN</t>
  </si>
  <si>
    <t>FC0000JP</t>
  </si>
  <si>
    <t>BTC00-USA</t>
  </si>
  <si>
    <t>BIGPX</t>
  </si>
  <si>
    <t>Prev Month Ranking</t>
  </si>
  <si>
    <t>Current Ranking</t>
  </si>
  <si>
    <t>DBC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</si>
</sst>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* #,##0.00_);_(* \(#,##0.00\);_(* &quot;-&quot;??_);_(@_)"/>
    <numFmt numFmtId="165" formatCode="0.0"/>
    <numFmt numFmtId="166" formatCode="&quot;$&quot;#,##0.0_);\(&quot;$&quot;#,##0.0\);&quot;$&quot;#,##0.0_);@_)"/>
    <numFmt numFmtId="167" formatCode="0.0%_);\(0.0%\);0.0%_);@_)"/>
    <numFmt numFmtId="168" formatCode="0.0%"/>
    <numFmt numFmtId="169" formatCode="_(&quot;$&quot;* #,##0.00_);_(&quot;$&quot;* \(#,##0.00\);_(&quot;$&quot;* &quot;-&quot;??_);_(@_)"/>
    <numFmt numFmtId="170" formatCode="0.000000"/>
    <numFmt numFmtId="171" formatCode="0.000"/>
  </numFmts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50">
    <xf numFmtId="0" fontId="0" fillId="0" borderId="0"/>
    <xf numFmtId="9" fontId="2" fillId="0" borderId="0" applyFont="0" applyFill="0" applyBorder="0" applyAlignment="0" applyProtection="0"/>
    <xf numFmtId="0" fontId="7" fillId="0" borderId="0"/>
    <xf numFmtId="0" fontId="8" fillId="0" borderId="0"/>
    <xf numFmtId="0" fontId="12" fillId="0" borderId="0"/>
    <xf numFmtId="0" fontId="13" fillId="0" borderId="13"/>
    <xf numFmtId="0" fontId="14" fillId="0" borderId="13"/>
    <xf numFmtId="0" fontId="15" fillId="0" borderId="6"/>
    <xf numFmtId="0" fontId="15" fillId="0" borderId="0"/>
    <xf numFmtId="0" fontId="16" fillId="11" borderId="0"/>
    <xf numFmtId="0" fontId="17" fillId="12" borderId="0"/>
    <xf numFmtId="0" fontId="18" fillId="13" borderId="0"/>
    <xf numFmtId="0" fontId="19" fillId="9" borderId="12"/>
    <xf numFmtId="0" fontId="20" fillId="14" borderId="12"/>
    <xf numFmtId="0" fontId="21" fillId="14" borderId="12"/>
    <xf numFmtId="0" fontId="22" fillId="0" borderId="14"/>
    <xf numFmtId="0" fontId="9" fillId="15" borderId="15"/>
    <xf numFmtId="0" fontId="10" fillId="0" borderId="0"/>
    <xf numFmtId="0" fontId="7" fillId="10" borderId="12"/>
    <xf numFmtId="0" fontId="23" fillId="0" borderId="0"/>
    <xf numFmtId="0" fontId="6" fillId="0" borderId="16"/>
    <xf numFmtId="0" fontId="11" fillId="16" borderId="0"/>
    <xf numFmtId="0" fontId="7" fillId="17" borderId="0"/>
    <xf numFmtId="0" fontId="7" fillId="18" borderId="0"/>
    <xf numFmtId="0" fontId="11" fillId="19" borderId="0"/>
    <xf numFmtId="0" fontId="11" fillId="20" borderId="0"/>
    <xf numFmtId="0" fontId="7" fillId="6" borderId="0"/>
    <xf numFmtId="0" fontId="7" fillId="4" borderId="0"/>
    <xf numFmtId="0" fontId="11" fillId="21" borderId="0"/>
    <xf numFmtId="0" fontId="11" fillId="22" borderId="0"/>
    <xf numFmtId="0" fontId="7" fillId="23" borderId="0"/>
    <xf numFmtId="0" fontId="7" fillId="3" borderId="0"/>
    <xf numFmtId="0" fontId="11" fillId="24" borderId="0"/>
    <xf numFmtId="0" fontId="11" fillId="25" borderId="0"/>
    <xf numFmtId="0" fontId="7" fillId="26" borderId="0"/>
    <xf numFmtId="0" fontId="7" fillId="5" borderId="0"/>
    <xf numFmtId="0" fontId="11" fillId="27" borderId="0"/>
    <xf numFmtId="0" fontId="11" fillId="28" borderId="0"/>
    <xf numFmtId="0" fontId="7" fillId="7" borderId="0"/>
    <xf numFmtId="0" fontId="7" fillId="29" borderId="0"/>
    <xf numFmtId="0" fontId="11" fillId="30" borderId="0"/>
    <xf numFmtId="0" fontId="11" fillId="31" borderId="0"/>
    <xf numFmtId="0" fontId="7" fillId="32" borderId="0"/>
    <xf numFmtId="0" fontId="7" fillId="33" borderId="0"/>
    <xf numFmtId="0" fontId="11" fillId="8" borderId="0"/>
    <xf numFmtId="0" fontId="8" fillId="0" borderId="0"/>
    <xf numFmtId="0" fontId="8" fillId="0" borderId="0"/>
    <xf numFmtId="0" fontId="7" fillId="0" borderId="0"/>
    <xf numFmtId="0" fontId="5" fillId="0" borderId="0"/>
    <xf numFmtId="0" fontId="7" fillId="0" borderId="0" applyFill="0" applyProtection="0"/>
  </cellStyleXfs>
  <cellXfs count="70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1" fontId="0" fillId="0" borderId="0" xfId="0" applyNumberFormat="1"/>
    <xf numFmtId="9" fontId="0" fillId="0" borderId="0" xfId="0" applyNumberFormat="1"/>
    <xf numFmtId="167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8" xfId="0" applyFill="1" applyBorder="1"/>
    <xf numFmtId="0" fontId="0" fillId="3" borderId="9" xfId="0" applyFill="1" applyBorder="1"/>
    <xf numFmtId="9" fontId="0" fillId="3" borderId="9" xfId="0" applyNumberFormat="1" applyFill="1" applyBorder="1"/>
    <xf numFmtId="2" fontId="0" fillId="2" borderId="0" xfId="0" applyNumberFormat="1" applyFill="1"/>
    <xf numFmtId="165" fontId="3" fillId="0" borderId="0" xfId="0" applyNumberFormat="1" applyFont="1"/>
    <xf numFmtId="165" fontId="4" fillId="0" borderId="0" xfId="0" applyNumberFormat="1" applyFont="1"/>
    <xf numFmtId="2" fontId="0" fillId="0" borderId="0" xfId="0" applyNumberFormat="1"/>
    <xf numFmtId="0" fontId="1" fillId="0" borderId="0" xfId="0" applyFont="1" applyAlignment="1">
      <alignment wrapText="1"/>
    </xf>
    <xf numFmtId="166" fontId="0" fillId="0" borderId="0" xfId="0" applyNumberFormat="1"/>
    <xf numFmtId="0" fontId="0" fillId="0" borderId="10" xfId="0" applyBorder="1"/>
    <xf numFmtId="167" fontId="0" fillId="0" borderId="11" xfId="0" applyNumberFormat="1" applyBorder="1"/>
    <xf numFmtId="167" fontId="0" fillId="0" borderId="7" xfId="0" applyNumberFormat="1" applyBorder="1"/>
    <xf numFmtId="0" fontId="0" fillId="0" borderId="2" xfId="0" applyBorder="1"/>
    <xf numFmtId="0" fontId="0" fillId="0" borderId="0" xfId="0" applyAlignment="1">
      <alignment wrapText="1"/>
    </xf>
    <xf numFmtId="169" fontId="0" fillId="0" borderId="0" xfId="0" applyNumberFormat="1"/>
    <xf numFmtId="167" fontId="0" fillId="0" borderId="6" xfId="0" applyNumberFormat="1" applyBorder="1"/>
    <xf numFmtId="0" fontId="24" fillId="0" borderId="2" xfId="0" applyFont="1" applyBorder="1"/>
    <xf numFmtId="9" fontId="1" fillId="3" borderId="9" xfId="0" applyNumberFormat="1" applyFont="1" applyFill="1" applyBorder="1"/>
    <xf numFmtId="0" fontId="0" fillId="0" borderId="1" xfId="0" applyBorder="1"/>
    <xf numFmtId="0" fontId="0" fillId="0" borderId="12" xfId="0" applyBorder="1"/>
    <xf numFmtId="0" fontId="1" fillId="0" borderId="8" xfId="0" applyFont="1" applyBorder="1"/>
    <xf numFmtId="0" fontId="1" fillId="0" borderId="9" xfId="0" applyFont="1" applyBorder="1"/>
    <xf numFmtId="0" fontId="1" fillId="0" borderId="17" xfId="0" applyFont="1" applyBorder="1"/>
    <xf numFmtId="0" fontId="24" fillId="0" borderId="0" xfId="0" applyFont="1"/>
    <xf numFmtId="0" fontId="0" fillId="0" borderId="8" xfId="0" applyBorder="1"/>
    <xf numFmtId="0" fontId="0" fillId="0" borderId="11" xfId="0" applyBorder="1"/>
    <xf numFmtId="0" fontId="0" fillId="0" borderId="7" xfId="0" applyBorder="1"/>
    <xf numFmtId="0" fontId="1" fillId="0" borderId="6" xfId="0" applyFont="1" applyBorder="1"/>
    <xf numFmtId="0" fontId="0" fillId="0" borderId="9" xfId="0" applyBorder="1"/>
    <xf numFmtId="167" fontId="0" fillId="0" borderId="4" xfId="0" applyNumberFormat="1" applyBorder="1"/>
    <xf numFmtId="170" fontId="0" fillId="0" borderId="6" xfId="0" applyNumberFormat="1" applyBorder="1"/>
    <xf numFmtId="0" fontId="25" fillId="2" borderId="2" xfId="0" applyFont="1" applyFill="1" applyBorder="1"/>
    <xf numFmtId="0" fontId="25" fillId="2" borderId="3" xfId="0" applyFont="1" applyFill="1" applyBorder="1"/>
    <xf numFmtId="0" fontId="25" fillId="2" borderId="3" xfId="0" applyFont="1" applyFill="1" applyBorder="1" applyAlignment="1">
      <alignment wrapText="1"/>
    </xf>
    <xf numFmtId="0" fontId="25" fillId="2" borderId="18" xfId="0" applyFont="1" applyFill="1" applyBorder="1"/>
    <xf numFmtId="0" fontId="26" fillId="2" borderId="18" xfId="0" applyFont="1" applyFill="1" applyBorder="1"/>
    <xf numFmtId="0" fontId="0" fillId="2" borderId="12" xfId="0" applyFill="1" applyBorder="1"/>
    <xf numFmtId="167" fontId="0" fillId="0" borderId="12" xfId="0" applyNumberFormat="1" applyBorder="1"/>
    <xf numFmtId="9" fontId="0" fillId="0" borderId="12" xfId="0" applyNumberFormat="1" applyBorder="1"/>
    <xf numFmtId="165" fontId="0" fillId="0" borderId="12" xfId="0" applyNumberFormat="1" applyBorder="1"/>
    <xf numFmtId="0" fontId="0" fillId="0" borderId="12" xfId="0" applyBorder="1" applyAlignment="1">
      <alignment horizontal="center"/>
    </xf>
    <xf numFmtId="164" fontId="0" fillId="0" borderId="0" xfId="0" applyNumberFormat="1"/>
    <xf numFmtId="1" fontId="0" fillId="0" borderId="6" xfId="0" applyNumberFormat="1" applyBorder="1"/>
    <xf numFmtId="10" fontId="0" fillId="0" borderId="6" xfId="0" applyNumberFormat="1" applyBorder="1"/>
    <xf numFmtId="0" fontId="0" fillId="29" borderId="2" xfId="0" applyFill="1" applyBorder="1"/>
    <xf numFmtId="0" fontId="0" fillId="29" borderId="3" xfId="0" applyFill="1" applyBorder="1"/>
    <xf numFmtId="0" fontId="0" fillId="29" borderId="4" xfId="0" applyFill="1" applyBorder="1"/>
    <xf numFmtId="168" fontId="0" fillId="0" borderId="0" xfId="1" applyNumberFormat="1" applyFont="1"/>
    <xf numFmtId="168" fontId="0" fillId="0" borderId="0" xfId="1" applyNumberFormat="1" applyFont="1" applyFill="1" applyBorder="1"/>
    <xf numFmtId="170" fontId="0" fillId="0" borderId="0" xfId="0" applyNumberFormat="1"/>
    <xf numFmtId="10" fontId="0" fillId="0" borderId="0" xfId="0" applyNumberFormat="1"/>
    <xf numFmtId="168" fontId="0" fillId="0" borderId="6" xfId="1" applyNumberFormat="1" applyFont="1" applyFill="1" applyBorder="1"/>
    <xf numFmtId="0" fontId="1" fillId="0" borderId="3" xfId="0" applyFont="1" applyBorder="1"/>
    <xf numFmtId="0" fontId="1" fillId="0" borderId="4" xfId="0" applyFont="1" applyBorder="1"/>
    <xf numFmtId="0" fontId="0" fillId="2" borderId="0" xfId="0" applyFill="1"/>
    <xf numFmtId="0" fontId="0" fillId="0" borderId="0" xfId="0" applyAlignment="1">
      <alignment horizontal="center"/>
    </xf>
    <xf numFmtId="0" fontId="0" fillId="0" borderId="17" xfId="0" applyBorder="1"/>
    <xf numFmtId="9" fontId="1" fillId="3" borderId="3" xfId="0" applyNumberFormat="1" applyFont="1" applyFill="1" applyBorder="1"/>
    <xf numFmtId="171" fontId="0" fillId="0" borderId="0" xfId="0" applyNumberFormat="1"/>
  </cellXfs>
  <cellStyles count="50">
    <cellStyle name="20% - Accent1 2" xfId="22" xr:uid="{6BF567C9-3E19-4630-AF0A-0733C7BFCE04}"/>
    <cellStyle name="20% - Accent2 2" xfId="26" xr:uid="{5F0600A4-5BB4-497F-9807-6F9D2A2A3D3D}"/>
    <cellStyle name="20% - Accent3 2" xfId="30" xr:uid="{DBF42285-B623-4F8B-BA82-E5910643416B}"/>
    <cellStyle name="20% - Accent4 2" xfId="34" xr:uid="{4DCDC153-26D1-4002-8E2D-81916D625F7E}"/>
    <cellStyle name="20% - Accent5 2" xfId="38" xr:uid="{8DAB878B-1406-49CB-A825-4A720222E27A}"/>
    <cellStyle name="20% - Accent6 2" xfId="42" xr:uid="{D7129595-6E29-4C9E-8A40-CB20ED27F2A1}"/>
    <cellStyle name="40% - Accent1 2" xfId="23" xr:uid="{EE5EFDA3-DAFB-44BD-9F41-B55E770AE017}"/>
    <cellStyle name="40% - Accent2 2" xfId="27" xr:uid="{E60B08D7-FCFC-4B75-949E-53F991A87A95}"/>
    <cellStyle name="40% - Accent3 2" xfId="31" xr:uid="{B55CEAC8-3FFC-42A0-9906-73D0C544EB86}"/>
    <cellStyle name="40% - Accent4 2" xfId="35" xr:uid="{59C4DF45-BCD5-46B6-8F9E-6EDD2098F372}"/>
    <cellStyle name="40% - Accent5 2" xfId="39" xr:uid="{B4421AFC-A7D7-4211-8102-F52CAE046248}"/>
    <cellStyle name="40% - Accent6 2" xfId="43" xr:uid="{4375B196-4796-4AEE-B670-08CF84FDA4DE}"/>
    <cellStyle name="60% - Accent1 2" xfId="24" xr:uid="{5AA6FCB0-CD17-4C34-8429-EDB769B7872A}"/>
    <cellStyle name="60% - Accent2 2" xfId="28" xr:uid="{725B5829-70DC-47F8-94AF-24E67FFE08A6}"/>
    <cellStyle name="60% - Accent3 2" xfId="32" xr:uid="{78968431-9ED7-4764-B0A6-174D90961FDE}"/>
    <cellStyle name="60% - Accent4 2" xfId="36" xr:uid="{2CDE5411-0817-42C7-9BE8-A3F5850D4E7C}"/>
    <cellStyle name="60% - Accent5 2" xfId="40" xr:uid="{AA76549F-F357-40F6-A8A0-F4D9C90E33C5}"/>
    <cellStyle name="60% - Accent6 2" xfId="44" xr:uid="{B834F776-29E6-442B-B2A4-13E499B88243}"/>
    <cellStyle name="Accent1 2" xfId="21" xr:uid="{E31E200E-E4F1-40BC-A964-614943D67F5F}"/>
    <cellStyle name="Accent2 2" xfId="25" xr:uid="{14CB3ABC-1D87-42A7-8EC9-22951DAB35B7}"/>
    <cellStyle name="Accent3 2" xfId="29" xr:uid="{FC8DFCD8-A5C1-453C-A832-7C7EEC8D3A45}"/>
    <cellStyle name="Accent4 2" xfId="33" xr:uid="{C984AEFA-60ED-4827-A0A8-CF53BC33DB1C}"/>
    <cellStyle name="Accent5 2" xfId="37" xr:uid="{C4C081E2-30E4-4FE8-9241-47C9A7D4F425}"/>
    <cellStyle name="Accent6 2" xfId="41" xr:uid="{ACBE0022-0325-4427-B342-7D198FC24C57}"/>
    <cellStyle name="Bad 2" xfId="10" xr:uid="{34FA6DDA-7C4A-4AAF-B54F-AC61B9198874}"/>
    <cellStyle name="Calculation 2" xfId="14" xr:uid="{4C103943-B964-476F-8DED-2CBBE8FF5AB3}"/>
    <cellStyle name="Check Cell 2" xfId="16" xr:uid="{A5B4E367-727F-4FF5-97CD-0B2AC393E0AC}"/>
    <cellStyle name="Explanatory Text 2" xfId="19" xr:uid="{CA4E047B-78A0-4149-B455-DA7DEC1140AC}"/>
    <cellStyle name="Good 2" xfId="9" xr:uid="{ACD8C754-FD4D-4B70-9E33-7A7C7FD8649E}"/>
    <cellStyle name="Heading 1 2" xfId="5" xr:uid="{173B1166-3921-420C-8765-28E946828845}"/>
    <cellStyle name="Heading 2 2" xfId="6" xr:uid="{E323F497-5728-45A9-A83B-E5FFBE5F3B8D}"/>
    <cellStyle name="Heading 3 2" xfId="7" xr:uid="{842A6238-2186-496C-BA5F-D924F4DD879D}"/>
    <cellStyle name="Heading 4 2" xfId="8" xr:uid="{0E8A40DF-39D7-4BCE-B781-19E0C27BDDB5}"/>
    <cellStyle name="Hyperlink 2" xfId="48" xr:uid="{585E602A-854D-40CA-B45C-D7EC796A3C12}"/>
    <cellStyle name="Input 2" xfId="12" xr:uid="{9FB5D653-92B2-447E-A9C5-44E81D71809B}"/>
    <cellStyle name="Linked Cell 2" xfId="15" xr:uid="{4DC9DA3A-47A9-4697-9B4B-E2759465A1FF}"/>
    <cellStyle name="Neutral 2" xfId="11" xr:uid="{86A8DAC4-4E23-4DC3-8FAD-3DAEBC1B653E}"/>
    <cellStyle name="Normal" xfId="0" builtinId="0"/>
    <cellStyle name="Normal 2" xfId="3" xr:uid="{1B6474D5-B1FB-4CF3-894C-9CA566BA18CC}"/>
    <cellStyle name="Normal 2 2" xfId="45" xr:uid="{2D7C4D45-C813-4CC8-9258-BED30AB3C215}"/>
    <cellStyle name="Normal 2 2 2" xfId="46" xr:uid="{2C1E2A28-1B42-41ED-B6CB-85F988B9763D}"/>
    <cellStyle name="Normal 3" xfId="47" xr:uid="{D60CEBFB-F3B0-497F-A27B-E0BA49DFEF7C}"/>
    <cellStyle name="Normal 4" xfId="2" xr:uid="{958436DA-23C3-4F88-95CD-360D4C51F944}"/>
    <cellStyle name="Normal 5" xfId="49" xr:uid="{7B936215-C9A4-44ED-9EFF-D9C25E5F21B0}"/>
    <cellStyle name="Note 2" xfId="18" xr:uid="{DA5BF5B2-5940-424E-85C9-00F9C2454F44}"/>
    <cellStyle name="Output 2" xfId="13" xr:uid="{482649A2-BB86-4C01-9ED9-51DFAD926240}"/>
    <cellStyle name="Percent" xfId="1" builtinId="5"/>
    <cellStyle name="Title 2" xfId="4" xr:uid="{FB6D4149-6ABD-4DB4-95B3-0D1495DBAFEF}"/>
    <cellStyle name="Total 2" xfId="20" xr:uid="{AA230248-B9E2-4D03-991C-F308A812F75F}"/>
    <cellStyle name="Warning Text 2" xfId="17" xr:uid="{DCD35606-1851-419A-A761-DC327BEC072D}"/>
  </cellStyles>
  <dxfs count="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06/relationships/rdRichValueStructure" Target="richData/rdrichvaluestructure.xml"/><Relationship Id="rId10" Type="http://schemas.openxmlformats.org/officeDocument/2006/relationships/theme" Target="theme/theme1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microsoft.com/office/2017/06/relationships/rdRichValue" Target="richData/rdrichvalu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rasham jain" id="{CCDE669B-126C-4462-BDAF-B0E0AA3E8DE1}" userId="bdb8e377b32e9d43" providerId="Windows Live"/>
</personList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9" dT="2024-05-10T04:40:03.56" personId="{CCDE669B-126C-4462-BDAF-B0E0AA3E8DE1}" id="{B86B2533-796E-4B04-AD10-21967D8FEA6B}">
    <text xml:space="preserve">Formula needs to be changed later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/>
  </sheetViews>
  <sheetFormatPr defaultRowHeight="14.5" x14ac:dyDescent="0.35"/>
  <sheetData>
    <row r="1" spans="1:2" x14ac:dyDescent="0.35">
      <c r="B1" t="s">
        <v>7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E1:P70"/>
  <sheetViews>
    <sheetView tabSelected="1" zoomScale="93" zoomScaleNormal="93" workbookViewId="0">
      <selection activeCell="M24" sqref="M24"/>
    </sheetView>
  </sheetViews>
  <sheetFormatPr defaultRowHeight="14.5" x14ac:dyDescent="0.35"/>
  <cols>
    <col min="4" max="4" width="18.81640625" customWidth="1"/>
    <col min="5" max="5" width="21.26953125" customWidth="1"/>
    <col min="6" max="6" width="17.90625" bestFit="1" customWidth="1"/>
    <col min="7" max="7" width="14.1796875" customWidth="1"/>
    <col min="8" max="8" width="14.26953125" customWidth="1"/>
    <col min="9" max="9" width="13.81640625" customWidth="1"/>
    <col min="10" max="10" width="14.26953125" customWidth="1"/>
    <col min="11" max="11" width="16.54296875" bestFit="1" customWidth="1"/>
    <col min="12" max="13" width="19.26953125" bestFit="1" customWidth="1"/>
    <col min="14" max="14" width="15.1796875" customWidth="1"/>
    <col min="15" max="15" width="16.7265625" bestFit="1" customWidth="1"/>
    <col min="16" max="16" width="15.453125" customWidth="1"/>
    <col min="17" max="17" width="12.81640625" customWidth="1"/>
  </cols>
  <sheetData>
    <row r="1" spans="5:11" x14ac:dyDescent="0.35">
      <c r="E1" s="27" t="s">
        <v>95</v>
      </c>
    </row>
    <row r="2" spans="5:11" ht="15" thickBot="1" x14ac:dyDescent="0.4"/>
    <row r="3" spans="5:11" ht="15" thickBot="1" x14ac:dyDescent="0.4">
      <c r="E3" s="31" t="s">
        <v>71</v>
      </c>
      <c r="F3" s="32" t="s">
        <v>72</v>
      </c>
      <c r="G3" s="32" t="s">
        <v>75</v>
      </c>
      <c r="H3" s="33" t="s">
        <v>73</v>
      </c>
    </row>
    <row r="4" spans="5:11" x14ac:dyDescent="0.35">
      <c r="E4" s="20" t="s">
        <v>49</v>
      </c>
      <c r="F4" t="str">
        <f>IF(HLOOKUP($E4,'Factset Price Data'!$C$208:$R$215,6,FALSE)&gt;=1,"INVESTED","CASH")</f>
        <v>CASH</v>
      </c>
      <c r="G4" t="str">
        <f>IF(HLOOKUP($E4,'Factset Price Data'!$C$208:$R$215,7,FALSE)&gt;=1,"INVESTED","CASH")</f>
        <v>INVESTED</v>
      </c>
      <c r="H4" s="36" t="str">
        <f>IF(HLOOKUP($E4,'Factset Price Data'!$C$208:$R$215,8,FALSE)&gt;=1,"INVESTED","CASH")</f>
        <v>INVESTED</v>
      </c>
    </row>
    <row r="5" spans="5:11" x14ac:dyDescent="0.35">
      <c r="E5" s="20" t="s">
        <v>61</v>
      </c>
      <c r="F5" t="str">
        <f>IF(HLOOKUP($E5,'Factset Price Data'!$C$208:$R$215,6,FALSE)&gt;=1,"INVESTED","CASH")</f>
        <v>CASH</v>
      </c>
      <c r="G5" t="str">
        <f>IF(HLOOKUP($E5,'Factset Price Data'!$C$208:$R$215,7,FALSE)&gt;=1,"INVESTED","CASH")</f>
        <v>INVESTED</v>
      </c>
      <c r="H5" s="36" t="str">
        <f>IF(HLOOKUP($E5,'Factset Price Data'!$C$208:$R$215,8,FALSE)&gt;=1,"INVESTED","CASH")</f>
        <v>CASH</v>
      </c>
    </row>
    <row r="6" spans="5:11" x14ac:dyDescent="0.35">
      <c r="E6" s="20" t="s">
        <v>59</v>
      </c>
      <c r="F6" t="str">
        <f>IF(HLOOKUP($E6,'Factset Price Data'!$C$208:$R$215,6,FALSE)&gt;=1,"INVESTED","CASH")</f>
        <v>INVESTED</v>
      </c>
      <c r="G6" t="str">
        <f>IF(HLOOKUP($E6,'Factset Price Data'!$C$208:$R$215,7,FALSE)&gt;=1,"INVESTED","CASH")</f>
        <v>INVESTED</v>
      </c>
      <c r="H6" s="36" t="str">
        <f>IF(HLOOKUP($E6,'Factset Price Data'!$C$208:$R$215,8,FALSE)&gt;=1,"INVESTED","CASH")</f>
        <v>INVESTED</v>
      </c>
    </row>
    <row r="7" spans="5:11" x14ac:dyDescent="0.35">
      <c r="E7" s="20" t="s">
        <v>120</v>
      </c>
      <c r="F7" t="str">
        <f>IF(HLOOKUP($E7,'Factset Price Data'!$C$208:$R$215,6,FALSE)&gt;=1,"INVESTED","CASH")</f>
        <v>CASH</v>
      </c>
      <c r="G7" t="str">
        <f>IF(HLOOKUP($E7,'Factset Price Data'!$C$208:$R$215,7,FALSE)&gt;=1,"INVESTED","CASH")</f>
        <v>CASH</v>
      </c>
      <c r="H7" s="36" t="str">
        <f>IF(HLOOKUP($E7,'Factset Price Data'!$C$208:$R$215,8,FALSE)&gt;=1,"INVESTED","CASH")</f>
        <v>INVESTED</v>
      </c>
    </row>
    <row r="8" spans="5:11" ht="15" thickBot="1" x14ac:dyDescent="0.4">
      <c r="E8" s="9" t="s">
        <v>60</v>
      </c>
      <c r="F8" s="10" t="str">
        <f>IF(HLOOKUP($E8,'Factset Price Data'!$C$208:$R$215,6,FALSE)&gt;=1,"INVESTED","CASH")</f>
        <v>CASH</v>
      </c>
      <c r="G8" s="10" t="str">
        <f>IF(HLOOKUP($E8,'Factset Price Data'!$C$208:$R$215,7,FALSE)&gt;=1,"INVESTED","CASH")</f>
        <v>INVESTED</v>
      </c>
      <c r="H8" s="37" t="str">
        <f>IF(HLOOKUP($E8,'Factset Price Data'!$C$208:$R$215,8,FALSE)&gt;=1,"INVESTED","CASH")</f>
        <v>INVESTED</v>
      </c>
    </row>
    <row r="9" spans="5:11" ht="15" thickBot="1" x14ac:dyDescent="0.4">
      <c r="E9" s="35" t="s">
        <v>116</v>
      </c>
      <c r="F9" s="39" t="str">
        <f>IF(HLOOKUP($E9,'Factset Price Data'!$C$208:$R$215,6,FALSE)&gt;=1,"INVESTED","CASH")</f>
        <v>INVESTED</v>
      </c>
      <c r="G9" s="39" t="str">
        <f>IF(HLOOKUP($E9,'Factset Price Data'!$C$208:$R$215,7,FALSE)&gt;=1,"INVESTED","CASH")</f>
        <v>CASH</v>
      </c>
      <c r="H9" s="67" t="str">
        <f>IF(HLOOKUP($E9,'Factset Price Data'!$C$208:$R$215,8,FALSE)&gt;=1,"INVESTED","CASH")</f>
        <v>INVESTED</v>
      </c>
    </row>
    <row r="10" spans="5:11" ht="15" thickBot="1" x14ac:dyDescent="0.4"/>
    <row r="11" spans="5:11" x14ac:dyDescent="0.35">
      <c r="E11" s="27" t="s">
        <v>97</v>
      </c>
    </row>
    <row r="12" spans="5:11" ht="15" thickBot="1" x14ac:dyDescent="0.4">
      <c r="E12" t="s">
        <v>67</v>
      </c>
      <c r="F12" t="s">
        <v>2</v>
      </c>
      <c r="G12" t="s">
        <v>21</v>
      </c>
      <c r="H12" t="s">
        <v>76</v>
      </c>
    </row>
    <row r="13" spans="5:11" ht="15" thickBot="1" x14ac:dyDescent="0.4">
      <c r="E13" s="68">
        <v>0.33</v>
      </c>
      <c r="F13" s="68">
        <v>0.33</v>
      </c>
      <c r="G13" s="68">
        <v>0.33</v>
      </c>
    </row>
    <row r="14" spans="5:11" x14ac:dyDescent="0.35">
      <c r="E14" s="23"/>
      <c r="F14" s="7" t="s">
        <v>118</v>
      </c>
      <c r="G14" s="7" t="s">
        <v>119</v>
      </c>
      <c r="H14" s="7"/>
      <c r="I14" s="63" t="s">
        <v>72</v>
      </c>
      <c r="J14" s="63" t="s">
        <v>75</v>
      </c>
      <c r="K14" s="64" t="s">
        <v>73</v>
      </c>
    </row>
    <row r="15" spans="5:11" x14ac:dyDescent="0.35">
      <c r="E15" s="20" t="s">
        <v>4</v>
      </c>
      <c r="F15">
        <f>'Asset class prev month'!S3</f>
        <v>3</v>
      </c>
      <c r="G15">
        <f>'Asset class'!S3</f>
        <v>8</v>
      </c>
      <c r="H15">
        <f t="shared" ref="H15:H23" si="0">G15</f>
        <v>8</v>
      </c>
      <c r="I15" t="str">
        <f>IF(HLOOKUP($E15,'Factset Price Data'!$C$208:$Z$215,6,FALSE)&gt;=1,"INVESTED","CASH")</f>
        <v>CASH</v>
      </c>
      <c r="J15" t="str">
        <f>IF(HLOOKUP($E15,'Factset Price Data'!$C$208:$Z$215,7,FALSE)&gt;=1,"INVESTED","CASH")</f>
        <v>INVESTED</v>
      </c>
      <c r="K15" s="36" t="str">
        <f>IF(HLOOKUP($E15,'Factset Price Data'!$C$208:$Z$215,8,FALSE)&gt;=1,"INVESTED","CASH")</f>
        <v>INVESTED</v>
      </c>
    </row>
    <row r="16" spans="5:11" x14ac:dyDescent="0.35">
      <c r="E16" s="20" t="s">
        <v>1</v>
      </c>
      <c r="F16">
        <f>'Asset class prev month'!S4</f>
        <v>2</v>
      </c>
      <c r="G16">
        <f>'Asset class'!S4</f>
        <v>1</v>
      </c>
      <c r="H16">
        <f t="shared" si="0"/>
        <v>1</v>
      </c>
      <c r="I16" t="str">
        <f>IF(HLOOKUP($E16,'Factset Price Data'!$C$208:$Z$215,6,FALSE)&gt;=1,"INVESTED","CASH")</f>
        <v>CASH</v>
      </c>
      <c r="J16" t="str">
        <f>IF(HLOOKUP($E16,'Factset Price Data'!$C$208:$Z$215,7,FALSE)&gt;=1,"INVESTED","CASH")</f>
        <v>INVESTED</v>
      </c>
      <c r="K16" s="36" t="str">
        <f>IF(HLOOKUP($E16,'Factset Price Data'!$C$208:$Z$215,8,FALSE)&gt;=1,"INVESTED","CASH")</f>
        <v>INVESTED</v>
      </c>
    </row>
    <row r="17" spans="5:16" x14ac:dyDescent="0.35">
      <c r="E17" s="20" t="s">
        <v>59</v>
      </c>
      <c r="F17">
        <f>'Asset class prev month'!S5</f>
        <v>7</v>
      </c>
      <c r="G17">
        <f>'Asset class'!S5</f>
        <v>4</v>
      </c>
      <c r="H17">
        <f t="shared" si="0"/>
        <v>4</v>
      </c>
      <c r="I17" t="str">
        <f>IF(HLOOKUP($E17,'Factset Price Data'!$C$208:$Z$215,6,FALSE)&gt;=1,"INVESTED","CASH")</f>
        <v>INVESTED</v>
      </c>
      <c r="J17" t="str">
        <f>IF(HLOOKUP($E17,'Factset Price Data'!$C$208:$Z$215,7,FALSE)&gt;=1,"INVESTED","CASH")</f>
        <v>INVESTED</v>
      </c>
      <c r="K17" s="36" t="str">
        <f>IF(HLOOKUP($E17,'Factset Price Data'!$C$208:$Z$215,8,FALSE)&gt;=1,"INVESTED","CASH")</f>
        <v>INVESTED</v>
      </c>
    </row>
    <row r="18" spans="5:16" x14ac:dyDescent="0.35">
      <c r="E18" s="20" t="s">
        <v>60</v>
      </c>
      <c r="F18">
        <f>'Asset class prev month'!S6</f>
        <v>8</v>
      </c>
      <c r="G18">
        <f>'Asset class'!S6</f>
        <v>12</v>
      </c>
      <c r="H18">
        <f t="shared" si="0"/>
        <v>12</v>
      </c>
      <c r="I18" t="str">
        <f>IF(HLOOKUP($E18,'Factset Price Data'!$C$208:$Z$215,6,FALSE)&gt;=1,"INVESTED","CASH")</f>
        <v>CASH</v>
      </c>
      <c r="J18" t="str">
        <f>IF(HLOOKUP($E18,'Factset Price Data'!$C$208:$Z$215,7,FALSE)&gt;=1,"INVESTED","CASH")</f>
        <v>INVESTED</v>
      </c>
      <c r="K18" s="36" t="str">
        <f>IF(HLOOKUP($E18,'Factset Price Data'!$C$208:$Z$215,8,FALSE)&gt;=1,"INVESTED","CASH")</f>
        <v>INVESTED</v>
      </c>
    </row>
    <row r="19" spans="5:16" x14ac:dyDescent="0.35">
      <c r="E19" s="20" t="s">
        <v>15</v>
      </c>
      <c r="F19">
        <f>'Asset class prev month'!S7</f>
        <v>1</v>
      </c>
      <c r="G19">
        <f>'Asset class'!S7</f>
        <v>7</v>
      </c>
      <c r="H19">
        <f t="shared" si="0"/>
        <v>7</v>
      </c>
      <c r="I19" t="str">
        <f>IF(HLOOKUP($E19,'Factset Price Data'!$C$208:$Z$215,6,FALSE)&gt;=1,"INVESTED","CASH")</f>
        <v>CASH</v>
      </c>
      <c r="J19" t="str">
        <f>IF(HLOOKUP($E19,'Factset Price Data'!$C$208:$Z$215,7,FALSE)&gt;=1,"INVESTED","CASH")</f>
        <v>INVESTED</v>
      </c>
      <c r="K19" s="36" t="str">
        <f>IF(HLOOKUP($E19,'Factset Price Data'!$C$208:$Z$215,8,FALSE)&gt;=1,"INVESTED","CASH")</f>
        <v>INVESTED</v>
      </c>
    </row>
    <row r="20" spans="5:16" x14ac:dyDescent="0.35">
      <c r="E20" s="20" t="s">
        <v>120</v>
      </c>
      <c r="F20">
        <f>'Asset class prev month'!S8</f>
        <v>12</v>
      </c>
      <c r="G20">
        <f>'Asset class'!S8</f>
        <v>14</v>
      </c>
      <c r="H20">
        <f t="shared" si="0"/>
        <v>14</v>
      </c>
      <c r="I20" t="str">
        <f>IF(HLOOKUP($E20,'Factset Price Data'!$C$208:$Z$215,6,FALSE)&gt;=1,"INVESTED","CASH")</f>
        <v>CASH</v>
      </c>
      <c r="J20" t="str">
        <f>IF(HLOOKUP($E20,'Factset Price Data'!$C$208:$Z$215,7,FALSE)&gt;=1,"INVESTED","CASH")</f>
        <v>CASH</v>
      </c>
      <c r="K20" s="36" t="str">
        <f>IF(HLOOKUP($E20,'Factset Price Data'!$C$208:$Z$215,8,FALSE)&gt;=1,"INVESTED","CASH")</f>
        <v>INVESTED</v>
      </c>
    </row>
    <row r="21" spans="5:16" x14ac:dyDescent="0.35">
      <c r="E21" s="20" t="s">
        <v>69</v>
      </c>
      <c r="F21">
        <f>'Asset class prev month'!S9</f>
        <v>9</v>
      </c>
      <c r="G21">
        <f>'Asset class'!S9</f>
        <v>13</v>
      </c>
      <c r="H21">
        <f t="shared" si="0"/>
        <v>13</v>
      </c>
      <c r="I21" t="str">
        <f>IF(HLOOKUP($E21,'Factset Price Data'!$C$208:$Z$215,6,FALSE)&gt;=1,"INVESTED","CASH")</f>
        <v>CASH</v>
      </c>
      <c r="J21" t="str">
        <f>IF(HLOOKUP($E21,'Factset Price Data'!$C$208:$Z$215,7,FALSE)&gt;=1,"INVESTED","CASH")</f>
        <v>INVESTED</v>
      </c>
      <c r="K21" s="36" t="str">
        <f>IF(HLOOKUP($E21,'Factset Price Data'!$C$208:$Z$215,8,FALSE)&gt;=1,"INVESTED","CASH")</f>
        <v>INVESTED</v>
      </c>
    </row>
    <row r="22" spans="5:16" x14ac:dyDescent="0.35">
      <c r="E22" s="20" t="s">
        <v>61</v>
      </c>
      <c r="F22">
        <f>'Asset class prev month'!S10</f>
        <v>14</v>
      </c>
      <c r="G22">
        <f>'Asset class'!S10</f>
        <v>10</v>
      </c>
      <c r="H22">
        <f t="shared" si="0"/>
        <v>10</v>
      </c>
      <c r="I22" t="str">
        <f>IF(HLOOKUP($E22,'Factset Price Data'!$C$208:$Z$215,6,FALSE)&gt;=1,"INVESTED","CASH")</f>
        <v>CASH</v>
      </c>
      <c r="J22" t="str">
        <f>IF(HLOOKUP($E22,'Factset Price Data'!$C$208:$Z$215,7,FALSE)&gt;=1,"INVESTED","CASH")</f>
        <v>INVESTED</v>
      </c>
      <c r="K22" s="36" t="str">
        <f>IF(HLOOKUP($E22,'Factset Price Data'!$C$208:$Z$215,8,FALSE)&gt;=1,"INVESTED","CASH")</f>
        <v>CASH</v>
      </c>
    </row>
    <row r="23" spans="5:16" x14ac:dyDescent="0.35">
      <c r="E23" s="20" t="s">
        <v>42</v>
      </c>
      <c r="F23">
        <f>'Asset class prev month'!S11</f>
        <v>11</v>
      </c>
      <c r="G23">
        <f>'Asset class'!S11</f>
        <v>5</v>
      </c>
      <c r="H23">
        <f t="shared" si="0"/>
        <v>5</v>
      </c>
      <c r="I23" t="str">
        <f>IF(HLOOKUP($E23,'Factset Price Data'!$C$208:$Z$215,6,FALSE)&gt;=1,"INVESTED","CASH")</f>
        <v>INVESTED</v>
      </c>
      <c r="J23" t="str">
        <f>IF(HLOOKUP($E23,'Factset Price Data'!$C$208:$Z$215,7,FALSE)&gt;=1,"INVESTED","CASH")</f>
        <v>CASH</v>
      </c>
      <c r="K23" s="36" t="str">
        <f>IF(HLOOKUP($E23,'Factset Price Data'!$C$208:$Z$215,8,FALSE)&gt;=1,"INVESTED","CASH")</f>
        <v>INVESTED</v>
      </c>
    </row>
    <row r="24" spans="5:16" x14ac:dyDescent="0.35">
      <c r="E24" s="20" t="s">
        <v>70</v>
      </c>
      <c r="F24">
        <f>'Asset class prev month'!S12</f>
        <v>6</v>
      </c>
      <c r="G24">
        <f>'Asset class'!S12</f>
        <v>7</v>
      </c>
      <c r="H24">
        <f t="shared" ref="H24:H27" si="1">G24</f>
        <v>7</v>
      </c>
      <c r="I24" t="str">
        <f>IF(HLOOKUP($E24,'Factset Price Data'!$C$208:$Z$215,6,FALSE)&gt;=1,"INVESTED","CASH")</f>
        <v>CASH</v>
      </c>
      <c r="J24" t="str">
        <f>IF(HLOOKUP($E24,'Factset Price Data'!$C$208:$Z$215,7,FALSE)&gt;=1,"INVESTED","CASH")</f>
        <v>INVESTED</v>
      </c>
      <c r="K24" s="36" t="str">
        <f>IF(HLOOKUP($E24,'Factset Price Data'!$C$208:$Z$215,8,FALSE)&gt;=1,"INVESTED","CASH")</f>
        <v>INVESTED</v>
      </c>
    </row>
    <row r="25" spans="5:16" x14ac:dyDescent="0.35">
      <c r="E25" s="20" t="s">
        <v>12</v>
      </c>
      <c r="F25">
        <f>'Asset class prev month'!S13</f>
        <v>13</v>
      </c>
      <c r="G25">
        <f>'Asset class'!S13</f>
        <v>10</v>
      </c>
      <c r="H25">
        <f t="shared" si="1"/>
        <v>10</v>
      </c>
      <c r="I25" t="str">
        <f>IF(HLOOKUP($E25,'Factset Price Data'!$C$208:$Z$215,6,FALSE)&gt;=1,"INVESTED","CASH")</f>
        <v>CASH</v>
      </c>
      <c r="J25" t="str">
        <f>IF(HLOOKUP($E25,'Factset Price Data'!$C$208:$Z$215,7,FALSE)&gt;=1,"INVESTED","CASH")</f>
        <v>INVESTED</v>
      </c>
      <c r="K25" s="36" t="str">
        <f>IF(HLOOKUP($E25,'Factset Price Data'!$C$208:$Z$215,8,FALSE)&gt;=1,"INVESTED","CASH")</f>
        <v>INVESTED</v>
      </c>
    </row>
    <row r="26" spans="5:16" ht="15" thickBot="1" x14ac:dyDescent="0.4">
      <c r="E26" s="9" t="s">
        <v>64</v>
      </c>
      <c r="F26" s="10">
        <f>'Asset class prev month'!S14</f>
        <v>5</v>
      </c>
      <c r="G26" s="10">
        <f>'Asset class'!S14</f>
        <v>12</v>
      </c>
      <c r="H26" s="10">
        <f t="shared" si="1"/>
        <v>12</v>
      </c>
      <c r="I26" s="10" t="str">
        <f>IF(HLOOKUP($E26,'Factset Price Data'!$C$208:$Z$215,6,FALSE)&gt;=1,"INVESTED","CASH")</f>
        <v>CASH</v>
      </c>
      <c r="J26" s="10" t="str">
        <f>IF(HLOOKUP($E26,'Factset Price Data'!$C$208:$Z$215,7,FALSE)&gt;=1,"INVESTED","CASH")</f>
        <v>CASH</v>
      </c>
      <c r="K26" s="37" t="str">
        <f>IF(HLOOKUP($E26,'Factset Price Data'!$C$208:$Z$215,8,FALSE)&gt;=1,"INVESTED","CASH")</f>
        <v>INVESTED</v>
      </c>
    </row>
    <row r="27" spans="5:16" ht="15" thickBot="1" x14ac:dyDescent="0.4">
      <c r="E27" s="35" t="s">
        <v>116</v>
      </c>
      <c r="F27" s="39">
        <f>'Asset class prev month'!S15</f>
        <v>10</v>
      </c>
      <c r="G27" s="39">
        <f>'Asset class'!S15</f>
        <v>2</v>
      </c>
      <c r="H27" s="39">
        <f t="shared" si="1"/>
        <v>2</v>
      </c>
      <c r="I27" s="39" t="str">
        <f>IF(HLOOKUP($E27,'Factset Price Data'!$C$208:$Z$215,6,FALSE)&gt;=1,"INVESTED","CASH")</f>
        <v>INVESTED</v>
      </c>
      <c r="J27" s="39" t="str">
        <f>IF(HLOOKUP($E27,'Factset Price Data'!$C$208:$Z$215,7,FALSE)&gt;=1,"INVESTED","CASH")</f>
        <v>CASH</v>
      </c>
      <c r="K27" s="67" t="str">
        <f>IF(HLOOKUP($E27,'Factset Price Data'!$C$208:$Z$215,8,FALSE)&gt;=1,"INVESTED","CASH")</f>
        <v>INVESTED</v>
      </c>
    </row>
    <row r="28" spans="5:16" ht="15" thickBot="1" x14ac:dyDescent="0.4">
      <c r="E28" s="35" t="s">
        <v>117</v>
      </c>
      <c r="F28" s="39">
        <f>'Asset class prev month'!S16</f>
        <v>4</v>
      </c>
      <c r="G28" s="39">
        <f>'Asset class'!S16</f>
        <v>4</v>
      </c>
      <c r="H28" s="39">
        <f t="shared" ref="H28" si="2">G28</f>
        <v>4</v>
      </c>
      <c r="I28" s="39" t="str">
        <f>IF(HLOOKUP($E28,'Factset Price Data'!$C$208:$Z$215,6,FALSE)&gt;=1,"INVESTED","CASH")</f>
        <v>CASH</v>
      </c>
      <c r="J28" s="39" t="str">
        <f>IF(HLOOKUP($E28,'Factset Price Data'!$C$208:$Z$215,7,FALSE)&gt;=1,"INVESTED","CASH")</f>
        <v>INVESTED</v>
      </c>
      <c r="K28" s="67" t="str">
        <f>IF(HLOOKUP($E28,'Factset Price Data'!$C$208:$Z$215,8,FALSE)&gt;=1,"INVESTED","CASH")</f>
        <v>INVESTED</v>
      </c>
    </row>
    <row r="29" spans="5:16" ht="15" thickBot="1" x14ac:dyDescent="0.4"/>
    <row r="30" spans="5:16" ht="15" thickBot="1" x14ac:dyDescent="0.4">
      <c r="E30" s="27" t="s">
        <v>96</v>
      </c>
      <c r="F30" s="7"/>
      <c r="G30" s="7"/>
      <c r="H30" s="7"/>
      <c r="I30" s="7"/>
      <c r="J30" s="7"/>
      <c r="K30" s="7"/>
      <c r="L30" s="7"/>
      <c r="M30" s="7"/>
      <c r="N30" s="7"/>
      <c r="O30" s="8"/>
    </row>
    <row r="31" spans="5:16" ht="29" x14ac:dyDescent="0.35">
      <c r="E31" s="42"/>
      <c r="F31" s="43" t="s">
        <v>25</v>
      </c>
      <c r="G31" s="43" t="s">
        <v>20</v>
      </c>
      <c r="H31" s="44" t="s">
        <v>67</v>
      </c>
      <c r="I31" s="43" t="s">
        <v>2</v>
      </c>
      <c r="J31" s="43" t="s">
        <v>3</v>
      </c>
      <c r="K31" s="43" t="s">
        <v>25</v>
      </c>
      <c r="L31" s="43" t="s">
        <v>20</v>
      </c>
      <c r="M31" s="44" t="s">
        <v>65</v>
      </c>
      <c r="N31" s="43" t="s">
        <v>2</v>
      </c>
      <c r="O31" s="46" t="s">
        <v>36</v>
      </c>
      <c r="P31" s="45" t="s">
        <v>94</v>
      </c>
    </row>
    <row r="32" spans="5:16" x14ac:dyDescent="0.35"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47"/>
      <c r="P32" s="30"/>
    </row>
    <row r="33" spans="5:16" x14ac:dyDescent="0.35">
      <c r="E33" s="30" t="str">
        <f>'Momnetum ranking'!B18</f>
        <v>Europe</v>
      </c>
      <c r="F33" s="48">
        <f>'Momnetum ranking'!J18</f>
        <v>-1.8706157443491855E-2</v>
      </c>
      <c r="G33" s="49">
        <f>'Momnetum ranking'!K18</f>
        <v>0.60111464968152906</v>
      </c>
      <c r="H33" s="48">
        <f>'Momnetum ranking'!Q18</f>
        <v>0.96384860000000006</v>
      </c>
      <c r="I33" s="50">
        <f>'Momnetum ranking'!O18</f>
        <v>4.1843890000000004</v>
      </c>
      <c r="J33" s="30"/>
      <c r="K33" s="30">
        <f>_xlfn.RANK.EQ(F33,$F$33:$F$42)</f>
        <v>6</v>
      </c>
      <c r="L33" s="30">
        <f>_xlfn.RANK.EQ(G33,$G$33:$G$42)</f>
        <v>8</v>
      </c>
      <c r="M33" s="30">
        <f>_xlfn.RANK.EQ(H33,$H$33:$H$42)</f>
        <v>4</v>
      </c>
      <c r="N33" s="30">
        <f>_xlfn.RANK.EQ(I33,$I$33:$I$42)</f>
        <v>7</v>
      </c>
      <c r="O33" s="47">
        <f>MEDIAN(K33:N33)</f>
        <v>6.5</v>
      </c>
      <c r="P33" s="51">
        <f>O33-$O$35</f>
        <v>2</v>
      </c>
    </row>
    <row r="34" spans="5:16" x14ac:dyDescent="0.35">
      <c r="E34" s="30" t="str">
        <f>'Momnetum ranking'!B19</f>
        <v>EM</v>
      </c>
      <c r="F34" s="48">
        <f>'Momnetum ranking'!J19</f>
        <v>-3.2134496701425846E-2</v>
      </c>
      <c r="G34" s="49">
        <f>'Momnetum ranking'!K19</f>
        <v>0.402586206896552</v>
      </c>
      <c r="H34" s="48">
        <f>'Momnetum ranking'!Q19</f>
        <v>0.95615095000000005</v>
      </c>
      <c r="I34" s="50">
        <f>'Momnetum ranking'!O19</f>
        <v>3.7086606</v>
      </c>
      <c r="J34" s="30"/>
      <c r="K34" s="30">
        <f t="shared" ref="K34:K42" si="3">_xlfn.RANK.EQ(F34,$F$33:$F$42)</f>
        <v>8</v>
      </c>
      <c r="L34" s="30">
        <f t="shared" ref="L34:L42" si="4">_xlfn.RANK.EQ(G34,$G$33:$G$42)</f>
        <v>10</v>
      </c>
      <c r="M34" s="30">
        <f t="shared" ref="M34:M42" si="5">_xlfn.RANK.EQ(H34,$H$33:$H$42)</f>
        <v>6</v>
      </c>
      <c r="N34" s="30">
        <f t="shared" ref="N34:N42" si="6">_xlfn.RANK.EQ(I34,$I$33:$I$42)</f>
        <v>8</v>
      </c>
      <c r="O34" s="47">
        <f t="shared" ref="O34:O42" si="7">MEDIAN(K34:N34)</f>
        <v>8</v>
      </c>
      <c r="P34" s="51">
        <f t="shared" ref="P34:P42" si="8">O34-$O$35</f>
        <v>3.5</v>
      </c>
    </row>
    <row r="35" spans="5:16" x14ac:dyDescent="0.35">
      <c r="E35" s="30" t="str">
        <f>'Momnetum ranking'!B20</f>
        <v>World</v>
      </c>
      <c r="F35" s="48">
        <f>'Momnetum ranking'!J20</f>
        <v>-5.5944055944055937E-2</v>
      </c>
      <c r="G35" s="49">
        <f>'Momnetum ranking'!K20</f>
        <v>0.65077138849929894</v>
      </c>
      <c r="H35" s="48">
        <f>'Momnetum ranking'!Q20</f>
        <v>0.96551955</v>
      </c>
      <c r="I35" s="50">
        <f>'Momnetum ranking'!O20</f>
        <v>6.0631513999999997</v>
      </c>
      <c r="J35" s="30"/>
      <c r="K35" s="30">
        <f t="shared" si="3"/>
        <v>9</v>
      </c>
      <c r="L35" s="30">
        <f t="shared" si="4"/>
        <v>4</v>
      </c>
      <c r="M35" s="30">
        <f t="shared" si="5"/>
        <v>3</v>
      </c>
      <c r="N35" s="30">
        <f t="shared" si="6"/>
        <v>5</v>
      </c>
      <c r="O35" s="47">
        <f t="shared" si="7"/>
        <v>4.5</v>
      </c>
      <c r="P35" s="51">
        <f t="shared" si="8"/>
        <v>0</v>
      </c>
    </row>
    <row r="36" spans="5:16" x14ac:dyDescent="0.35">
      <c r="E36" s="30" t="str">
        <f>'Momnetum ranking'!B21</f>
        <v>Japan</v>
      </c>
      <c r="F36" s="48">
        <f>'Momnetum ranking'!J21</f>
        <v>0.22926829268292681</v>
      </c>
      <c r="G36" s="49">
        <f>'Momnetum ranking'!K21</f>
        <v>0.62254901960784303</v>
      </c>
      <c r="H36" s="48">
        <f>'Momnetum ranking'!Q21</f>
        <v>0.95316725999999996</v>
      </c>
      <c r="I36" s="50">
        <f>'Momnetum ranking'!O21</f>
        <v>3.0885696</v>
      </c>
      <c r="J36" s="30"/>
      <c r="K36" s="30">
        <f t="shared" si="3"/>
        <v>1</v>
      </c>
      <c r="L36" s="30">
        <f t="shared" si="4"/>
        <v>7</v>
      </c>
      <c r="M36" s="30">
        <f t="shared" si="5"/>
        <v>7</v>
      </c>
      <c r="N36" s="30">
        <f t="shared" si="6"/>
        <v>9</v>
      </c>
      <c r="O36" s="47">
        <f t="shared" si="7"/>
        <v>7</v>
      </c>
      <c r="P36" s="51">
        <f t="shared" si="8"/>
        <v>2.5</v>
      </c>
    </row>
    <row r="37" spans="5:16" x14ac:dyDescent="0.35">
      <c r="E37" s="30" t="str">
        <f>'Momnetum ranking'!B22</f>
        <v>US</v>
      </c>
      <c r="F37" s="48">
        <f>'Momnetum ranking'!J22</f>
        <v>-7.753479125248508E-2</v>
      </c>
      <c r="G37" s="49">
        <f>'Momnetum ranking'!K22</f>
        <v>0.69461077844311403</v>
      </c>
      <c r="H37" s="48">
        <f>'Momnetum ranking'!Q22</f>
        <v>0.96333784</v>
      </c>
      <c r="I37" s="50">
        <f>'Momnetum ranking'!O22</f>
        <v>7.4644446000000002</v>
      </c>
      <c r="J37" s="30"/>
      <c r="K37" s="30">
        <f t="shared" si="3"/>
        <v>10</v>
      </c>
      <c r="L37" s="30">
        <f t="shared" si="4"/>
        <v>3</v>
      </c>
      <c r="M37" s="30">
        <f t="shared" si="5"/>
        <v>5</v>
      </c>
      <c r="N37" s="30">
        <f t="shared" si="6"/>
        <v>4</v>
      </c>
      <c r="O37" s="47">
        <f t="shared" si="7"/>
        <v>4.5</v>
      </c>
      <c r="P37" s="51">
        <f t="shared" si="8"/>
        <v>0</v>
      </c>
    </row>
    <row r="38" spans="5:16" x14ac:dyDescent="0.35">
      <c r="E38" s="30" t="s">
        <v>9</v>
      </c>
      <c r="F38" s="48">
        <f>'Momnetum ranking'!J23</f>
        <v>-1.3605442176870763E-2</v>
      </c>
      <c r="G38" s="49">
        <f>'Momnetum ranking'!K23</f>
        <v>0.90476190476190499</v>
      </c>
      <c r="H38" s="48">
        <f>'Momnetum ranking'!Q23</f>
        <v>0.98955070000000001</v>
      </c>
      <c r="I38" s="50">
        <f>'Momnetum ranking'!O23</f>
        <v>8.6009139999999995</v>
      </c>
      <c r="J38" s="30"/>
      <c r="K38" s="30">
        <f t="shared" si="3"/>
        <v>5</v>
      </c>
      <c r="L38" s="30">
        <f t="shared" si="4"/>
        <v>1</v>
      </c>
      <c r="M38" s="30">
        <f t="shared" si="5"/>
        <v>1</v>
      </c>
      <c r="N38" s="30">
        <f t="shared" si="6"/>
        <v>2</v>
      </c>
      <c r="O38" s="47">
        <f t="shared" si="7"/>
        <v>1.5</v>
      </c>
      <c r="P38" s="51">
        <f t="shared" si="8"/>
        <v>-3</v>
      </c>
    </row>
    <row r="39" spans="5:16" x14ac:dyDescent="0.35">
      <c r="E39" s="30" t="s">
        <v>70</v>
      </c>
      <c r="F39" s="48">
        <f>'Momnetum ranking'!J24</f>
        <v>2.4709302325581384E-2</v>
      </c>
      <c r="G39" s="49">
        <f>'Momnetum ranking'!K24</f>
        <v>0.63392857142857106</v>
      </c>
      <c r="H39" s="48">
        <f>'Momnetum ranking'!Q24</f>
        <v>0.95303950000000004</v>
      </c>
      <c r="I39" s="50">
        <f>'Momnetum ranking'!O24</f>
        <v>5.7664036999999997</v>
      </c>
      <c r="J39" s="30"/>
      <c r="K39" s="30">
        <f t="shared" si="3"/>
        <v>3</v>
      </c>
      <c r="L39" s="30">
        <f t="shared" si="4"/>
        <v>6</v>
      </c>
      <c r="M39" s="30">
        <f t="shared" si="5"/>
        <v>8</v>
      </c>
      <c r="N39" s="30">
        <f t="shared" si="6"/>
        <v>6</v>
      </c>
      <c r="O39" s="47">
        <f t="shared" si="7"/>
        <v>6</v>
      </c>
      <c r="P39" s="51">
        <f t="shared" si="8"/>
        <v>1.5</v>
      </c>
    </row>
    <row r="40" spans="5:16" x14ac:dyDescent="0.35">
      <c r="E40" s="30" t="s">
        <v>15</v>
      </c>
      <c r="F40" s="48">
        <f>'Momnetum ranking'!J25</f>
        <v>1.9607843137254888E-2</v>
      </c>
      <c r="G40" s="49">
        <f>'Momnetum ranking'!K25</f>
        <v>0.63725490196078394</v>
      </c>
      <c r="H40" s="48">
        <f>'Momnetum ranking'!Q25</f>
        <v>0.91946700000000003</v>
      </c>
      <c r="I40" s="50">
        <f>'Momnetum ranking'!O25</f>
        <v>7.5902224</v>
      </c>
      <c r="J40" s="30"/>
      <c r="K40" s="30">
        <f t="shared" si="3"/>
        <v>4</v>
      </c>
      <c r="L40" s="30">
        <f t="shared" si="4"/>
        <v>5</v>
      </c>
      <c r="M40" s="30">
        <f t="shared" si="5"/>
        <v>9</v>
      </c>
      <c r="N40" s="30">
        <f t="shared" si="6"/>
        <v>3</v>
      </c>
      <c r="O40" s="47">
        <f t="shared" si="7"/>
        <v>4.5</v>
      </c>
      <c r="P40" s="51">
        <f t="shared" si="8"/>
        <v>0</v>
      </c>
    </row>
    <row r="41" spans="5:16" x14ac:dyDescent="0.35">
      <c r="E41" s="30" t="s">
        <v>78</v>
      </c>
      <c r="F41" s="48">
        <f>'Momnetum ranking'!J26</f>
        <v>-2.5848960973137353E-2</v>
      </c>
      <c r="G41" s="49">
        <f>'Momnetum ranking'!K26</f>
        <v>0.71457905544147804</v>
      </c>
      <c r="H41" s="48">
        <f>'Momnetum ranking'!Q26</f>
        <v>0.98932229999999999</v>
      </c>
      <c r="I41" s="50">
        <f>'Momnetum ranking'!O26</f>
        <v>13.353634</v>
      </c>
      <c r="J41" s="30"/>
      <c r="K41" s="30">
        <f t="shared" si="3"/>
        <v>7</v>
      </c>
      <c r="L41" s="30">
        <f t="shared" si="4"/>
        <v>2</v>
      </c>
      <c r="M41" s="30">
        <f t="shared" si="5"/>
        <v>2</v>
      </c>
      <c r="N41" s="30">
        <f t="shared" si="6"/>
        <v>1</v>
      </c>
      <c r="O41" s="47">
        <f t="shared" si="7"/>
        <v>2</v>
      </c>
      <c r="P41" s="51">
        <f t="shared" si="8"/>
        <v>-2.5</v>
      </c>
    </row>
    <row r="42" spans="5:16" x14ac:dyDescent="0.35">
      <c r="E42" s="30" t="s">
        <v>64</v>
      </c>
      <c r="F42" s="48">
        <f>'Momnetum ranking'!J27</f>
        <v>7.6923076923076927E-2</v>
      </c>
      <c r="G42" s="49">
        <f>'Momnetum ranking'!K27</f>
        <v>0.56862745098039202</v>
      </c>
      <c r="H42" s="48">
        <f>'Momnetum ranking'!Q27</f>
        <v>0.83562539999999996</v>
      </c>
      <c r="I42" s="50">
        <f>'Momnetum ranking'!O27</f>
        <v>-1.0368824000000001</v>
      </c>
      <c r="J42" s="30"/>
      <c r="K42" s="30">
        <f t="shared" si="3"/>
        <v>2</v>
      </c>
      <c r="L42" s="30">
        <f t="shared" si="4"/>
        <v>9</v>
      </c>
      <c r="M42" s="30">
        <f t="shared" si="5"/>
        <v>10</v>
      </c>
      <c r="N42" s="30">
        <f t="shared" si="6"/>
        <v>10</v>
      </c>
      <c r="O42" s="47">
        <f t="shared" si="7"/>
        <v>9.5</v>
      </c>
      <c r="P42" s="51">
        <f t="shared" si="8"/>
        <v>5</v>
      </c>
    </row>
    <row r="43" spans="5:16" x14ac:dyDescent="0.35">
      <c r="F43" s="6"/>
      <c r="G43" s="5"/>
      <c r="H43" s="6"/>
      <c r="I43" s="3"/>
      <c r="O43" s="65"/>
      <c r="P43" s="66"/>
    </row>
    <row r="44" spans="5:16" ht="15" thickBot="1" x14ac:dyDescent="0.4">
      <c r="E44" s="34" t="s">
        <v>98</v>
      </c>
      <c r="K44" s="34" t="s">
        <v>99</v>
      </c>
    </row>
    <row r="45" spans="5:16" ht="15" thickBot="1" x14ac:dyDescent="0.4">
      <c r="E45" s="31" t="s">
        <v>86</v>
      </c>
      <c r="F45" s="39"/>
      <c r="G45" s="32" t="s">
        <v>74</v>
      </c>
      <c r="H45" s="32" t="s">
        <v>75</v>
      </c>
      <c r="I45" s="33" t="s">
        <v>73</v>
      </c>
      <c r="K45" s="35"/>
      <c r="L45" s="32" t="s">
        <v>62</v>
      </c>
      <c r="M45" s="33" t="s">
        <v>63</v>
      </c>
    </row>
    <row r="46" spans="5:16" x14ac:dyDescent="0.35">
      <c r="E46" s="20" t="s">
        <v>42</v>
      </c>
      <c r="F46" s="1" t="s">
        <v>31</v>
      </c>
      <c r="G46" t="str">
        <f>IF(HLOOKUP($E46,'Factset Price Data'!$C$208:$Q$215,6,FALSE)&gt;=1,"INVESTED","CASH")</f>
        <v>INVESTED</v>
      </c>
      <c r="H46" t="str">
        <f>IF(HLOOKUP($E46,'Factset Price Data'!$C$208:$Q$215,7,FALSE)&gt;=1,"INVESTED","CASH")</f>
        <v>CASH</v>
      </c>
      <c r="I46" s="36" t="str">
        <f>IF(HLOOKUP($E46,'Factset Price Data'!$C$208:$Q$215,8,FALSE)&gt;=1,"INVESTED","CASH")</f>
        <v>INVESTED</v>
      </c>
      <c r="K46" s="20" t="s">
        <v>42</v>
      </c>
      <c r="L46" s="6">
        <f>'Momnetum ranking'!H18</f>
        <v>0.36165237724084176</v>
      </c>
      <c r="M46" s="21">
        <f>'Momnetum ranking'!I18</f>
        <v>0.38035853468433362</v>
      </c>
    </row>
    <row r="47" spans="5:16" x14ac:dyDescent="0.35">
      <c r="E47" s="20" t="s">
        <v>4</v>
      </c>
      <c r="F47" s="1" t="s">
        <v>47</v>
      </c>
      <c r="G47" t="str">
        <f>IF(HLOOKUP($E47,'Factset Price Data'!$C$208:$Q$215,6,FALSE)&gt;=1,"INVESTED","CASH")</f>
        <v>CASH</v>
      </c>
      <c r="H47" t="str">
        <f>IF(HLOOKUP($E47,'Factset Price Data'!$C$208:$Q$215,7,FALSE)&gt;=1,"INVESTED","CASH")</f>
        <v>INVESTED</v>
      </c>
      <c r="I47" s="36" t="str">
        <f>IF(HLOOKUP($E47,'Factset Price Data'!$C$208:$Q$215,8,FALSE)&gt;=1,"INVESTED","CASH")</f>
        <v>INVESTED</v>
      </c>
      <c r="K47" s="20" t="s">
        <v>4</v>
      </c>
      <c r="L47" s="6">
        <f>'Momnetum ranking'!H19</f>
        <v>0.17450521387529261</v>
      </c>
      <c r="M47" s="21">
        <f>'Momnetum ranking'!I19</f>
        <v>0.20663971057671845</v>
      </c>
    </row>
    <row r="48" spans="5:16" x14ac:dyDescent="0.35">
      <c r="E48" s="20" t="s">
        <v>49</v>
      </c>
      <c r="F48" s="1" t="s">
        <v>50</v>
      </c>
      <c r="G48" t="str">
        <f>IF(HLOOKUP($E48,'Factset Price Data'!$C$208:$Q$215,6,FALSE)&gt;=1,"INVESTED","CASH")</f>
        <v>CASH</v>
      </c>
      <c r="H48" t="str">
        <f>IF(HLOOKUP($E48,'Factset Price Data'!$C$208:$Q$215,7,FALSE)&gt;=1,"INVESTED","CASH")</f>
        <v>INVESTED</v>
      </c>
      <c r="I48" s="36" t="str">
        <f>IF(HLOOKUP($E48,'Factset Price Data'!$C$208:$Q$215,8,FALSE)&gt;=1,"INVESTED","CASH")</f>
        <v>INVESTED</v>
      </c>
      <c r="K48" s="20" t="s">
        <v>49</v>
      </c>
      <c r="L48" s="6">
        <f>'Momnetum ranking'!H20</f>
        <v>0.37972027972027972</v>
      </c>
      <c r="M48" s="21">
        <f>'Momnetum ranking'!I20</f>
        <v>0.43566433566433566</v>
      </c>
    </row>
    <row r="49" spans="5:15" x14ac:dyDescent="0.35">
      <c r="E49" s="20" t="s">
        <v>12</v>
      </c>
      <c r="F49" s="1" t="s">
        <v>51</v>
      </c>
      <c r="G49" t="str">
        <f>IF(HLOOKUP($E49,'Factset Price Data'!$C$208:$Q$215,6,FALSE)&gt;=1,"INVESTED","CASH")</f>
        <v>CASH</v>
      </c>
      <c r="H49" t="str">
        <f>IF(HLOOKUP($E49,'Factset Price Data'!$C$208:$Q$215,7,FALSE)&gt;=1,"INVESTED","CASH")</f>
        <v>INVESTED</v>
      </c>
      <c r="I49" s="36" t="str">
        <f>IF(HLOOKUP($E49,'Factset Price Data'!$C$208:$Q$215,8,FALSE)&gt;=1,"INVESTED","CASH")</f>
        <v>INVESTED</v>
      </c>
      <c r="K49" s="20" t="s">
        <v>12</v>
      </c>
      <c r="L49" s="6">
        <f>'Momnetum ranking'!H21</f>
        <v>0.50731707317073171</v>
      </c>
      <c r="M49" s="21">
        <f>'Momnetum ranking'!I21</f>
        <v>0.2780487804878049</v>
      </c>
    </row>
    <row r="50" spans="5:15" x14ac:dyDescent="0.35">
      <c r="E50" s="20" t="s">
        <v>1</v>
      </c>
      <c r="F50" s="1" t="s">
        <v>28</v>
      </c>
      <c r="G50" t="str">
        <f>IF(HLOOKUP($E50,'Factset Price Data'!$C$208:$Q$215,6,FALSE)&gt;=1,"INVESTED","CASH")</f>
        <v>CASH</v>
      </c>
      <c r="H50" t="str">
        <f>IF(HLOOKUP($E50,'Factset Price Data'!$C$208:$Q$215,7,FALSE)&gt;=1,"INVESTED","CASH")</f>
        <v>INVESTED</v>
      </c>
      <c r="I50" s="36" t="str">
        <f>IF(HLOOKUP($E50,'Factset Price Data'!$C$208:$Q$215,8,FALSE)&gt;=1,"INVESTED","CASH")</f>
        <v>INVESTED</v>
      </c>
      <c r="K50" s="20" t="s">
        <v>1</v>
      </c>
      <c r="L50" s="6">
        <f>'Momnetum ranking'!H22</f>
        <v>0.36580516898608351</v>
      </c>
      <c r="M50" s="21">
        <f>'Momnetum ranking'!I22</f>
        <v>0.44333996023856859</v>
      </c>
    </row>
    <row r="51" spans="5:15" x14ac:dyDescent="0.35">
      <c r="E51" s="20" t="s">
        <v>9</v>
      </c>
      <c r="F51" s="1" t="s">
        <v>9</v>
      </c>
      <c r="G51" t="str">
        <f>IF(HLOOKUP($E51,'Factset Price Data'!$C$208:$Q$215,6,FALSE)&gt;=1,"INVESTED","CASH")</f>
        <v>INVESTED</v>
      </c>
      <c r="H51" t="str">
        <f>IF(HLOOKUP($E51,'Factset Price Data'!$C$208:$Q$215,7,FALSE)&gt;=1,"INVESTED","CASH")</f>
        <v>INVESTED</v>
      </c>
      <c r="I51" s="36" t="str">
        <f>IF(HLOOKUP($E51,'Factset Price Data'!$C$208:$Q$215,8,FALSE)&gt;=1,"INVESTED","CASH")</f>
        <v>INVESTED</v>
      </c>
      <c r="K51" s="20" t="s">
        <v>9</v>
      </c>
      <c r="L51" s="6">
        <f>'Momnetum ranking'!H23</f>
        <v>0.39455782312925169</v>
      </c>
      <c r="M51" s="21">
        <f>'Momnetum ranking'!I23</f>
        <v>0.40816326530612246</v>
      </c>
    </row>
    <row r="52" spans="5:15" x14ac:dyDescent="0.35">
      <c r="E52" s="20" t="s">
        <v>70</v>
      </c>
      <c r="F52" s="1" t="s">
        <v>70</v>
      </c>
      <c r="G52" t="str">
        <f>IF(HLOOKUP($E52,'Factset Price Data'!$C$208:$Q$215,6,FALSE)&gt;=1,"INVESTED","CASH")</f>
        <v>CASH</v>
      </c>
      <c r="H52" t="str">
        <f>IF(HLOOKUP($E52,'Factset Price Data'!$C$208:$Q$215,7,FALSE)&gt;=1,"INVESTED","CASH")</f>
        <v>INVESTED</v>
      </c>
      <c r="I52" s="36" t="str">
        <f>IF(HLOOKUP($E52,'Factset Price Data'!$C$208:$Q$215,8,FALSE)&gt;=1,"INVESTED","CASH")</f>
        <v>INVESTED</v>
      </c>
      <c r="K52" s="20" t="s">
        <v>70</v>
      </c>
      <c r="L52" s="6">
        <f>'Momnetum ranking'!H24</f>
        <v>0.38372093023255816</v>
      </c>
      <c r="M52" s="21">
        <f>'Momnetum ranking'!I24</f>
        <v>0.35901162790697677</v>
      </c>
    </row>
    <row r="53" spans="5:15" x14ac:dyDescent="0.35">
      <c r="E53" s="20" t="s">
        <v>15</v>
      </c>
      <c r="F53" s="1" t="s">
        <v>15</v>
      </c>
      <c r="G53" t="str">
        <f>IF(HLOOKUP($E53,'Factset Price Data'!$C$208:$Q$215,6,FALSE)&gt;=1,"INVESTED","CASH")</f>
        <v>CASH</v>
      </c>
      <c r="H53" t="str">
        <f>IF(HLOOKUP($E53,'Factset Price Data'!$C$208:$Q$215,7,FALSE)&gt;=1,"INVESTED","CASH")</f>
        <v>INVESTED</v>
      </c>
      <c r="I53" s="36" t="str">
        <f>IF(HLOOKUP($E53,'Factset Price Data'!$C$208:$Q$215,8,FALSE)&gt;=1,"INVESTED","CASH")</f>
        <v>INVESTED</v>
      </c>
      <c r="K53" s="20" t="s">
        <v>15</v>
      </c>
      <c r="L53" s="6">
        <f>'Momnetum ranking'!H25</f>
        <v>0.38235294117647056</v>
      </c>
      <c r="M53" s="21">
        <f>'Momnetum ranking'!I25</f>
        <v>0.36274509803921567</v>
      </c>
    </row>
    <row r="54" spans="5:15" ht="15" thickBot="1" x14ac:dyDescent="0.4">
      <c r="E54" s="9" t="s">
        <v>78</v>
      </c>
      <c r="F54" s="38" t="s">
        <v>77</v>
      </c>
      <c r="G54" s="10" t="str">
        <f>IF(HLOOKUP($E54,'Factset Price Data'!$C$208:$Q$215,6,FALSE)&gt;=1,"INVESTED","CASH")</f>
        <v>INVESTED</v>
      </c>
      <c r="H54" s="10" t="str">
        <f>IF(HLOOKUP($E54,'Factset Price Data'!$C$208:$Q$215,7,FALSE)&gt;=1,"INVESTED","CASH")</f>
        <v>INVESTED</v>
      </c>
      <c r="I54" s="37" t="str">
        <f>IF(HLOOKUP($E54,'Factset Price Data'!$C$208:$Q$215,8,FALSE)&gt;=1,"INVESTED","CASH")</f>
        <v>INVESTED</v>
      </c>
      <c r="K54" s="20" t="s">
        <v>78</v>
      </c>
      <c r="L54" s="6">
        <f>'Momnetum ranking'!H26</f>
        <v>0.21084642676127724</v>
      </c>
      <c r="M54" s="21">
        <f>'Momnetum ranking'!I26</f>
        <v>0.23669538773441459</v>
      </c>
    </row>
    <row r="55" spans="5:15" ht="15" thickBot="1" x14ac:dyDescent="0.4">
      <c r="K55" s="9" t="s">
        <v>64</v>
      </c>
      <c r="L55" s="26">
        <f>'Momnetum ranking'!H27</f>
        <v>0.5</v>
      </c>
      <c r="M55" s="22">
        <f>'Momnetum ranking'!I27</f>
        <v>0.42307692307692307</v>
      </c>
    </row>
    <row r="57" spans="5:15" ht="15" thickBot="1" x14ac:dyDescent="0.4">
      <c r="E57" s="34" t="s">
        <v>100</v>
      </c>
    </row>
    <row r="58" spans="5:15" x14ac:dyDescent="0.35">
      <c r="E58" s="23" t="s">
        <v>1</v>
      </c>
      <c r="F58" s="40">
        <f>'Global Value'!M3</f>
        <v>6.0082552436577639E-2</v>
      </c>
      <c r="G58" s="1"/>
      <c r="J58" s="6"/>
    </row>
    <row r="59" spans="5:15" x14ac:dyDescent="0.35">
      <c r="E59" s="20" t="s">
        <v>15</v>
      </c>
      <c r="F59" s="21">
        <f>'Global Value'!M4</f>
        <v>0.1242929526027001</v>
      </c>
      <c r="J59" s="6"/>
    </row>
    <row r="60" spans="5:15" x14ac:dyDescent="0.35">
      <c r="E60" s="20" t="s">
        <v>12</v>
      </c>
      <c r="F60" s="21">
        <f>'Global Value'!M5</f>
        <v>6.0997852162219153E-2</v>
      </c>
      <c r="J60" s="6"/>
    </row>
    <row r="61" spans="5:15" x14ac:dyDescent="0.35">
      <c r="E61" s="20" t="s">
        <v>93</v>
      </c>
      <c r="F61" s="21">
        <f>'Global Value'!M6</f>
        <v>2.8357676895093629E-2</v>
      </c>
      <c r="J61" s="6"/>
    </row>
    <row r="62" spans="5:15" x14ac:dyDescent="0.35">
      <c r="E62" s="20" t="s">
        <v>49</v>
      </c>
      <c r="F62" s="21">
        <f>'Global Value'!M7</f>
        <v>4.6831809788575228E-2</v>
      </c>
      <c r="J62" s="6"/>
      <c r="O62" s="19"/>
    </row>
    <row r="63" spans="5:15" x14ac:dyDescent="0.35">
      <c r="E63" s="20" t="s">
        <v>9</v>
      </c>
      <c r="F63" s="21">
        <f>'Global Value'!M8</f>
        <v>1.7565798434193633E-2</v>
      </c>
      <c r="J63" s="6"/>
    </row>
    <row r="64" spans="5:15" ht="15" thickBot="1" x14ac:dyDescent="0.4">
      <c r="E64" s="9" t="s">
        <v>64</v>
      </c>
      <c r="F64" s="22">
        <f>'Global Value'!M9</f>
        <v>8.6812067854339772E-2</v>
      </c>
      <c r="J64" s="6"/>
    </row>
    <row r="65" spans="6:10" x14ac:dyDescent="0.35">
      <c r="F65" s="6"/>
      <c r="J65" s="6"/>
    </row>
    <row r="66" spans="6:10" x14ac:dyDescent="0.35">
      <c r="F66" s="6"/>
      <c r="J66" s="6"/>
    </row>
    <row r="67" spans="6:10" x14ac:dyDescent="0.35">
      <c r="F67" s="6"/>
      <c r="J67" s="6"/>
    </row>
    <row r="68" spans="6:10" x14ac:dyDescent="0.35">
      <c r="F68" s="6"/>
      <c r="J68" s="6"/>
    </row>
    <row r="69" spans="6:10" x14ac:dyDescent="0.35">
      <c r="F69" s="6"/>
      <c r="J69" s="6"/>
    </row>
    <row r="70" spans="6:10" x14ac:dyDescent="0.35">
      <c r="F70" s="6"/>
      <c r="J70" s="6"/>
    </row>
  </sheetData>
  <conditionalFormatting sqref="F4:H9">
    <cfRule type="cellIs" dxfId="7" priority="35" operator="equal">
      <formula>"CASH"</formula>
    </cfRule>
    <cfRule type="cellIs" dxfId="6" priority="36" operator="equal">
      <formula>"INVESTED"</formula>
    </cfRule>
    <cfRule type="colorScale" priority="37">
      <colorScale>
        <cfvo type="formula" val="$I$19"/>
        <cfvo type="max"/>
        <color theme="9"/>
        <color rgb="FFFF0000"/>
      </colorScale>
    </cfRule>
    <cfRule type="colorScale" priority="38">
      <colorScale>
        <cfvo type="min"/>
        <cfvo type="max"/>
        <color rgb="FFFF7128"/>
        <color rgb="FFFFEF9C"/>
      </colorScale>
    </cfRule>
    <cfRule type="colorScale" priority="39">
      <colorScale>
        <cfvo type="min"/>
        <cfvo type="max"/>
        <color theme="9"/>
        <color rgb="FFFF0000"/>
      </colorScale>
    </cfRule>
  </conditionalFormatting>
  <conditionalFormatting sqref="F5:H9">
    <cfRule type="cellIs" dxfId="5" priority="40" operator="equal">
      <formula>"CASH"</formula>
    </cfRule>
    <cfRule type="cellIs" dxfId="4" priority="41" operator="equal">
      <formula>"INVESTED"</formula>
    </cfRule>
    <cfRule type="colorScale" priority="42">
      <colorScale>
        <cfvo type="formula" val="$I$19"/>
        <cfvo type="max"/>
        <color theme="9"/>
        <color rgb="FFFF0000"/>
      </colorScale>
    </cfRule>
    <cfRule type="colorScale" priority="43">
      <colorScale>
        <cfvo type="min"/>
        <cfvo type="max"/>
        <color rgb="FFFF7128"/>
        <color rgb="FFFFEF9C"/>
      </colorScale>
    </cfRule>
  </conditionalFormatting>
  <conditionalFormatting sqref="G46:I54">
    <cfRule type="cellIs" dxfId="3" priority="46" operator="equal">
      <formula>"CASH"</formula>
    </cfRule>
    <cfRule type="cellIs" dxfId="2" priority="47" operator="equal">
      <formula>"INVESTED"</formula>
    </cfRule>
    <cfRule type="colorScale" priority="48">
      <colorScale>
        <cfvo type="formula" val="$I$19"/>
        <cfvo type="max"/>
        <color theme="9"/>
        <color rgb="FFFF0000"/>
      </colorScale>
    </cfRule>
    <cfRule type="colorScale" priority="49">
      <colorScale>
        <cfvo type="min"/>
        <cfvo type="max"/>
        <color rgb="FFFF7128"/>
        <color rgb="FFFFEF9C"/>
      </colorScale>
    </cfRule>
    <cfRule type="colorScale" priority="50">
      <colorScale>
        <cfvo type="min"/>
        <cfvo type="max"/>
        <color theme="9"/>
        <color rgb="FFFF0000"/>
      </colorScale>
    </cfRule>
  </conditionalFormatting>
  <conditionalFormatting sqref="I15:K28">
    <cfRule type="cellIs" dxfId="1" priority="13" operator="equal">
      <formula>"CASH"</formula>
    </cfRule>
    <cfRule type="cellIs" dxfId="0" priority="14" operator="equal">
      <formula>"INVESTED"</formula>
    </cfRule>
    <cfRule type="colorScale" priority="15">
      <colorScale>
        <cfvo type="formula" val="$I$19"/>
        <cfvo type="max"/>
        <color theme="9"/>
        <color rgb="FFFF0000"/>
      </colorScale>
    </cfRule>
    <cfRule type="colorScale" priority="16">
      <colorScale>
        <cfvo type="min"/>
        <cfvo type="max"/>
        <color rgb="FFFF7128"/>
        <color rgb="FFFFEF9C"/>
      </colorScale>
    </cfRule>
    <cfRule type="colorScale" priority="17">
      <colorScale>
        <cfvo type="min"/>
        <cfvo type="max"/>
        <color theme="9"/>
        <color rgb="FFFF0000"/>
      </colorScale>
    </cfRule>
  </conditionalFormatting>
  <conditionalFormatting sqref="P33:P43">
    <cfRule type="iconSet" priority="6">
      <iconSet showValue="0" reverse="1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4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G29 H15:H28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1B72F-F5D5-4016-98E3-761756AC8D90}">
  <dimension ref="A1:M9"/>
  <sheetViews>
    <sheetView workbookViewId="0">
      <selection activeCell="C15" sqref="C15"/>
    </sheetView>
  </sheetViews>
  <sheetFormatPr defaultRowHeight="14.5" x14ac:dyDescent="0.35"/>
  <cols>
    <col min="3" max="3" width="32.36328125" bestFit="1" customWidth="1"/>
    <col min="4" max="4" width="11.81640625" bestFit="1" customWidth="1"/>
    <col min="5" max="5" width="13.08984375" bestFit="1" customWidth="1"/>
    <col min="6" max="6" width="9" bestFit="1" customWidth="1"/>
    <col min="7" max="7" width="10" bestFit="1" customWidth="1"/>
    <col min="8" max="8" width="12.6328125" bestFit="1" customWidth="1"/>
    <col min="9" max="9" width="9.6328125" customWidth="1"/>
    <col min="10" max="10" width="10.54296875" bestFit="1" customWidth="1"/>
    <col min="11" max="11" width="14.36328125" bestFit="1" customWidth="1"/>
    <col min="12" max="12" width="20" bestFit="1" customWidth="1"/>
    <col min="13" max="13" width="12.1796875" bestFit="1" customWidth="1"/>
  </cols>
  <sheetData>
    <row r="1" spans="1:13" ht="15" thickBot="1" x14ac:dyDescent="0.4"/>
    <row r="2" spans="1:13" x14ac:dyDescent="0.35">
      <c r="A2" s="55" t="s">
        <v>86</v>
      </c>
      <c r="B2" s="56" t="s">
        <v>43</v>
      </c>
      <c r="C2" s="56" t="s">
        <v>107</v>
      </c>
      <c r="D2" s="56" t="s">
        <v>43</v>
      </c>
      <c r="E2" s="56" t="s">
        <v>103</v>
      </c>
      <c r="F2" s="56" t="s">
        <v>89</v>
      </c>
      <c r="G2" s="56" t="s">
        <v>90</v>
      </c>
      <c r="H2" s="56" t="s">
        <v>108</v>
      </c>
      <c r="I2" s="56" t="s">
        <v>91</v>
      </c>
      <c r="J2" s="56" t="s">
        <v>88</v>
      </c>
      <c r="K2" s="56" t="s">
        <v>92</v>
      </c>
      <c r="L2" s="56" t="s">
        <v>110</v>
      </c>
      <c r="M2" s="57" t="s">
        <v>111</v>
      </c>
    </row>
    <row r="3" spans="1:13" x14ac:dyDescent="0.35">
      <c r="A3" s="20" t="s">
        <v>1</v>
      </c>
      <c r="B3" t="s">
        <v>30</v>
      </c>
      <c r="C3" t="str" cm="1">
        <f t="array" ref="C3">_xll.FDSR(A3,"FG_COMPANY_NAME")</f>
        <v>SPDR S&amp;P 500 ETF Trust</v>
      </c>
      <c r="D3" t="s">
        <v>46</v>
      </c>
      <c r="E3" t="s">
        <v>106</v>
      </c>
      <c r="F3" s="4" cm="1">
        <f t="array" ref="F3">_xll.FDS(A3,"FG_PE(0)")</f>
        <v>25.034677792177899</v>
      </c>
      <c r="G3" s="4" cm="1">
        <f t="array" ref="G3">_xll.FDS(A3,"FG_PE_NTM(0,,,90,0)")</f>
        <v>20.5995979863517</v>
      </c>
      <c r="H3" cm="1">
        <f t="array" ref="H3">_xll.FDS(A3,"FMA_DIV_YLD(NTMA,NOW,NOW,M,""PORTAGG"",""MEANR"")")</f>
        <v>1.4075787734410199</v>
      </c>
      <c r="I3" s="60" cm="1">
        <f t="array" ref="I3">_xll.FDS(A3,"FG_FCF_YIELD_NTM(0)")</f>
        <v>4.2150920832818297</v>
      </c>
      <c r="J3" s="59">
        <f>HLOOKUP(A3,'Index earnings'!$B$1:$H$26,26,FALSE)</f>
        <v>5.9884631603759342E-2</v>
      </c>
      <c r="K3" cm="1">
        <f t="array" ref="K3">_xll.FDS(E3,"FG_YIELD(0,,,,""YTM"")")</f>
        <v>4.1952999999999996</v>
      </c>
      <c r="L3" s="61">
        <f>I3/100+J3</f>
        <v>0.10203555243657764</v>
      </c>
      <c r="M3" s="21">
        <f>L3-K3/100</f>
        <v>6.0082552436577639E-2</v>
      </c>
    </row>
    <row r="4" spans="1:13" x14ac:dyDescent="0.35">
      <c r="A4" s="20" t="s">
        <v>15</v>
      </c>
      <c r="B4" t="s">
        <v>30</v>
      </c>
      <c r="C4" t="str" cm="1">
        <f t="array" ref="C4">_xll.FDSR(A4,"FG_COMPANY_NAME")</f>
        <v>Invesco QQQ Trust Series I</v>
      </c>
      <c r="D4" t="s">
        <v>46</v>
      </c>
      <c r="E4" t="s">
        <v>106</v>
      </c>
      <c r="F4" s="4" cm="1">
        <f t="array" ref="F4">_xll.FDS(A4,"FG_PE(0)")</f>
        <v>32.149842738015998</v>
      </c>
      <c r="G4" s="4" cm="1">
        <f t="array" ref="G4">_xll.FDS(A4,"FG_PE_NTM(0,,,90,0)")</f>
        <v>25.7231507266766</v>
      </c>
      <c r="H4" cm="1">
        <f t="array" ref="H4">_xll.FDS(A4,"FMA_DIV_YLD(NTMA,NOW,NOW,M,""PORTAGG"",""MEANR"")")</f>
        <v>0.84331713901734795</v>
      </c>
      <c r="I4" s="60" cm="1">
        <f t="array" ref="I4">_xll.FDS(A4,"FG_FCF_YIELD_NTM(0)")</f>
        <v>3.6356353392448302</v>
      </c>
      <c r="J4" s="59">
        <f>HLOOKUP(A4,'Index earnings'!$B$1:$H$26,26,FALSE)</f>
        <v>0.12988959921025178</v>
      </c>
      <c r="K4" cm="1">
        <f t="array" ref="K4">_xll.FDS(E4,"FG_YIELD(0,,,,""YTM"")")</f>
        <v>4.1952999999999996</v>
      </c>
      <c r="L4" s="61">
        <f t="shared" ref="L4:L8" si="0">I4/100+J4</f>
        <v>0.16624595260270009</v>
      </c>
      <c r="M4" s="21">
        <f t="shared" ref="M4:M9" si="1">L4-K4/100</f>
        <v>0.1242929526027001</v>
      </c>
    </row>
    <row r="5" spans="1:13" x14ac:dyDescent="0.35">
      <c r="A5" s="20" t="s">
        <v>12</v>
      </c>
      <c r="B5" t="s">
        <v>29</v>
      </c>
      <c r="C5" t="str" cm="1">
        <f t="array" ref="C5">_xll.FDSR(A5,"FG_COMPANY_NAME")</f>
        <v>iShares MSCI Japan ETF</v>
      </c>
      <c r="D5" t="s">
        <v>45</v>
      </c>
      <c r="E5" t="s">
        <v>109</v>
      </c>
      <c r="F5" s="4" cm="1">
        <f t="array" ref="F5">_xll.FDS(A5,"FG_PE(0)")</f>
        <v>16.830468957470998</v>
      </c>
      <c r="G5" s="4" cm="1">
        <f t="array" ref="G5">_xll.FDS(A5,"FG_PE_NTM(0,,,90,0)")</f>
        <v>15.294486385434301</v>
      </c>
      <c r="H5" cm="1">
        <f t="array" ref="H5">_xll.FDS(A5,"FMA_DIV_YLD(NTMA,NOW,NOW,M,""PORTAGG"",""MEANR"")")</f>
        <v>2.2329789721302502</v>
      </c>
      <c r="I5" s="60" cm="1">
        <f t="array" ref="I5">_xll.FDS(A5,"FG_FCF_YIELD_NTM(0)")</f>
        <v>3.89773188028289</v>
      </c>
      <c r="J5" s="59">
        <f>HLOOKUP(A5,'Index earnings'!$B$1:$H$26,26,FALSE)</f>
        <v>3.2572533359390254E-2</v>
      </c>
      <c r="K5" cm="1">
        <f t="array" ref="K5">_xll.FDS(E5,"FG_YIELD(0,,,,""YTM"")")</f>
        <v>1.0551999999999999</v>
      </c>
      <c r="L5" s="61">
        <f t="shared" si="0"/>
        <v>7.1549852162219152E-2</v>
      </c>
      <c r="M5" s="21">
        <f t="shared" si="1"/>
        <v>6.0997852162219153E-2</v>
      </c>
    </row>
    <row r="6" spans="1:13" x14ac:dyDescent="0.35">
      <c r="A6" s="20" t="s">
        <v>93</v>
      </c>
      <c r="B6" t="s">
        <v>30</v>
      </c>
      <c r="C6" t="str" cm="1">
        <f t="array" ref="C6">_xll.FDSR(A6,"FG_COMPANY_NAME")</f>
        <v>Vanguard FTSE Emerging Markets ETF</v>
      </c>
      <c r="D6" t="s">
        <v>46</v>
      </c>
      <c r="E6" t="s">
        <v>106</v>
      </c>
      <c r="F6" s="4" cm="1">
        <f t="array" ref="F6">_xll.FDS(A6,"FG_PE(0)")</f>
        <v>15.043627469486401</v>
      </c>
      <c r="G6" s="4" cm="1">
        <f t="array" ref="G6">_xll.FDS(A6,"FG_PE_NTM(0,,,90,0)")</f>
        <v>2.4051451307245002</v>
      </c>
      <c r="H6" cm="1">
        <f t="array" ref="H6">_xll.FDS(A6,"FMA_DIV_YLD(NTMA,NOW,NOW,M,""PORTAGG"",""MEANR"")")</f>
        <v>4.1555467803148201</v>
      </c>
      <c r="I6" s="60" cm="1">
        <f t="array" ref="I6">_xll.FDS(A6,"FG_FCF_YIELD_NTM(0)")</f>
        <v>5.3579970269033597</v>
      </c>
      <c r="J6" s="59">
        <f>HLOOKUP(A6,'Index earnings'!$B$1:$H$26,26,FALSE)</f>
        <v>1.6730706626060021E-2</v>
      </c>
      <c r="K6" cm="1">
        <f t="array" ref="K6">_xll.FDS(E6,"FG_YIELD(0,,,,""YTM"")")</f>
        <v>4.1952999999999996</v>
      </c>
      <c r="L6" s="61">
        <f t="shared" si="0"/>
        <v>7.0310676895093627E-2</v>
      </c>
      <c r="M6" s="21">
        <f t="shared" si="1"/>
        <v>2.8357676895093629E-2</v>
      </c>
    </row>
    <row r="7" spans="1:13" x14ac:dyDescent="0.35">
      <c r="A7" s="20" t="s">
        <v>49</v>
      </c>
      <c r="B7" t="s">
        <v>30</v>
      </c>
      <c r="C7" t="str" cm="1">
        <f t="array" ref="C7">_xll.FDSR(A7,"FG_COMPANY_NAME")</f>
        <v>iShares MSCI World ETF</v>
      </c>
      <c r="D7" t="s">
        <v>46</v>
      </c>
      <c r="E7" t="s">
        <v>106</v>
      </c>
      <c r="F7" s="4" cm="1">
        <f t="array" ref="F7">_xll.FDS(A7,"FG_PE(0)")</f>
        <v>21.3739924715595</v>
      </c>
      <c r="G7" s="4" cm="1">
        <f t="array" ref="G7">_xll.FDS(A7,"FG_PE_NTM(0,,,90,0)")</f>
        <v>18.314729942220001</v>
      </c>
      <c r="H7" cm="1">
        <f t="array" ref="H7">_xll.FDS(A7,"FMA_DIV_YLD(NTMA,NOW,NOW,M,""PORTAGG"",""MEANR"")")</f>
        <v>1.9148430691673</v>
      </c>
      <c r="I7" s="60" cm="1">
        <f t="array" ref="I7">_xll.FDS(A7,"FG_FCF_YIELD_NTM(0)")</f>
        <v>4.41914729587391</v>
      </c>
      <c r="J7" s="59">
        <f>HLOOKUP(A7,'Index earnings'!$B$1:$H$26,26,FALSE)</f>
        <v>4.4593336829836128E-2</v>
      </c>
      <c r="K7" cm="1">
        <f t="array" ref="K7">_xll.FDS(E7,"FG_YIELD(0,,,,""YTM"")")</f>
        <v>4.1952999999999996</v>
      </c>
      <c r="L7" s="61">
        <f t="shared" si="0"/>
        <v>8.8784809788575225E-2</v>
      </c>
      <c r="M7" s="21">
        <f t="shared" si="1"/>
        <v>4.6831809788575228E-2</v>
      </c>
    </row>
    <row r="8" spans="1:13" x14ac:dyDescent="0.35">
      <c r="A8" s="20" t="s">
        <v>9</v>
      </c>
      <c r="B8" t="s">
        <v>102</v>
      </c>
      <c r="C8" t="str" cm="1">
        <f t="array" ref="C8">_xll.FDSR(A8,"FG_COMPANY_NAME")</f>
        <v>iShares MSCI India ETF</v>
      </c>
      <c r="D8" t="s">
        <v>87</v>
      </c>
      <c r="E8" t="s">
        <v>105</v>
      </c>
      <c r="F8" s="4" cm="1">
        <f t="array" ref="F8">_xll.FDS(A8,"FG_PE(0)")</f>
        <v>26.710404354307101</v>
      </c>
      <c r="G8" s="4" cm="1">
        <f t="array" ref="G8">_xll.FDS(A8,"FG_PE_NTM(0,,,90,0)")</f>
        <v>23.950291447862</v>
      </c>
      <c r="H8" cm="1">
        <f t="array" ref="H8">_xll.FDS(A8,"FMA_DIV_YLD(NTMA,NOW,NOW,M,""PORTAGG"",""MEANR"")")</f>
        <v>1.2693700716254199</v>
      </c>
      <c r="I8" s="60" cm="1">
        <f t="array" ref="I8">_xll.FDS(A8,"FG_FCF_YIELD_NTM(0)")</f>
        <v>2.6974350059753802</v>
      </c>
      <c r="J8" s="59">
        <f>HLOOKUP(A8,'Index earnings'!$B$1:$H$26,26,FALSE)</f>
        <v>6.0111448374439824E-2</v>
      </c>
      <c r="K8" cm="1">
        <f t="array" ref="K8">_xll.FDS(E8,"FG_YIELD(0,,,,""YTM"")")</f>
        <v>6.952</v>
      </c>
      <c r="L8" s="61">
        <f t="shared" si="0"/>
        <v>8.7085798434193631E-2</v>
      </c>
      <c r="M8" s="21">
        <f t="shared" si="1"/>
        <v>1.7565798434193633E-2</v>
      </c>
    </row>
    <row r="9" spans="1:13" ht="15" thickBot="1" x14ac:dyDescent="0.4">
      <c r="A9" s="9" t="s">
        <v>64</v>
      </c>
      <c r="B9" s="10" t="s">
        <v>101</v>
      </c>
      <c r="C9" s="10" t="str" cm="1">
        <f t="array" ref="C9">_xll.FDSR(A9,"FG_COMPANY_NAME")</f>
        <v>iShares China Large-Cap ETF</v>
      </c>
      <c r="D9" s="10" t="s">
        <v>44</v>
      </c>
      <c r="E9" s="10" t="s">
        <v>104</v>
      </c>
      <c r="F9" s="53" cm="1">
        <f t="array" ref="F9">_xll.FDS(A9,"FG_PE(0)")</f>
        <v>9.5183326989524808</v>
      </c>
      <c r="G9" s="53" cm="1">
        <f t="array" ref="G9">_xll.FDS(A9,"FG_PE_NTM(0,,,90,0)")</f>
        <v>7.3232577303322204</v>
      </c>
      <c r="H9" s="10" cm="1">
        <f t="array" ref="H9">_xll.FDS(A9,"FMA_DIV_YLD(NTMA,NOW,NOW,M,""PORTAGG"",""MEANR"")")</f>
        <v>3.6631516409142999</v>
      </c>
      <c r="I9" s="41" cm="1">
        <f t="array" ref="I9">_xll.FDS(A9,"FG_FCF_YIELD_NTM(0)")</f>
        <v>8.00829781330782</v>
      </c>
      <c r="J9" s="62">
        <f>HLOOKUP(A9,'Index earnings'!$B$1:$H$26,26,FALSE)</f>
        <v>7.2150551445196776E-2</v>
      </c>
      <c r="K9" s="10" cm="1">
        <f t="array" ref="K9">_xll.FDS(E9,"FG_YIELD(0,,,,""YTM"")")</f>
        <v>2.1970000000000001</v>
      </c>
      <c r="L9" s="54">
        <f>H9/100+J9</f>
        <v>0.10878206785433978</v>
      </c>
      <c r="M9" s="22">
        <f t="shared" si="1"/>
        <v>8.6812067854339772E-2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60"/>
  <sheetViews>
    <sheetView workbookViewId="0">
      <selection sqref="A1:XFD1048576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66</v>
      </c>
      <c r="F1" t="s">
        <v>2</v>
      </c>
      <c r="G1" t="s">
        <v>3</v>
      </c>
      <c r="H1" t="s">
        <v>5</v>
      </c>
      <c r="K1" t="s">
        <v>67</v>
      </c>
      <c r="L1" t="s">
        <v>2</v>
      </c>
      <c r="M1" t="s">
        <v>21</v>
      </c>
      <c r="N1" t="s">
        <v>22</v>
      </c>
      <c r="P1" s="1" t="s">
        <v>26</v>
      </c>
      <c r="Q1" t="s">
        <v>27</v>
      </c>
      <c r="S1" t="s">
        <v>68</v>
      </c>
    </row>
    <row r="2" spans="1:19" s="12" customFormat="1" ht="15" thickBot="1" x14ac:dyDescent="0.4">
      <c r="A2" s="11"/>
      <c r="K2" s="28">
        <f>'Aset class Rankings'!E13</f>
        <v>0.33</v>
      </c>
      <c r="L2" s="28">
        <f>'Aset class Rankings'!F13</f>
        <v>0.33</v>
      </c>
      <c r="M2" s="28">
        <f>'Aset class Rankings'!G13</f>
        <v>0.33</v>
      </c>
    </row>
    <row r="3" spans="1:19" x14ac:dyDescent="0.35">
      <c r="A3" t="s">
        <v>4</v>
      </c>
      <c r="B3" t="str" cm="1">
        <f t="array" ref="B3">_xll.FDSR(A3,"FG_COMPANY_NAME")</f>
        <v>Vanguard FTSE Emerging Markets ETF</v>
      </c>
      <c r="C3" t="str">
        <f>A3</f>
        <v>VWO</v>
      </c>
      <c r="E3" s="3" cm="1">
        <f t="array" ref="E3">_xll.FDS(C3,"FG_TOTAL_RETURNC(0,-1AM)")</f>
        <v>0.11450051999999999</v>
      </c>
      <c r="F3" s="3" cm="1">
        <f t="array" ref="F3">_xll.FDS(C3,"FG_TOTAL_RETURNC(0,-3AM)")</f>
        <v>3.7086606</v>
      </c>
      <c r="G3" s="3" cm="1">
        <f t="array" ref="G3">_xll.FDS(C3,"FG_TOTAL_RETURNC(0,-6AM)")</f>
        <v>9.3877550000000003</v>
      </c>
      <c r="H3" s="6" cm="1">
        <f t="array" ref="H3">_xll.FDS(C3,"P_PRICE(0)/P_PRICE_HIGH_PR(0,,,USD,,,""PRICE"",""INTRA"",""52W"")")</f>
        <v>0.95615095000000005</v>
      </c>
      <c r="K3" s="4">
        <f>_xlfn.RANK.EQ(H3,H$3:H$16)</f>
        <v>5</v>
      </c>
      <c r="L3" s="4">
        <f>_xlfn.RANK.EQ(F3,F$3:F$16)</f>
        <v>8</v>
      </c>
      <c r="M3" s="4">
        <f>_xlfn.RANK.EQ(G3,G$3:G$16)</f>
        <v>7</v>
      </c>
      <c r="N3" s="4"/>
      <c r="P3" s="3">
        <f t="shared" ref="P3:P15" si="0">SUMPRODUCT($K$2:$M$2,K3:M3)</f>
        <v>6.6</v>
      </c>
      <c r="Q3">
        <f t="shared" ref="Q3:Q15" si="1">COUNTIF(K3:N3,"&gt;70")</f>
        <v>0</v>
      </c>
      <c r="S3" s="3">
        <f>15-_xlfn.RANK.EQ(P3,$P$3:$P$16)</f>
        <v>8</v>
      </c>
    </row>
    <row r="4" spans="1:19" x14ac:dyDescent="0.35">
      <c r="A4" t="s">
        <v>1</v>
      </c>
      <c r="B4" t="str" cm="1">
        <f t="array" ref="B4">_xll.FDSR(A4,"FG_COMPANY_NAME")</f>
        <v>SPDR S&amp;P 500 ETF Trust</v>
      </c>
      <c r="C4" t="str">
        <f t="shared" ref="C4:C14" si="2">A4</f>
        <v>SPY</v>
      </c>
      <c r="E4" s="3" cm="1">
        <f t="array" ref="E4">_xll.FDS(C4,"FG_TOTAL_RETURNC(0,-1AM)")</f>
        <v>-0.19614697</v>
      </c>
      <c r="F4" s="3" cm="1">
        <f t="array" ref="F4">_xll.FDS(C4,"FG_TOTAL_RETURNC(0,-3AM)")</f>
        <v>7.4644446000000002</v>
      </c>
      <c r="G4" s="3" cm="1">
        <f t="array" ref="G4">_xll.FDS(C4,"FG_TOTAL_RETURNC(0,-6AM)")</f>
        <v>12.412034999999999</v>
      </c>
      <c r="H4" s="6" cm="1">
        <f t="array" ref="H4">_xll.FDS(C4,"P_PRICE(0)/P_PRICE_HIGH_PR(0,,,USD,,,""PRICE"",""INTRA"",""52W"")")</f>
        <v>0.96333784</v>
      </c>
      <c r="I4" s="29"/>
      <c r="K4" s="4">
        <f t="shared" ref="K4:K16" si="3">_xlfn.RANK.EQ(H4,H$3:H$16)</f>
        <v>3</v>
      </c>
      <c r="L4" s="4">
        <f t="shared" ref="L4:L16" si="4">_xlfn.RANK.EQ(F4,F$3:F$16)</f>
        <v>2</v>
      </c>
      <c r="M4" s="4">
        <f t="shared" ref="M4:M16" si="5">_xlfn.RANK.EQ(G4,G$3:G$16)</f>
        <v>4</v>
      </c>
      <c r="N4" s="4"/>
      <c r="P4" s="3">
        <f t="shared" si="0"/>
        <v>2.9699999999999998</v>
      </c>
      <c r="Q4">
        <f t="shared" si="1"/>
        <v>0</v>
      </c>
      <c r="S4" s="3">
        <f t="shared" ref="S4:S16" si="6">15-_xlfn.RANK.EQ(P4,$P$3:$P$16)</f>
        <v>1</v>
      </c>
    </row>
    <row r="5" spans="1:19" x14ac:dyDescent="0.35">
      <c r="A5" t="s">
        <v>59</v>
      </c>
      <c r="B5" t="str" cm="1">
        <f t="array" ref="B5">_xll.FDSR(A5,"FG_COMPANY_NAME")</f>
        <v>SPDR Gold Shares</v>
      </c>
      <c r="C5" t="str">
        <f t="shared" si="2"/>
        <v>GLD</v>
      </c>
      <c r="E5" s="3" cm="1">
        <f t="array" ref="E5">_xll.FDS(C5,"FG_TOTAL_RETURNC(0,-1AM)")</f>
        <v>3.7868141999999998</v>
      </c>
      <c r="F5" s="3" cm="1">
        <f t="array" ref="F5">_xll.FDS(C5,"FG_TOTAL_RETURNC(0,-3AM)")</f>
        <v>1.8511772</v>
      </c>
      <c r="G5" s="3" cm="1">
        <f t="array" ref="G5">_xll.FDS(C5,"FG_TOTAL_RETURNC(0,-6AM)")</f>
        <v>17.977654999999999</v>
      </c>
      <c r="H5" s="6" cm="1">
        <f t="array" ref="H5">_xll.FDS(C5,"P_PRICE(0)/P_PRICE_HIGH_PR(0,,,USD,,,""PRICE"",""INTRA"",""52W"")")</f>
        <v>0.96072285999999996</v>
      </c>
      <c r="I5" s="29"/>
      <c r="K5" s="4">
        <f t="shared" si="3"/>
        <v>4</v>
      </c>
      <c r="L5" s="4">
        <f t="shared" si="4"/>
        <v>10</v>
      </c>
      <c r="M5" s="4">
        <f t="shared" si="5"/>
        <v>2</v>
      </c>
      <c r="N5" s="4"/>
      <c r="P5" s="3">
        <f t="shared" si="0"/>
        <v>5.28</v>
      </c>
      <c r="Q5">
        <f t="shared" si="1"/>
        <v>0</v>
      </c>
      <c r="S5" s="3">
        <f t="shared" si="6"/>
        <v>4</v>
      </c>
    </row>
    <row r="6" spans="1:19" x14ac:dyDescent="0.35">
      <c r="A6" t="s">
        <v>60</v>
      </c>
      <c r="B6" t="str" cm="1">
        <f t="array" ref="B6">_xll.FDSR(A6,"FG_COMPANY_NAME")</f>
        <v>Invesco DB US Dollar Index Bullish Fund</v>
      </c>
      <c r="C6" t="str">
        <f t="shared" si="2"/>
        <v>UUP</v>
      </c>
      <c r="E6" s="3" cm="1">
        <f t="array" ref="E6">_xll.FDS(C6,"FG_TOTAL_RETURNC(0,-1AM)")</f>
        <v>-1.1998652999999999</v>
      </c>
      <c r="F6" s="3" cm="1">
        <f t="array" ref="F6">_xll.FDS(C6,"FG_TOTAL_RETURNC(0,-3AM)")</f>
        <v>-0.24229883999999999</v>
      </c>
      <c r="G6" s="3" cm="1">
        <f t="array" ref="G6">_xll.FDS(C6,"FG_TOTAL_RETURNC(0,-6AM)")</f>
        <v>3.7436962</v>
      </c>
      <c r="H6" s="6" cm="1">
        <f t="array" ref="H6">_xll.FDS(C6,"P_PRICE(0)/P_PRICE_HIGH_PR(0,,,USD,,,""PRICE"",""INTRA"",""52W"")")</f>
        <v>0.95541184999999995</v>
      </c>
      <c r="I6" s="29"/>
      <c r="K6" s="4">
        <f t="shared" si="3"/>
        <v>6</v>
      </c>
      <c r="L6" s="4">
        <f t="shared" si="4"/>
        <v>11</v>
      </c>
      <c r="M6" s="4">
        <f t="shared" si="5"/>
        <v>12</v>
      </c>
      <c r="N6" s="4"/>
      <c r="P6" s="3">
        <f t="shared" si="0"/>
        <v>9.57</v>
      </c>
      <c r="Q6">
        <f t="shared" si="1"/>
        <v>0</v>
      </c>
      <c r="S6" s="3">
        <f t="shared" si="6"/>
        <v>12</v>
      </c>
    </row>
    <row r="7" spans="1:19" x14ac:dyDescent="0.35">
      <c r="A7" t="s">
        <v>15</v>
      </c>
      <c r="B7" t="str" cm="1">
        <f t="array" ref="B7">_xll.FDSR(A7,"FG_COMPANY_NAME")</f>
        <v>Invesco QQQ Trust Series I</v>
      </c>
      <c r="C7" t="str">
        <f t="shared" si="2"/>
        <v>QQQ</v>
      </c>
      <c r="E7" s="3" cm="1">
        <f t="array" ref="E7">_xll.FDS(C7,"FG_TOTAL_RETURNC(0,-1AM)")</f>
        <v>-3.622204</v>
      </c>
      <c r="F7" s="3" cm="1">
        <f t="array" ref="F7">_xll.FDS(C7,"FG_TOTAL_RETURNC(0,-3AM)")</f>
        <v>7.5902224</v>
      </c>
      <c r="G7" s="3" cm="1">
        <f t="array" ref="G7">_xll.FDS(C7,"FG_TOTAL_RETURNC(0,-6AM)")</f>
        <v>9.5589279999999999</v>
      </c>
      <c r="H7" s="6" cm="1">
        <f t="array" ref="H7">_xll.FDS(C7,"P_PRICE(0)/P_PRICE_HIGH_PR(0,,,USD,,,""PRICE"",""INTRA"",""52W"")")</f>
        <v>0.91946700000000003</v>
      </c>
      <c r="I7" s="1"/>
      <c r="K7" s="4">
        <f t="shared" si="3"/>
        <v>11</v>
      </c>
      <c r="L7" s="4">
        <f t="shared" si="4"/>
        <v>1</v>
      </c>
      <c r="M7" s="4">
        <f t="shared" si="5"/>
        <v>6</v>
      </c>
      <c r="N7" s="4"/>
      <c r="P7" s="3">
        <f t="shared" si="0"/>
        <v>5.94</v>
      </c>
      <c r="Q7">
        <f t="shared" si="1"/>
        <v>0</v>
      </c>
      <c r="S7" s="3">
        <f t="shared" si="6"/>
        <v>7</v>
      </c>
    </row>
    <row r="8" spans="1:19" x14ac:dyDescent="0.35">
      <c r="A8" t="s">
        <v>120</v>
      </c>
      <c r="B8" t="str" cm="1">
        <f t="array" ref="B8">_xll.FDSR(A8,"FG_COMPANY_NAME")</f>
        <v>Invesco DB Commodity Index Tracking Fund</v>
      </c>
      <c r="C8" t="str">
        <f t="shared" si="2"/>
        <v>DBC</v>
      </c>
      <c r="E8" s="3" cm="1">
        <f t="array" ref="E8">_xll.FDS(C8,"FG_TOTAL_RETURNC(0,-1AM)")</f>
        <v>-4.1792274000000003</v>
      </c>
      <c r="F8" s="3" cm="1">
        <f t="array" ref="F8">_xll.FDS(C8,"FG_TOTAL_RETURNC(0,-3AM)")</f>
        <v>-6.0016930000000004</v>
      </c>
      <c r="G8" s="3" cm="1">
        <f t="array" ref="G8">_xll.FDS(C8,"FG_TOTAL_RETURNC(0,-6AM)")</f>
        <v>-1.6364455</v>
      </c>
      <c r="H8" s="6" cm="1">
        <f t="array" ref="H8">_xll.FDS(C8,"P_PRICE(0)/P_PRICE_HIGH_PR(0,,,USD,,,""PRICE"",""INTRA"",""52W"")")</f>
        <v>0.86773310000000003</v>
      </c>
      <c r="I8" s="1"/>
      <c r="K8" s="4">
        <f t="shared" si="3"/>
        <v>13</v>
      </c>
      <c r="L8" s="4">
        <f t="shared" si="4"/>
        <v>14</v>
      </c>
      <c r="M8" s="4">
        <f t="shared" si="5"/>
        <v>14</v>
      </c>
      <c r="N8" s="4"/>
      <c r="P8" s="3">
        <f t="shared" si="0"/>
        <v>13.530000000000001</v>
      </c>
      <c r="Q8">
        <f t="shared" si="1"/>
        <v>0</v>
      </c>
      <c r="S8" s="3">
        <f t="shared" si="6"/>
        <v>14</v>
      </c>
    </row>
    <row r="9" spans="1:19" x14ac:dyDescent="0.35">
      <c r="A9" t="s">
        <v>69</v>
      </c>
      <c r="B9" t="str" cm="1">
        <f t="array" ref="B9">_xll.FDSR(A9,"FG_COMPANY_NAME")</f>
        <v>United States Oil Fund LP</v>
      </c>
      <c r="C9" t="str">
        <f t="shared" si="2"/>
        <v>USO</v>
      </c>
      <c r="E9" s="3" cm="1">
        <f t="array" ref="E9">_xll.FDS(C9,"FG_TOTAL_RETURNC(0,-1AM)")</f>
        <v>-3.3523798</v>
      </c>
      <c r="F9" s="3" cm="1">
        <f t="array" ref="F9">_xll.FDS(C9,"FG_TOTAL_RETURNC(0,-3AM)")</f>
        <v>-5.3240420000000004</v>
      </c>
      <c r="G9" s="3" cm="1">
        <f t="array" ref="G9">_xll.FDS(C9,"FG_TOTAL_RETURNC(0,-6AM)")</f>
        <v>4.1176557999999996</v>
      </c>
      <c r="H9" s="6" cm="1">
        <f t="array" ref="H9">_xll.FDS(C9,"P_PRICE(0)/P_PRICE_HIGH_PR(0,,,USD,,,""PRICE"",""INTRA"",""52W"")")</f>
        <v>0.91248050000000003</v>
      </c>
      <c r="I9" s="1"/>
      <c r="K9" s="4">
        <f t="shared" si="3"/>
        <v>12</v>
      </c>
      <c r="L9" s="4">
        <f t="shared" si="4"/>
        <v>13</v>
      </c>
      <c r="M9" s="4">
        <f t="shared" si="5"/>
        <v>11</v>
      </c>
      <c r="N9" s="4"/>
      <c r="P9" s="3">
        <f t="shared" si="0"/>
        <v>11.88</v>
      </c>
      <c r="Q9">
        <f t="shared" si="1"/>
        <v>0</v>
      </c>
      <c r="S9" s="3">
        <f t="shared" si="6"/>
        <v>13</v>
      </c>
    </row>
    <row r="10" spans="1:19" x14ac:dyDescent="0.35">
      <c r="A10" t="s">
        <v>61</v>
      </c>
      <c r="B10" t="str" cm="1">
        <f t="array" ref="B10">_xll.FDSR(A10,"FG_COMPANY_NAME")</f>
        <v>iShares 20+ Year Treasury Bond ETF</v>
      </c>
      <c r="C10" t="str">
        <f t="shared" si="2"/>
        <v>TLT</v>
      </c>
      <c r="E10" s="3" cm="1">
        <f t="array" ref="E10">_xll.FDS(C10,"FG_TOTAL_RETURNC(0,-1AM)")</f>
        <v>0.15144347999999999</v>
      </c>
      <c r="F10" s="3" cm="1">
        <f t="array" ref="F10">_xll.FDS(C10,"FG_TOTAL_RETURNC(0,-3AM)")</f>
        <v>6.4487100000000002</v>
      </c>
      <c r="G10" s="3" cm="1">
        <f t="array" ref="G10">_xll.FDS(C10,"FG_TOTAL_RETURNC(0,-6AM)")</f>
        <v>1.1307478</v>
      </c>
      <c r="H10" s="6" cm="1">
        <f t="array" ref="H10">_xll.FDS(C10,"P_PRICE(0)/P_PRICE_HIGH_PR(0,,,USD,,,""PRICE"",""INTRA"",""52W"")")</f>
        <v>0.92137720000000001</v>
      </c>
      <c r="K10" s="4">
        <f t="shared" si="3"/>
        <v>10</v>
      </c>
      <c r="L10" s="4">
        <f t="shared" si="4"/>
        <v>3</v>
      </c>
      <c r="M10" s="4">
        <f t="shared" si="5"/>
        <v>13</v>
      </c>
      <c r="N10" s="4"/>
      <c r="P10" s="3">
        <f t="shared" si="0"/>
        <v>8.58</v>
      </c>
      <c r="Q10">
        <f t="shared" si="1"/>
        <v>0</v>
      </c>
      <c r="S10" s="3">
        <f t="shared" si="6"/>
        <v>10</v>
      </c>
    </row>
    <row r="11" spans="1:19" x14ac:dyDescent="0.35">
      <c r="A11" t="s">
        <v>42</v>
      </c>
      <c r="B11" t="str" cm="1">
        <f t="array" ref="B11">_xll.FDSR(A11,"FG_COMPANY_NAME")</f>
        <v>Vanguard FTSE Europe ETF</v>
      </c>
      <c r="C11" t="str">
        <f t="shared" si="2"/>
        <v>VGK</v>
      </c>
      <c r="E11" s="3" cm="1">
        <f t="array" ref="E11">_xll.FDS(C11,"FG_TOTAL_RETURNC(0,-1AM)")</f>
        <v>1.7779826999999999</v>
      </c>
      <c r="F11" s="3" cm="1">
        <f t="array" ref="F11">_xll.FDS(C11,"FG_TOTAL_RETURNC(0,-3AM)")</f>
        <v>4.1843890000000004</v>
      </c>
      <c r="G11" s="3" cm="1">
        <f t="array" ref="G11">_xll.FDS(C11,"FG_TOTAL_RETURNC(0,-6AM)")</f>
        <v>8.7942599999999995</v>
      </c>
      <c r="H11" s="6" cm="1">
        <f t="array" ref="H11">_xll.FDS(C11,"P_PRICE(0)/P_PRICE_HIGH_PR(0,,,USD,,,""PRICE"",""INTRA"",""52W"")")</f>
        <v>0.96384860000000006</v>
      </c>
      <c r="K11" s="4">
        <f t="shared" si="3"/>
        <v>2</v>
      </c>
      <c r="L11" s="4">
        <f t="shared" si="4"/>
        <v>7</v>
      </c>
      <c r="M11" s="4">
        <f t="shared" si="5"/>
        <v>8</v>
      </c>
      <c r="P11" s="3">
        <f t="shared" si="0"/>
        <v>5.61</v>
      </c>
      <c r="Q11">
        <f t="shared" si="1"/>
        <v>0</v>
      </c>
      <c r="S11" s="3">
        <f t="shared" si="6"/>
        <v>5</v>
      </c>
    </row>
    <row r="12" spans="1:19" x14ac:dyDescent="0.35">
      <c r="A12" t="s">
        <v>70</v>
      </c>
      <c r="B12" t="str" cm="1">
        <f t="array" ref="B12">_xll.FDSR(A12,"FG_COMPANY_NAME")</f>
        <v>iShares MSCI Emerging Markets ex China ETF</v>
      </c>
      <c r="C12" t="str">
        <f t="shared" si="2"/>
        <v>EMXC</v>
      </c>
      <c r="E12" s="3" cm="1">
        <f t="array" ref="E12">_xll.FDS(C12,"FG_TOTAL_RETURNC(0,-1AM)")</f>
        <v>1.1953472999999999</v>
      </c>
      <c r="F12" s="3" cm="1">
        <f t="array" ref="F12">_xll.FDS(C12,"FG_TOTAL_RETURNC(0,-3AM)")</f>
        <v>5.7664036999999997</v>
      </c>
      <c r="G12" s="3" cm="1">
        <f t="array" ref="G12">_xll.FDS(C12,"FG_TOTAL_RETURNC(0,-6AM)")</f>
        <v>10.131931</v>
      </c>
      <c r="H12" s="6" cm="1">
        <f t="array" ref="H12">_xll.FDS(C12,"P_PRICE(0)/P_PRICE_HIGH_PR(0,,,USD,,,""PRICE"",""INTRA"",""52W"")")</f>
        <v>0.95303950000000004</v>
      </c>
      <c r="K12" s="4">
        <f t="shared" si="3"/>
        <v>8</v>
      </c>
      <c r="L12" s="4">
        <f t="shared" si="4"/>
        <v>5</v>
      </c>
      <c r="M12" s="4">
        <f t="shared" si="5"/>
        <v>5</v>
      </c>
      <c r="P12" s="3">
        <f t="shared" si="0"/>
        <v>5.94</v>
      </c>
      <c r="Q12">
        <f t="shared" si="1"/>
        <v>0</v>
      </c>
      <c r="S12" s="3">
        <f t="shared" si="6"/>
        <v>7</v>
      </c>
    </row>
    <row r="13" spans="1:19" x14ac:dyDescent="0.35">
      <c r="A13" t="s">
        <v>12</v>
      </c>
      <c r="B13" t="str" cm="1">
        <f t="array" ref="B13">_xll.FDSR(A13,"FG_COMPANY_NAME")</f>
        <v>iShares MSCI Japan ETF</v>
      </c>
      <c r="C13" t="str">
        <f t="shared" si="2"/>
        <v>EWJ</v>
      </c>
      <c r="E13" s="3" cm="1">
        <f t="array" ref="E13">_xll.FDS(C13,"FG_TOTAL_RETURNC(0,-1AM)")</f>
        <v>2.0502210000000001</v>
      </c>
      <c r="F13" s="3" cm="1">
        <f t="array" ref="F13">_xll.FDS(C13,"FG_TOTAL_RETURNC(0,-3AM)")</f>
        <v>3.0885696</v>
      </c>
      <c r="G13" s="3" cm="1">
        <f t="array" ref="G13">_xll.FDS(C13,"FG_TOTAL_RETURNC(0,-6AM)")</f>
        <v>5.8317183999999997</v>
      </c>
      <c r="H13" s="6" cm="1">
        <f t="array" ref="H13">_xll.FDS(C13,"P_PRICE(0)/P_PRICE_HIGH_PR(0,,,USD,,,""PRICE"",""INTRA"",""52W"")")</f>
        <v>0.95316725999999996</v>
      </c>
      <c r="K13" s="4">
        <f t="shared" si="3"/>
        <v>7</v>
      </c>
      <c r="L13" s="4">
        <f t="shared" si="4"/>
        <v>9</v>
      </c>
      <c r="M13" s="4">
        <f t="shared" si="5"/>
        <v>10</v>
      </c>
      <c r="P13" s="3">
        <f t="shared" si="0"/>
        <v>8.58</v>
      </c>
      <c r="Q13">
        <f t="shared" si="1"/>
        <v>0</v>
      </c>
      <c r="S13" s="3">
        <f t="shared" si="6"/>
        <v>10</v>
      </c>
    </row>
    <row r="14" spans="1:19" x14ac:dyDescent="0.35">
      <c r="A14" t="s">
        <v>64</v>
      </c>
      <c r="B14" t="str" cm="1">
        <f t="array" ref="B14">_xll.FDSR(A14,"FG_COMPANY_NAME")</f>
        <v>iShares China Large-Cap ETF</v>
      </c>
      <c r="C14" t="str">
        <f t="shared" si="2"/>
        <v>FXI</v>
      </c>
      <c r="E14" s="3" cm="1">
        <f t="array" ref="E14">_xll.FDS(C14,"FG_TOTAL_RETURNC(0,-1AM)")</f>
        <v>-3.7707388000000002</v>
      </c>
      <c r="F14" s="3" cm="1">
        <f t="array" ref="F14">_xll.FDS(C14,"FG_TOTAL_RETURNC(0,-3AM)")</f>
        <v>-1.0368824000000001</v>
      </c>
      <c r="G14" s="3" cm="1">
        <f t="array" ref="G14">_xll.FDS(C14,"FG_TOTAL_RETURNC(0,-6AM)")</f>
        <v>13.282107999999999</v>
      </c>
      <c r="H14" s="6" cm="1">
        <f t="array" ref="H14">_xll.FDS(C14,"P_PRICE(0)/P_PRICE_HIGH_PR(0,,,USD,,,""PRICE"",""INTRA"",""52W"")")</f>
        <v>0.83562539999999996</v>
      </c>
      <c r="K14" s="4">
        <f t="shared" si="3"/>
        <v>14</v>
      </c>
      <c r="L14" s="4">
        <f t="shared" si="4"/>
        <v>12</v>
      </c>
      <c r="M14" s="4">
        <f t="shared" si="5"/>
        <v>3</v>
      </c>
      <c r="P14" s="3">
        <f t="shared" si="0"/>
        <v>9.57</v>
      </c>
      <c r="Q14">
        <f t="shared" si="1"/>
        <v>0</v>
      </c>
      <c r="S14" s="3">
        <f t="shared" si="6"/>
        <v>12</v>
      </c>
    </row>
    <row r="15" spans="1:19" x14ac:dyDescent="0.35">
      <c r="A15" t="s">
        <v>116</v>
      </c>
      <c r="B15" t="str" cm="1">
        <f t="array" ref="B15">_xll.FDSR(A15,"FG_COMPANY_NAME")</f>
        <v>Bitcoin (CME) Continuous</v>
      </c>
      <c r="C15" t="str">
        <f t="shared" ref="C15:C16" si="7">A15</f>
        <v>BTC00-USA</v>
      </c>
      <c r="E15" s="3" cm="1">
        <f t="array" ref="E15">_xll.FDS($A15,"P_FUT_TOTAL_RETURN(0,-1AM,,'')")</f>
        <v>12.951631058414099</v>
      </c>
      <c r="F15" s="3" cm="1">
        <f t="array" ref="F15">_xll.FDS($A15,"P_FUT_TOTAL_RETURN(0,-3AM,,'')")</f>
        <v>6.4179611136579098</v>
      </c>
      <c r="G15" s="3" cm="1">
        <f t="array" ref="G15">_xll.FDS($A15,"P_FUT_TOTAL_RETURN(0,-6AM,,'')")</f>
        <v>57.8080496263158</v>
      </c>
      <c r="H15" s="6" cm="1">
        <f t="array" ref="H15">_xll.FDS(A15,"FG_PRICE(0)/MAX(FG_PRICE(0,-12AM,D))")</f>
        <v>0.93046066427653396</v>
      </c>
      <c r="K15" s="4">
        <f t="shared" si="3"/>
        <v>9</v>
      </c>
      <c r="L15" s="4">
        <f t="shared" si="4"/>
        <v>4</v>
      </c>
      <c r="M15" s="4">
        <f t="shared" si="5"/>
        <v>1</v>
      </c>
      <c r="P15" s="3">
        <f t="shared" si="0"/>
        <v>4.62</v>
      </c>
      <c r="Q15">
        <f t="shared" si="1"/>
        <v>0</v>
      </c>
      <c r="S15" s="3">
        <f t="shared" si="6"/>
        <v>2</v>
      </c>
    </row>
    <row r="16" spans="1:19" x14ac:dyDescent="0.35">
      <c r="A16" t="s">
        <v>117</v>
      </c>
      <c r="B16" t="str" cm="1">
        <f t="array" ref="B16">_xll.FDSR(A16,"FG_COMPANY_NAME")</f>
        <v>BlackRock 60/40 Target Allocation Fund, Institutional</v>
      </c>
      <c r="C16" t="str">
        <f t="shared" si="7"/>
        <v>BIGPX</v>
      </c>
      <c r="E16" s="3" cm="1">
        <f t="array" ref="E16">_xll.FDS(C16,"FG_TOTAL_RETURNC(0,-1AM)")</f>
        <v>-0.252527</v>
      </c>
      <c r="F16" s="3" cm="1">
        <f t="array" ref="F16">_xll.FDS(C16,"FG_TOTAL_RETURNC(0,-3AM)")</f>
        <v>5.1230906999999997</v>
      </c>
      <c r="G16" s="3" cm="1">
        <f t="array" ref="G16">_xll.FDS(C16,"FG_TOTAL_RETURNC(0,-6AM)")</f>
        <v>7.0460677</v>
      </c>
      <c r="H16" s="6" cm="1">
        <f t="array" ref="H16">_xll.FDS(C16,"P_PRICE(0)/P_PRICE_HIGH_PR(0,,,USD,,,""PRICE"",""INTRA"",""52W"")")</f>
        <v>0.97111250000000005</v>
      </c>
      <c r="K16" s="4">
        <f t="shared" si="3"/>
        <v>1</v>
      </c>
      <c r="L16" s="4">
        <f t="shared" si="4"/>
        <v>6</v>
      </c>
      <c r="M16" s="4">
        <f t="shared" si="5"/>
        <v>9</v>
      </c>
      <c r="P16" s="3">
        <f t="shared" ref="P16" si="8">SUMPRODUCT($K$2:$M$2,K16:M16)</f>
        <v>5.28</v>
      </c>
      <c r="Q16">
        <f t="shared" ref="Q16" si="9">COUNTIF(K16:N16,"&gt;70")</f>
        <v>0</v>
      </c>
      <c r="S16" s="3">
        <f t="shared" si="6"/>
        <v>4</v>
      </c>
    </row>
    <row r="17" spans="1:3" x14ac:dyDescent="0.35">
      <c r="A17" s="3"/>
    </row>
    <row r="22" spans="1:3" ht="15" customHeight="1" x14ac:dyDescent="0.35"/>
    <row r="23" spans="1:3" ht="15" customHeight="1" x14ac:dyDescent="0.35"/>
    <row r="24" spans="1:3" ht="15" customHeight="1" x14ac:dyDescent="0.35"/>
    <row r="25" spans="1:3" ht="15" customHeight="1" x14ac:dyDescent="0.35">
      <c r="C25" s="1"/>
    </row>
    <row r="26" spans="1:3" ht="15" customHeight="1" x14ac:dyDescent="0.35"/>
    <row r="27" spans="1:3" ht="15" customHeight="1" x14ac:dyDescent="0.35"/>
    <row r="28" spans="1:3" ht="15" customHeight="1" x14ac:dyDescent="0.35"/>
    <row r="29" spans="1:3" ht="15" customHeight="1" x14ac:dyDescent="0.35"/>
    <row r="30" spans="1:3" ht="15" customHeight="1" x14ac:dyDescent="0.35"/>
    <row r="31" spans="1:3" ht="15" customHeight="1" x14ac:dyDescent="0.35"/>
    <row r="32" spans="1:3" ht="15" customHeight="1" x14ac:dyDescent="0.35">
      <c r="C32" s="1"/>
    </row>
    <row r="33" spans="3:3" ht="15" customHeight="1" x14ac:dyDescent="0.35"/>
    <row r="34" spans="3:3" ht="15" customHeight="1" x14ac:dyDescent="0.35"/>
    <row r="35" spans="3:3" ht="15" customHeight="1" x14ac:dyDescent="0.35"/>
    <row r="36" spans="3:3" ht="15" customHeight="1" x14ac:dyDescent="0.35"/>
    <row r="37" spans="3:3" ht="15" customHeight="1" x14ac:dyDescent="0.35">
      <c r="C37" s="1"/>
    </row>
    <row r="38" spans="3:3" ht="15" customHeight="1" x14ac:dyDescent="0.35"/>
    <row r="39" spans="3:3" ht="15" customHeight="1" x14ac:dyDescent="0.35"/>
    <row r="40" spans="3:3" ht="15" customHeight="1" x14ac:dyDescent="0.35"/>
    <row r="41" spans="3:3" ht="15" customHeight="1" x14ac:dyDescent="0.35"/>
    <row r="42" spans="3:3" ht="15" customHeight="1" x14ac:dyDescent="0.35">
      <c r="C42" s="1"/>
    </row>
    <row r="43" spans="3:3" ht="15" customHeight="1" x14ac:dyDescent="0.35">
      <c r="C43" s="1"/>
    </row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  <row r="60" ht="15" customHeight="1" x14ac:dyDescent="0.35"/>
  </sheetData>
  <pageMargins left="0.7" right="0.7" top="0.75" bottom="0.75" header="0.3" footer="0.3"/>
  <ignoredErrors>
    <ignoredError sqref="E15:G15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59959-F9C6-4CCA-AAB1-404FAFBBDE9E}">
  <dimension ref="A1:S60"/>
  <sheetViews>
    <sheetView workbookViewId="0">
      <selection sqref="A1:XFD1048576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66</v>
      </c>
      <c r="F1" t="s">
        <v>2</v>
      </c>
      <c r="G1" t="s">
        <v>3</v>
      </c>
      <c r="H1" t="s">
        <v>5</v>
      </c>
      <c r="K1" t="s">
        <v>67</v>
      </c>
      <c r="L1" t="s">
        <v>2</v>
      </c>
      <c r="M1" t="s">
        <v>21</v>
      </c>
      <c r="N1" t="s">
        <v>22</v>
      </c>
      <c r="P1" s="1" t="s">
        <v>26</v>
      </c>
      <c r="Q1" t="s">
        <v>27</v>
      </c>
      <c r="S1" t="s">
        <v>68</v>
      </c>
    </row>
    <row r="2" spans="1:19" s="12" customFormat="1" ht="15" thickBot="1" x14ac:dyDescent="0.4">
      <c r="A2" s="11"/>
      <c r="K2" s="28">
        <f>'Aset class Rankings'!E13</f>
        <v>0.33</v>
      </c>
      <c r="L2" s="28">
        <f>'Aset class Rankings'!F13</f>
        <v>0.33</v>
      </c>
      <c r="M2" s="28">
        <f>'Aset class Rankings'!G13</f>
        <v>0.33</v>
      </c>
    </row>
    <row r="3" spans="1:19" x14ac:dyDescent="0.35">
      <c r="A3" t="s">
        <v>4</v>
      </c>
      <c r="C3" t="str">
        <f>A3</f>
        <v>VWO</v>
      </c>
      <c r="E3" s="3" cm="1">
        <f t="array" ref="E3">_xll.FDS(C3,"FG_TOTAL_RETURNC(-1AM,-2AM)")</f>
        <v>-0.81604122999999995</v>
      </c>
      <c r="F3" s="3" cm="1">
        <f t="array" ref="F3">_xll.FDS(C3,"FG_TOTAL_RETURNC(-1AM,-4AM)")</f>
        <v>5.5860159999999999</v>
      </c>
      <c r="G3" s="3" cm="1">
        <f t="array" ref="G3">_xll.FDS(C3,"FG_TOTAL_RETURNC(-1AM,-7AM)")</f>
        <v>8.2919119999999999</v>
      </c>
      <c r="H3" s="6" cm="1">
        <f t="array" ref="H3">_xll.FDS(C3,"P_PRICE(-1AM)/P_PRICE_HIGH_PR(-1AM,,,,,,""PRICE"",""INTRA"",""52W"")")</f>
        <v>0.9711803</v>
      </c>
      <c r="K3" s="4">
        <f>_xlfn.RANK.EQ(H3,H$3:H$16)</f>
        <v>5</v>
      </c>
      <c r="L3" s="4">
        <f>_xlfn.RANK.EQ(F3,F$3:F$16)</f>
        <v>3</v>
      </c>
      <c r="M3" s="4">
        <f>_xlfn.RANK.EQ(G3,G$3:G$16)</f>
        <v>7</v>
      </c>
      <c r="N3" s="4"/>
      <c r="P3" s="3">
        <f t="shared" ref="P3:P16" si="0">SUMPRODUCT($K$2:$M$2,K3:M3)</f>
        <v>4.95</v>
      </c>
      <c r="Q3">
        <f t="shared" ref="Q3:Q16" si="1">COUNTIF(K3:N3,"&gt;70")</f>
        <v>0</v>
      </c>
      <c r="S3" s="3">
        <f>15-_xlfn.RANK.EQ(P3,$P$3:$P$16)</f>
        <v>3</v>
      </c>
    </row>
    <row r="4" spans="1:19" x14ac:dyDescent="0.35">
      <c r="A4" t="s">
        <v>1</v>
      </c>
      <c r="C4" t="str">
        <f t="shared" ref="C4:C16" si="2">A4</f>
        <v>SPY</v>
      </c>
      <c r="E4" s="3" cm="1">
        <f t="array" ref="E4">_xll.FDS(C4,"FG_TOTAL_RETURNC(-1AM,-2AM)")</f>
        <v>3.3681393000000002</v>
      </c>
      <c r="F4" s="3" cm="1">
        <f t="array" ref="F4">_xll.FDS(C4,"FG_TOTAL_RETURNC(-1AM,-4AM)")</f>
        <v>5.4860709999999999</v>
      </c>
      <c r="G4" s="3" cm="1">
        <f t="array" ref="G4">_xll.FDS(C4,"FG_TOTAL_RETURNC(-1AM,-7AM)")</f>
        <v>15.417719</v>
      </c>
      <c r="H4" s="6" cm="1">
        <f t="array" ref="H4">_xll.FDS(C4,"P_PRICE(-1AM)/P_PRICE_HIGH_PR(-1AM,,,,,,""PRICE"",""INTRA"",""52W"")")</f>
        <v>0.99162006000000003</v>
      </c>
      <c r="I4" s="29"/>
      <c r="K4" s="4">
        <f t="shared" ref="K4:K16" si="3">_xlfn.RANK.EQ(H4,H$3:H$16)</f>
        <v>2</v>
      </c>
      <c r="L4" s="4">
        <f t="shared" ref="L4:M16" si="4">_xlfn.RANK.EQ(F4,F$3:F$16)</f>
        <v>4</v>
      </c>
      <c r="M4" s="4">
        <f t="shared" si="4"/>
        <v>3</v>
      </c>
      <c r="N4" s="4"/>
      <c r="P4" s="3">
        <f t="shared" si="0"/>
        <v>2.9699999999999998</v>
      </c>
      <c r="Q4">
        <f t="shared" si="1"/>
        <v>0</v>
      </c>
      <c r="S4" s="3">
        <f t="shared" ref="S4:S16" si="5">15-_xlfn.RANK.EQ(P4,$P$3:$P$16)</f>
        <v>2</v>
      </c>
    </row>
    <row r="5" spans="1:19" x14ac:dyDescent="0.35">
      <c r="A5" t="s">
        <v>59</v>
      </c>
      <c r="C5" t="str">
        <f t="shared" si="2"/>
        <v>GLD</v>
      </c>
      <c r="E5" s="3" cm="1">
        <f t="array" ref="E5">_xll.FDS(C5,"FG_TOTAL_RETURNC(-1AM,-2AM)")</f>
        <v>-1.5468656999999999</v>
      </c>
      <c r="F5" s="3" cm="1">
        <f t="array" ref="F5">_xll.FDS(C5,"FG_TOTAL_RETURNC(-1AM,-4AM)")</f>
        <v>5.4255129999999996</v>
      </c>
      <c r="G5" s="3" cm="1">
        <f t="array" ref="G5">_xll.FDS(C5,"FG_TOTAL_RETURNC(-1AM,-7AM)")</f>
        <v>10.880445999999999</v>
      </c>
      <c r="H5" s="6" cm="1">
        <f t="array" ref="H5">_xll.FDS(C5,"P_PRICE(-1AM)/P_PRICE_HIGH_PR(-1AM,,,,,,""PRICE"",""INTRA"",""52W"")")</f>
        <v>0.94203669999999995</v>
      </c>
      <c r="I5" s="29"/>
      <c r="K5" s="4">
        <f t="shared" si="3"/>
        <v>9</v>
      </c>
      <c r="L5" s="4">
        <f t="shared" si="4"/>
        <v>5</v>
      </c>
      <c r="M5" s="4">
        <f t="shared" si="4"/>
        <v>6</v>
      </c>
      <c r="N5" s="4"/>
      <c r="P5" s="3">
        <f t="shared" si="0"/>
        <v>6.6</v>
      </c>
      <c r="Q5">
        <f t="shared" si="1"/>
        <v>0</v>
      </c>
      <c r="S5" s="3">
        <f t="shared" si="5"/>
        <v>7</v>
      </c>
    </row>
    <row r="6" spans="1:19" x14ac:dyDescent="0.35">
      <c r="A6" t="s">
        <v>60</v>
      </c>
      <c r="C6" t="str">
        <f t="shared" si="2"/>
        <v>UUP</v>
      </c>
      <c r="E6" s="3" cm="1">
        <f t="array" ref="E6">_xll.FDS(C6,"FG_TOTAL_RETURNC(-1AM,-2AM)")</f>
        <v>1.7794847</v>
      </c>
      <c r="F6" s="3" cm="1">
        <f t="array" ref="F6">_xll.FDS(C6,"FG_TOTAL_RETURNC(-1AM,-4AM)")</f>
        <v>3.1835914000000001</v>
      </c>
      <c r="G6" s="3" cm="1">
        <f t="array" ref="G6">_xll.FDS(C6,"FG_TOTAL_RETURNC(-1AM,-7AM)")</f>
        <v>7.6781154000000003</v>
      </c>
      <c r="H6" s="6" cm="1">
        <f t="array" ref="H6">_xll.FDS(C6,"P_PRICE(-1AM)/P_PRICE_HIGH_PR(-1AM,,,,,,""PRICE"",""INTRA"",""52W"")")</f>
        <v>0.96701473000000004</v>
      </c>
      <c r="I6" s="29"/>
      <c r="K6" s="4">
        <f t="shared" si="3"/>
        <v>6</v>
      </c>
      <c r="L6" s="4">
        <f t="shared" si="4"/>
        <v>7</v>
      </c>
      <c r="M6" s="4">
        <f t="shared" si="4"/>
        <v>9</v>
      </c>
      <c r="N6" s="4"/>
      <c r="P6" s="3">
        <f t="shared" si="0"/>
        <v>7.26</v>
      </c>
      <c r="Q6">
        <f t="shared" si="1"/>
        <v>0</v>
      </c>
      <c r="S6" s="3">
        <f t="shared" si="5"/>
        <v>8</v>
      </c>
    </row>
    <row r="7" spans="1:19" x14ac:dyDescent="0.35">
      <c r="A7" t="s">
        <v>15</v>
      </c>
      <c r="C7" t="str">
        <f t="shared" si="2"/>
        <v>QQQ</v>
      </c>
      <c r="E7" s="3" cm="1">
        <f t="array" ref="E7">_xll.FDS(C7,"FG_TOTAL_RETURNC(-1AM,-2AM)")</f>
        <v>5.064273</v>
      </c>
      <c r="F7" s="3" cm="1">
        <f t="array" ref="F7">_xll.FDS(C7,"FG_TOTAL_RETURNC(-1AM,-4AM)")</f>
        <v>8.5314864999999998</v>
      </c>
      <c r="G7" s="3" cm="1">
        <f t="array" ref="G7">_xll.FDS(C7,"FG_TOTAL_RETURNC(-1AM,-7AM)")</f>
        <v>17.315328999999998</v>
      </c>
      <c r="H7" s="6" cm="1">
        <f t="array" ref="H7">_xll.FDS(C7,"P_PRICE(-1AM)/P_PRICE_HIGH_PR(-1AM,,,,,,""PRICE"",""INTRA"",""52W"")")</f>
        <v>0.98666969999999998</v>
      </c>
      <c r="I7" s="1"/>
      <c r="K7" s="4">
        <f t="shared" si="3"/>
        <v>4</v>
      </c>
      <c r="L7" s="4">
        <f t="shared" si="4"/>
        <v>2</v>
      </c>
      <c r="M7" s="4">
        <f t="shared" si="4"/>
        <v>2</v>
      </c>
      <c r="N7" s="4"/>
      <c r="P7" s="3">
        <f t="shared" si="0"/>
        <v>2.64</v>
      </c>
      <c r="Q7">
        <f t="shared" si="1"/>
        <v>0</v>
      </c>
      <c r="S7" s="3">
        <f t="shared" si="5"/>
        <v>1</v>
      </c>
    </row>
    <row r="8" spans="1:19" x14ac:dyDescent="0.35">
      <c r="A8" t="s">
        <v>120</v>
      </c>
      <c r="C8" t="str">
        <f t="shared" si="2"/>
        <v>DBC</v>
      </c>
      <c r="E8" s="3" cm="1">
        <f t="array" ref="E8">_xll.FDS(C8,"FG_TOTAL_RETURNC(-1AM,-2AM)")</f>
        <v>-1.3180315</v>
      </c>
      <c r="F8" s="3" cm="1">
        <f t="array" ref="F8">_xll.FDS(C8,"FG_TOTAL_RETURNC(-1AM,-4AM)")</f>
        <v>2.1566868000000001</v>
      </c>
      <c r="G8" s="3" cm="1">
        <f t="array" ref="G8">_xll.FDS(C8,"FG_TOTAL_RETURNC(-1AM,-7AM)")</f>
        <v>3.3852935</v>
      </c>
      <c r="H8" s="6" cm="1">
        <f t="array" ref="H8">_xll.FDS(C8,"P_PRICE(-1AM)/P_PRICE_HIGH_PR(-1AM,,,,,,""PRICE"",""INTRA"",""52W"")")</f>
        <v>0.90557940000000003</v>
      </c>
      <c r="I8" s="1"/>
      <c r="K8" s="4">
        <f t="shared" si="3"/>
        <v>11</v>
      </c>
      <c r="L8" s="4">
        <f t="shared" si="4"/>
        <v>9</v>
      </c>
      <c r="M8" s="4">
        <f t="shared" si="4"/>
        <v>13</v>
      </c>
      <c r="N8" s="4"/>
      <c r="P8" s="3">
        <f t="shared" si="0"/>
        <v>10.89</v>
      </c>
      <c r="Q8">
        <f t="shared" si="1"/>
        <v>0</v>
      </c>
      <c r="S8" s="3">
        <f t="shared" si="5"/>
        <v>12</v>
      </c>
    </row>
    <row r="9" spans="1:19" x14ac:dyDescent="0.35">
      <c r="A9" t="s">
        <v>69</v>
      </c>
      <c r="C9" t="str">
        <f t="shared" si="2"/>
        <v>USO</v>
      </c>
      <c r="E9" s="3" cm="1">
        <f t="array" ref="E9">_xll.FDS(C9,"FG_TOTAL_RETURNC(-1AM,-2AM)")</f>
        <v>4.5122742999999996</v>
      </c>
      <c r="F9" s="3" cm="1">
        <f t="array" ref="F9">_xll.FDS(C9,"FG_TOTAL_RETURNC(-1AM,-4AM)")</f>
        <v>1.8889904</v>
      </c>
      <c r="G9" s="3" cm="1">
        <f t="array" ref="G9">_xll.FDS(C9,"FG_TOTAL_RETURNC(-1AM,-7AM)")</f>
        <v>12.163506999999999</v>
      </c>
      <c r="H9" s="6" cm="1">
        <f t="array" ref="H9">_xll.FDS(C9,"P_PRICE(-1AM)/P_PRICE_HIGH_PR(-1AM,,,,,,""PRICE"",""INTRA"",""52W"")")</f>
        <v>0.94413139999999995</v>
      </c>
      <c r="I9" s="1"/>
      <c r="K9" s="4">
        <f t="shared" si="3"/>
        <v>8</v>
      </c>
      <c r="L9" s="4">
        <f t="shared" si="4"/>
        <v>10</v>
      </c>
      <c r="M9" s="4">
        <f t="shared" si="4"/>
        <v>5</v>
      </c>
      <c r="N9" s="4"/>
      <c r="P9" s="3">
        <f t="shared" si="0"/>
        <v>7.5900000000000007</v>
      </c>
      <c r="Q9">
        <f t="shared" si="1"/>
        <v>0</v>
      </c>
      <c r="S9" s="3">
        <f t="shared" si="5"/>
        <v>9</v>
      </c>
    </row>
    <row r="10" spans="1:19" x14ac:dyDescent="0.35">
      <c r="A10" t="s">
        <v>61</v>
      </c>
      <c r="C10" t="str">
        <f t="shared" si="2"/>
        <v>TLT</v>
      </c>
      <c r="E10" s="3" cm="1">
        <f t="array" ref="E10">_xll.FDS(C10,"FG_TOTAL_RETURNC(-1AM,-2AM)")</f>
        <v>2.2800565000000002</v>
      </c>
      <c r="F10" s="3" cm="1">
        <f t="array" ref="F10">_xll.FDS(C10,"FG_TOTAL_RETURNC(-1AM,-4AM)")</f>
        <v>0.35716294999999998</v>
      </c>
      <c r="G10" s="3" cm="1">
        <f t="array" ref="G10">_xll.FDS(C10,"FG_TOTAL_RETURNC(-1AM,-7AM)")</f>
        <v>-4.11402</v>
      </c>
      <c r="H10" s="6" cm="1">
        <f t="array" ref="H10">_xll.FDS(C10,"P_PRICE(-1AM)/P_PRICE_HIGH_PR(-1AM,,,,,,""PRICE"",""INTRA"",""52W"")")</f>
        <v>0.89610389999999995</v>
      </c>
      <c r="K10" s="4">
        <f t="shared" si="3"/>
        <v>12</v>
      </c>
      <c r="L10" s="4">
        <f t="shared" si="4"/>
        <v>12</v>
      </c>
      <c r="M10" s="4">
        <f t="shared" si="4"/>
        <v>14</v>
      </c>
      <c r="N10" s="4"/>
      <c r="P10" s="3">
        <f t="shared" si="0"/>
        <v>12.54</v>
      </c>
      <c r="Q10">
        <f t="shared" si="1"/>
        <v>0</v>
      </c>
      <c r="S10" s="3">
        <f t="shared" si="5"/>
        <v>14</v>
      </c>
    </row>
    <row r="11" spans="1:19" x14ac:dyDescent="0.35">
      <c r="A11" t="s">
        <v>42</v>
      </c>
      <c r="C11" t="str">
        <f t="shared" si="2"/>
        <v>VGK</v>
      </c>
      <c r="E11" s="3" cm="1">
        <f t="array" ref="E11">_xll.FDS(C11,"FG_TOTAL_RETURNC(-1AM,-2AM)")</f>
        <v>-2.5248110000000001</v>
      </c>
      <c r="F11" s="3" cm="1">
        <f t="array" ref="F11">_xll.FDS(C11,"FG_TOTAL_RETURNC(-1AM,-4AM)")</f>
        <v>1.3567448</v>
      </c>
      <c r="G11" s="3" cm="1">
        <f t="array" ref="G11">_xll.FDS(C11,"FG_TOTAL_RETURNC(-1AM,-7AM)")</f>
        <v>5.9490800000000004</v>
      </c>
      <c r="H11" s="6" cm="1">
        <f t="array" ref="H11">_xll.FDS(C11,"P_PRICE(-1AM)/P_PRICE_HIGH_PR(-1AM,,,,,,""PRICE"",""INTRA"",""52W"")")</f>
        <v>0.94701093000000003</v>
      </c>
      <c r="K11" s="4">
        <f t="shared" si="3"/>
        <v>7</v>
      </c>
      <c r="L11" s="4">
        <f t="shared" si="4"/>
        <v>11</v>
      </c>
      <c r="M11" s="4">
        <f t="shared" si="4"/>
        <v>12</v>
      </c>
      <c r="P11" s="3">
        <f t="shared" si="0"/>
        <v>9.9</v>
      </c>
      <c r="Q11">
        <f t="shared" si="1"/>
        <v>0</v>
      </c>
      <c r="S11" s="3">
        <f t="shared" si="5"/>
        <v>11</v>
      </c>
    </row>
    <row r="12" spans="1:19" x14ac:dyDescent="0.35">
      <c r="A12" t="s">
        <v>70</v>
      </c>
      <c r="C12" t="str">
        <f t="shared" si="2"/>
        <v>EMXC</v>
      </c>
      <c r="E12" s="3" cm="1">
        <f t="array" ref="E12">_xll.FDS(C12,"FG_TOTAL_RETURNC(-1AM,-2AM)")</f>
        <v>0.84104540000000005</v>
      </c>
      <c r="F12" s="3" cm="1">
        <f t="array" ref="F12">_xll.FDS(C12,"FG_TOTAL_RETURNC(-1AM,-4AM)")</f>
        <v>3.2021641999999999</v>
      </c>
      <c r="G12" s="3" cm="1">
        <f t="array" ref="G12">_xll.FDS(C12,"FG_TOTAL_RETURNC(-1AM,-7AM)")</f>
        <v>7.5233816999999998</v>
      </c>
      <c r="H12" s="6" cm="1">
        <f t="array" ref="H12">_xll.FDS(C12,"P_PRICE(-1AM)/P_PRICE_HIGH_PR(-1AM,,,,,,""PRICE"",""INTRA"",""52W"")")</f>
        <v>0.98885509999999999</v>
      </c>
      <c r="K12" s="4">
        <f t="shared" si="3"/>
        <v>3</v>
      </c>
      <c r="L12" s="4">
        <f t="shared" si="4"/>
        <v>6</v>
      </c>
      <c r="M12" s="4">
        <f t="shared" si="4"/>
        <v>10</v>
      </c>
      <c r="P12" s="3">
        <f t="shared" si="0"/>
        <v>6.27</v>
      </c>
      <c r="Q12">
        <f t="shared" si="1"/>
        <v>0</v>
      </c>
      <c r="S12" s="3">
        <f t="shared" si="5"/>
        <v>6</v>
      </c>
    </row>
    <row r="13" spans="1:19" x14ac:dyDescent="0.35">
      <c r="A13" t="s">
        <v>12</v>
      </c>
      <c r="C13" t="str">
        <f t="shared" si="2"/>
        <v>EWJ</v>
      </c>
      <c r="E13" s="3" cm="1">
        <f t="array" ref="E13">_xll.FDS(C13,"FG_TOTAL_RETURNC(-1AM,-2AM)")</f>
        <v>-0.94501376000000004</v>
      </c>
      <c r="F13" s="3" cm="1">
        <f t="array" ref="F13">_xll.FDS(C13,"FG_TOTAL_RETURNC(-1AM,-4AM)")</f>
        <v>-4.890549</v>
      </c>
      <c r="G13" s="3" cm="1">
        <f t="array" ref="G13">_xll.FDS(C13,"FG_TOTAL_RETURNC(-1AM,-7AM)")</f>
        <v>7.1126820000000004</v>
      </c>
      <c r="H13" s="6" cm="1">
        <f t="array" ref="H13">_xll.FDS(C13,"P_PRICE(-1AM)/P_PRICE_HIGH_PR(-1AM,,,,,,""PRICE"",""INTRA"",""52W"")")</f>
        <v>0.93401783999999999</v>
      </c>
      <c r="K13" s="4">
        <f t="shared" si="3"/>
        <v>10</v>
      </c>
      <c r="L13" s="4">
        <f t="shared" si="4"/>
        <v>13</v>
      </c>
      <c r="M13" s="4">
        <f t="shared" si="4"/>
        <v>11</v>
      </c>
      <c r="P13" s="3">
        <f t="shared" si="0"/>
        <v>11.22</v>
      </c>
      <c r="Q13">
        <f t="shared" si="1"/>
        <v>0</v>
      </c>
      <c r="S13" s="3">
        <f t="shared" si="5"/>
        <v>13</v>
      </c>
    </row>
    <row r="14" spans="1:19" x14ac:dyDescent="0.35">
      <c r="A14" t="s">
        <v>64</v>
      </c>
      <c r="C14" t="str">
        <f t="shared" si="2"/>
        <v>FXI</v>
      </c>
      <c r="E14" s="3" cm="1">
        <f t="array" ref="E14">_xll.FDS(C14,"FG_TOTAL_RETURNC(-1AM,-2AM)")</f>
        <v>-3.5353124</v>
      </c>
      <c r="F14" s="3" cm="1">
        <f t="array" ref="F14">_xll.FDS(C14,"FG_TOTAL_RETURNC(-1AM,-4AM)")</f>
        <v>11.597991</v>
      </c>
      <c r="G14" s="3" cm="1">
        <f t="array" ref="G14">_xll.FDS(C14,"FG_TOTAL_RETURNC(-1AM,-7AM)")</f>
        <v>14.577781999999999</v>
      </c>
      <c r="H14" s="6" cm="1">
        <f t="array" ref="H14">_xll.FDS(C14,"P_PRICE(-1AM)/P_PRICE_HIGH_PR(-1AM,,,,,,""PRICE"",""INTRA"",""52W"")")</f>
        <v>0.86836933999999999</v>
      </c>
      <c r="K14" s="4">
        <f t="shared" si="3"/>
        <v>13</v>
      </c>
      <c r="L14" s="4">
        <f t="shared" si="4"/>
        <v>1</v>
      </c>
      <c r="M14" s="4">
        <f t="shared" si="4"/>
        <v>4</v>
      </c>
      <c r="P14" s="3">
        <f t="shared" si="0"/>
        <v>5.94</v>
      </c>
      <c r="Q14">
        <f t="shared" si="1"/>
        <v>0</v>
      </c>
      <c r="S14" s="3">
        <f t="shared" si="5"/>
        <v>5</v>
      </c>
    </row>
    <row r="15" spans="1:19" x14ac:dyDescent="0.35">
      <c r="A15" t="s">
        <v>116</v>
      </c>
      <c r="C15" t="str">
        <f t="shared" si="2"/>
        <v>BTC00-USA</v>
      </c>
      <c r="E15" s="3" cm="1">
        <f t="array" ref="E15">_xll.FDS($A15,"P_FUT_TOTAL_RETURN(-1AM,-2AM,,'')")</f>
        <v>-12.8023371498271</v>
      </c>
      <c r="F15" s="3" cm="1">
        <f t="array" ref="F15">_xll.FDS($A15,"P_FUT_TOTAL_RETURN(-1AM,-4AM,,'')")</f>
        <v>-13.6052657540861</v>
      </c>
      <c r="G15" s="3" cm="1">
        <f t="array" ref="G15">_xll.FDS($A15,"P_FUT_TOTAL_RETURN(-1AM,-7AM,,'')")</f>
        <v>37.617110941521197</v>
      </c>
      <c r="H15" s="6" cm="1">
        <f t="array" ref="H15">_xll.FDS(A15,"FG_PRICE(-1AM)/MAX(FG_PRICE(-1AM,-13AM,D))")</f>
        <v>0.82446052898599698</v>
      </c>
      <c r="K15" s="4">
        <f t="shared" si="3"/>
        <v>14</v>
      </c>
      <c r="L15" s="4">
        <f t="shared" si="4"/>
        <v>14</v>
      </c>
      <c r="M15" s="4">
        <f t="shared" si="4"/>
        <v>1</v>
      </c>
      <c r="P15" s="3">
        <f t="shared" si="0"/>
        <v>9.57</v>
      </c>
      <c r="Q15">
        <f t="shared" si="1"/>
        <v>0</v>
      </c>
      <c r="S15" s="3">
        <f t="shared" si="5"/>
        <v>10</v>
      </c>
    </row>
    <row r="16" spans="1:19" x14ac:dyDescent="0.35">
      <c r="A16" t="s">
        <v>117</v>
      </c>
      <c r="C16" t="str">
        <f t="shared" si="2"/>
        <v>BIGPX</v>
      </c>
      <c r="E16" s="3" cm="1">
        <f t="array" ref="E16">_xll.FDS(C16,"FG_TOTAL_RETURNC(-1AM,-2AM)")</f>
        <v>1.9961357</v>
      </c>
      <c r="F16" s="3" cm="1">
        <f t="array" ref="F16">_xll.FDS(C16,"FG_TOTAL_RETURNC(-1AM,-4AM)")</f>
        <v>3.125</v>
      </c>
      <c r="G16" s="3" cm="1">
        <f t="array" ref="G16">_xll.FDS(C16,"FG_TOTAL_RETURNC(-1AM,-7AM)")</f>
        <v>8.1967239999999997</v>
      </c>
      <c r="H16" s="6" cm="1">
        <f t="array" ref="H16">_xll.FDS(C16,"P_PRICE(-1AM)/P_PRICE_HIGH_PR(-1AM,,,,,,""PRICE"",""INTRA"",""52W"")")</f>
        <v>0.99435024999999999</v>
      </c>
      <c r="K16" s="4">
        <f t="shared" si="3"/>
        <v>1</v>
      </c>
      <c r="L16" s="4">
        <f t="shared" si="4"/>
        <v>8</v>
      </c>
      <c r="M16" s="4">
        <f t="shared" si="4"/>
        <v>8</v>
      </c>
      <c r="P16" s="3">
        <f t="shared" si="0"/>
        <v>5.61</v>
      </c>
      <c r="Q16">
        <f t="shared" si="1"/>
        <v>0</v>
      </c>
      <c r="S16" s="3">
        <f t="shared" si="5"/>
        <v>4</v>
      </c>
    </row>
    <row r="17" spans="1:3" x14ac:dyDescent="0.35">
      <c r="A17" s="3"/>
    </row>
    <row r="22" spans="1:3" ht="15" customHeight="1" x14ac:dyDescent="0.35"/>
    <row r="23" spans="1:3" ht="15" customHeight="1" x14ac:dyDescent="0.35"/>
    <row r="24" spans="1:3" ht="15" customHeight="1" x14ac:dyDescent="0.35"/>
    <row r="25" spans="1:3" ht="15" customHeight="1" x14ac:dyDescent="0.35">
      <c r="C25" s="1"/>
    </row>
    <row r="26" spans="1:3" ht="15" customHeight="1" x14ac:dyDescent="0.35"/>
    <row r="27" spans="1:3" ht="15" customHeight="1" x14ac:dyDescent="0.35"/>
    <row r="28" spans="1:3" ht="15" customHeight="1" x14ac:dyDescent="0.35"/>
    <row r="29" spans="1:3" ht="15" customHeight="1" x14ac:dyDescent="0.35"/>
    <row r="30" spans="1:3" ht="15" customHeight="1" x14ac:dyDescent="0.35"/>
    <row r="31" spans="1:3" ht="15" customHeight="1" x14ac:dyDescent="0.35"/>
    <row r="32" spans="1:3" ht="15" customHeight="1" x14ac:dyDescent="0.35">
      <c r="C32" s="1"/>
    </row>
    <row r="33" spans="3:3" ht="15" customHeight="1" x14ac:dyDescent="0.35"/>
    <row r="34" spans="3:3" ht="15" customHeight="1" x14ac:dyDescent="0.35"/>
    <row r="35" spans="3:3" ht="15" customHeight="1" x14ac:dyDescent="0.35"/>
    <row r="36" spans="3:3" ht="15" customHeight="1" x14ac:dyDescent="0.35"/>
    <row r="37" spans="3:3" ht="15" customHeight="1" x14ac:dyDescent="0.35">
      <c r="C37" s="1"/>
    </row>
    <row r="38" spans="3:3" ht="15" customHeight="1" x14ac:dyDescent="0.35"/>
    <row r="39" spans="3:3" ht="15" customHeight="1" x14ac:dyDescent="0.35"/>
    <row r="40" spans="3:3" ht="15" customHeight="1" x14ac:dyDescent="0.35"/>
    <row r="41" spans="3:3" ht="15" customHeight="1" x14ac:dyDescent="0.35"/>
    <row r="42" spans="3:3" ht="15" customHeight="1" x14ac:dyDescent="0.35">
      <c r="C42" s="1"/>
    </row>
    <row r="43" spans="3:3" ht="15" customHeight="1" x14ac:dyDescent="0.35">
      <c r="C43" s="1"/>
    </row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  <row r="60" ht="15" customHeight="1" x14ac:dyDescent="0.3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K257"/>
  <sheetViews>
    <sheetView zoomScale="82" zoomScaleNormal="82" workbookViewId="0">
      <pane xSplit="1" topLeftCell="B1" activePane="topRight" state="frozen"/>
      <selection activeCell="L48" sqref="L48"/>
      <selection pane="topRight" activeCell="B35" sqref="B35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26953125" customWidth="1"/>
    <col min="7" max="7" width="12.54296875" customWidth="1"/>
    <col min="8" max="8" width="10.26953125" bestFit="1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0.26953125" customWidth="1"/>
    <col min="15" max="15" width="15.7265625" bestFit="1" customWidth="1"/>
    <col min="16" max="16" width="15.26953125" customWidth="1"/>
    <col min="17" max="17" width="18.453125" customWidth="1"/>
    <col min="18" max="18" width="17.1796875" customWidth="1"/>
    <col min="19" max="19" width="6.54296875" customWidth="1"/>
    <col min="20" max="21" width="17.54296875" customWidth="1"/>
    <col min="22" max="22" width="18.81640625" customWidth="1"/>
    <col min="23" max="23" width="13.26953125" customWidth="1"/>
    <col min="24" max="24" width="13" customWidth="1"/>
    <col min="25" max="25" width="13.453125" customWidth="1"/>
    <col min="26" max="26" width="13" customWidth="1"/>
    <col min="27" max="27" width="12.1796875" customWidth="1"/>
    <col min="28" max="28" width="11.453125" customWidth="1"/>
    <col min="29" max="31" width="13.7265625" customWidth="1"/>
    <col min="32" max="32" width="10.26953125" customWidth="1"/>
    <col min="33" max="33" width="7" customWidth="1"/>
    <col min="34" max="34" width="9.7265625" customWidth="1"/>
  </cols>
  <sheetData>
    <row r="1" spans="1:37" ht="62.25" customHeight="1" thickBot="1" x14ac:dyDescent="0.4">
      <c r="C1" t="s">
        <v>0</v>
      </c>
      <c r="D1" s="18" t="s">
        <v>52</v>
      </c>
      <c r="E1" s="24" t="s">
        <v>53</v>
      </c>
      <c r="F1" s="24" t="s">
        <v>8</v>
      </c>
      <c r="G1" s="24" t="s">
        <v>17</v>
      </c>
      <c r="H1" s="24" t="s">
        <v>16</v>
      </c>
      <c r="I1" s="24" t="s">
        <v>19</v>
      </c>
      <c r="J1" s="24" t="s">
        <v>25</v>
      </c>
      <c r="K1" t="s">
        <v>18</v>
      </c>
      <c r="L1" t="s">
        <v>32</v>
      </c>
      <c r="M1" t="s">
        <v>33</v>
      </c>
      <c r="O1" t="s">
        <v>2</v>
      </c>
      <c r="P1" t="s">
        <v>3</v>
      </c>
      <c r="Q1" t="s">
        <v>5</v>
      </c>
      <c r="R1" t="s">
        <v>38</v>
      </c>
      <c r="T1" t="s">
        <v>40</v>
      </c>
      <c r="U1" t="s">
        <v>41</v>
      </c>
      <c r="V1" t="s">
        <v>39</v>
      </c>
      <c r="W1" t="s">
        <v>2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34</v>
      </c>
      <c r="AD1" t="s">
        <v>35</v>
      </c>
      <c r="AE1" s="24" t="s">
        <v>54</v>
      </c>
      <c r="AH1" s="1" t="s">
        <v>26</v>
      </c>
      <c r="AI1" t="s">
        <v>27</v>
      </c>
    </row>
    <row r="2" spans="1:37" s="12" customFormat="1" ht="15" thickBot="1" x14ac:dyDescent="0.4">
      <c r="A2" s="11"/>
      <c r="U2" s="13" t="e">
        <f>#REF!</f>
        <v>#REF!</v>
      </c>
      <c r="V2" s="13" t="e">
        <f>#REF!</f>
        <v>#REF!</v>
      </c>
      <c r="W2" s="13" t="e">
        <f>#REF!</f>
        <v>#REF!</v>
      </c>
      <c r="X2" s="13" t="e">
        <f>#REF!</f>
        <v>#REF!</v>
      </c>
      <c r="Z2" s="12" t="e">
        <f>#REF!</f>
        <v>#REF!</v>
      </c>
      <c r="AA2" s="13" t="e">
        <f>#REF!</f>
        <v>#REF!</v>
      </c>
      <c r="AB2" s="13" t="e">
        <f>#REF!</f>
        <v>#REF!</v>
      </c>
      <c r="AC2" s="13" t="e">
        <f>#REF!</f>
        <v>#REF!</v>
      </c>
      <c r="AD2" s="13" t="e">
        <f>#REF!</f>
        <v>#REF!</v>
      </c>
      <c r="AE2" s="13" t="e">
        <f>#REF!</f>
        <v>#REF!</v>
      </c>
      <c r="AF2" s="13" t="e">
        <f>SUM(V2:AD2)</f>
        <v>#REF!</v>
      </c>
    </row>
    <row r="3" spans="1:37" hidden="1" x14ac:dyDescent="0.35">
      <c r="A3" t="s">
        <v>37</v>
      </c>
      <c r="B3" t="str" cm="1">
        <f t="array" ref="B3">_xll.FDS(A3,"FG_COMPANY_NAME")</f>
        <v>iShares MSCI New Zealand ETF</v>
      </c>
      <c r="C3" t="s">
        <v>37</v>
      </c>
      <c r="D3" s="25" t="e">
        <f>VLOOKUP(C3,#REF!,5,FALSE)</f>
        <v>#REF!</v>
      </c>
      <c r="E3" cm="1">
        <f t="array" ref="E3">_xll.FDS(C3,"FMA_COS_UP(""EPS"",""1M"",+1,0,,,""PORTAGG"",""MEANR"")")</f>
        <v>3</v>
      </c>
      <c r="F3" cm="1">
        <f t="array" ref="F3">_xll.FDS(C3,"FMA_COS_DOWN(""EPS"",""1M"",+1,0,,,""PORTAGG"",""MEANR"")")</f>
        <v>4</v>
      </c>
      <c r="G3" cm="1">
        <f t="array" ref="G3">_xll.FDS(A3,"SIZE(FG_CONSTITUENTS)")</f>
        <v>14</v>
      </c>
      <c r="H3" s="6">
        <f t="shared" ref="H3:H11" si="0">E3/$G3</f>
        <v>0.21428571428571427</v>
      </c>
      <c r="I3" s="6">
        <f t="shared" ref="I3:I11" si="1">F3/$G3</f>
        <v>0.2857142857142857</v>
      </c>
      <c r="J3" s="6">
        <f t="shared" ref="J3:J11" si="2">H3-I3</f>
        <v>-7.1428571428571425E-2</v>
      </c>
      <c r="K3" s="5" cm="1">
        <f t="array" ref="K3">_xll.FDS(A3,"FMA_PCT_ABOVE_MAVG(200,0,,,,""PORTAGG"")")/100</f>
        <v>0.57142857142857106</v>
      </c>
      <c r="L3" s="14" cm="1">
        <f t="array" ref="L3">_xll.FDSB(A3,"PERCENT_CHANGE(FMA_EPS(+1,0,,,,""PORTAGG"",""MEAN""),FMA_EPS(+1,-1AM,,,,""PORTAGG"",""MEAN""))")</f>
        <v>-2.80458813786192</v>
      </c>
      <c r="M3" s="14" cm="1">
        <f t="array" ref="M3">_xll.FDSB(A3,"PERCENT_CHANGE(FMA_EPS(+1,0,,,,""PORTAGG"",""MEAN""),FMA_EPS(+1,-3AM,,,,""PORTAGG"",""MEAN""))")</f>
        <v>0.84886592914560799</v>
      </c>
      <c r="O3" s="3" cm="1">
        <f t="array" ref="O3">_xll.FDS(C3,"FG_TOTAL_RETURNC(0,-3AM)")</f>
        <v>4.0211915999999999</v>
      </c>
      <c r="P3" s="3" cm="1">
        <f t="array" ref="P3">_xll.FDS(C3,"FG_TOTAL_RETURNC(0,-6AM)")</f>
        <v>-1.8119752</v>
      </c>
      <c r="Q3" s="6" cm="1">
        <f t="array" ref="Q3">_xll.FDS(C3,"P_PRICE(0)/P_PRICE_HIGH_PR(0,,,USD,,,""PRICE"",""INTRA"",""52W"")")</f>
        <v>0.91126620000000003</v>
      </c>
      <c r="R3" s="6" cm="1">
        <f t="array" ref="R3">_xll.FDS(C3,"P_PRICE(0)/P_PRICE_low_PR(0,,,USD,,,""PRICE"",""INTRA"",""52W"")-1")</f>
        <v>0.11381637999999999</v>
      </c>
      <c r="T3" s="4" cm="1">
        <f t="array" ref="T3">_xlfn.PERCENTRANK.EXC(_xlfn._xlws.FILTER($R$3:$R$15, ISNUMBER($R$3:$R$15)),R3)*100</f>
        <v>7.1</v>
      </c>
      <c r="U3" s="4">
        <f t="shared" ref="U3:U11" si="3">100-T3</f>
        <v>92.9</v>
      </c>
      <c r="V3" s="4" cm="1">
        <f t="array" ref="V3">_xlfn.PERCENTRANK.EXC(_xlfn._xlws.FILTER($Q$3:$Q$15, ISNUMBER($Q$3:$Q$15)),Q3)*100</f>
        <v>14.2</v>
      </c>
      <c r="W3" s="4" cm="1">
        <f t="array" ref="W3">_xlfn.PERCENTRANK.EXC(_xlfn._xlws.FILTER($O$3:$O$15, ISNUMBER($O$3:$O$15)),O3)*100</f>
        <v>57.099999999999994</v>
      </c>
      <c r="X3" s="4" cm="1">
        <f t="array" ref="X3">_xlfn.PERCENTRANK.EXC(_xlfn._xlws.FILTER($P$3:$P$15, ISNUMBER($P$3:$P$15)),P3)*100</f>
        <v>7.1</v>
      </c>
      <c r="Z3" s="4" cm="1">
        <f t="array" ref="Z3">_xlfn.PERCENTRANK.EXC(_xlfn._xlws.FILTER($K$3:$K$15, ISNUMBER($K$3:$K$15)),K3)*100</f>
        <v>21.4</v>
      </c>
      <c r="AA3" s="4" cm="1">
        <f t="array" ref="AA3">_xlfn.PERCENTRANK.EXC(_xlfn._xlws.FILTER($H$3:$H$15, ISNUMBER($H$3:$H$15)),H3)*100</f>
        <v>7.1</v>
      </c>
      <c r="AB3" s="4" cm="1">
        <f t="array" ref="AB3">_xlfn.PERCENTRANK.EXC(_xlfn._xlws.FILTER($J$3:$J$15, ISNUMBER($J$3:$J$15)),J3)*100</f>
        <v>57.099999999999994</v>
      </c>
      <c r="AC3" s="4">
        <f>_xlfn.PERCENTRANK.EXC($L$3:$L$15,L3)*100</f>
        <v>14.2</v>
      </c>
      <c r="AD3" s="4">
        <f>_xlfn.PERCENTRANK.EXC($M$3:$M$15,M3)*100</f>
        <v>85.7</v>
      </c>
      <c r="AE3" s="4" t="e">
        <f>_xlfn.PERCENTRANK.EXC($D$3:$D$15,D3)*100</f>
        <v>#REF!</v>
      </c>
      <c r="AF3" s="4" t="e">
        <f t="shared" ref="AF3:AF11" si="4">SUMPRODUCT($U$2:$AE$2,U3:AE3)</f>
        <v>#REF!</v>
      </c>
      <c r="AH3" s="3" t="e" cm="1" vm="1">
        <f t="array" ref="AH3">_xlfn.PERCENTRANK.EXC(_xlfn._xlws.FILTER($AF$3:$AF$15, ISNUMBER($AF$3:$AF$15)),AF3)*100</f>
        <v>#VALUE!</v>
      </c>
      <c r="AI3">
        <f t="shared" ref="AI3:AI11" si="5">COUNTIF(V3:AB3,"&gt;70")</f>
        <v>0</v>
      </c>
      <c r="AK3" s="4"/>
    </row>
    <row r="4" spans="1:37" hidden="1" x14ac:dyDescent="0.35">
      <c r="A4" t="s">
        <v>11</v>
      </c>
      <c r="B4" t="str" cm="1">
        <f t="array" ref="B4">_xll.FDS(A4,"FG_COMPANY_NAME")</f>
        <v>iShares MSCI Australia ETF</v>
      </c>
      <c r="C4" t="s">
        <v>11</v>
      </c>
      <c r="D4" s="25" t="e">
        <f>VLOOKUP(C4,#REF!,5,FALSE)</f>
        <v>#REF!</v>
      </c>
      <c r="E4" cm="1">
        <f t="array" ref="E4">_xll.FDS(C4,"FMA_COS_UP(""EPS"",""1M"",+1,0,,,""PORTAGG"",""MEANR"")")</f>
        <v>20</v>
      </c>
      <c r="F4" cm="1">
        <f t="array" ref="F4">_xll.FDS(C4,"FMA_COS_DOWN(""EPS"",""1M"",+1,0,,,""PORTAGG"",""MEANR"")")</f>
        <v>32</v>
      </c>
      <c r="G4" cm="1">
        <f t="array" ref="G4">_xll.FDS(A4,"SIZE(FG_CONSTITUENTS)")</f>
        <v>60</v>
      </c>
      <c r="H4" s="6">
        <f t="shared" si="0"/>
        <v>0.33333333333333331</v>
      </c>
      <c r="I4" s="6">
        <f t="shared" si="1"/>
        <v>0.53333333333333333</v>
      </c>
      <c r="J4" s="6">
        <f t="shared" si="2"/>
        <v>-0.2</v>
      </c>
      <c r="K4" s="5" cm="1">
        <f t="array" ref="K4">_xll.FDS(A4,"FMA_PCT_ABOVE_MAVG(200,0,,,,""PORTAGG"")")/100</f>
        <v>0.644067796610169</v>
      </c>
      <c r="L4" s="14" cm="1">
        <f t="array" ref="L4">_xll.FDSB(A4,"PERCENT_CHANGE(FMA_EPS(+1,0,,,,""PORTAGG"",""MEAN""),FMA_EPS(+1,-1AM,,,,""PORTAGG"",""MEAN""))")</f>
        <v>-0.17808588627094399</v>
      </c>
      <c r="M4" s="14" cm="1">
        <f t="array" ref="M4">_xll.FDSB(A4,"PERCENT_CHANGE(FMA_EPS(+1,0,,,,""PORTAGG"",""MEAN""),FMA_EPS(+1,-3AM,,,,""PORTAGG"",""MEAN""))")</f>
        <v>-2.49428968349461</v>
      </c>
      <c r="O4" s="3" cm="1">
        <f t="array" ref="O4">_xll.FDS(C4,"FG_TOTAL_RETURNC(0,-3AM)")</f>
        <v>6.0746909999999996</v>
      </c>
      <c r="P4" s="3" cm="1">
        <f t="array" ref="P4">_xll.FDS(C4,"FG_TOTAL_RETURNC(0,-6AM)")</f>
        <v>6.2090160000000001</v>
      </c>
      <c r="Q4" s="6" cm="1">
        <f t="array" ref="Q4">_xll.FDS(C4,"P_PRICE(0)/P_PRICE_HIGH_PR(0,,,USD,,,""PRICE"",""INTRA"",""52W"")")</f>
        <v>0.95770275999999999</v>
      </c>
      <c r="R4" s="6" cm="1">
        <f t="array" ref="R4">_xll.FDS(C4,"P_PRICE(0)/P_PRICE_low_PR(0,,,USD,,,""PRICE"",""INTRA"",""52W"")-1")</f>
        <v>0.20625615</v>
      </c>
      <c r="T4" s="4" cm="1">
        <f t="array" ref="T4">_xlfn.PERCENTRANK.EXC(_xlfn._xlws.FILTER($R$3:$R$15, ISNUMBER($R$3:$R$15)),R4)*100</f>
        <v>42.8</v>
      </c>
      <c r="U4" s="4">
        <f t="shared" si="3"/>
        <v>57.2</v>
      </c>
      <c r="V4" s="4" cm="1">
        <f t="array" ref="V4">_xlfn.PERCENTRANK.EXC(_xlfn._xlws.FILTER($Q$3:$Q$15, ISNUMBER($Q$3:$Q$15)),Q4)*100</f>
        <v>64.2</v>
      </c>
      <c r="W4" s="4" cm="1">
        <f t="array" ref="W4">_xlfn.PERCENTRANK.EXC(_xlfn._xlws.FILTER($O$3:$O$15, ISNUMBER($O$3:$O$15)),O4)*100</f>
        <v>71.399999999999991</v>
      </c>
      <c r="X4" s="4" cm="1">
        <f t="array" ref="X4">_xlfn.PERCENTRANK.EXC(_xlfn._xlws.FILTER($P$3:$P$15, ISNUMBER($P$3:$P$15)),P4)*100</f>
        <v>35.699999999999996</v>
      </c>
      <c r="Z4" s="4" cm="1">
        <f t="array" ref="Z4">_xlfn.PERCENTRANK.EXC(_xlfn._xlws.FILTER($K$3:$K$15, ISNUMBER($K$3:$K$15)),K4)*100</f>
        <v>57.099999999999994</v>
      </c>
      <c r="AA4" s="4" cm="1">
        <f t="array" ref="AA4">_xlfn.PERCENTRANK.EXC(_xlfn._xlws.FILTER($H$3:$H$15, ISNUMBER($H$3:$H$15)),H4)*100</f>
        <v>42.8</v>
      </c>
      <c r="AB4" s="4" cm="1">
        <f t="array" ref="AB4">_xlfn.PERCENTRANK.EXC(_xlfn._xlws.FILTER($J$3:$J$15, ISNUMBER($J$3:$J$15)),J4)*100</f>
        <v>42.8</v>
      </c>
      <c r="AC4" s="4">
        <f t="shared" ref="AC4:AC15" si="6">_xlfn.PERCENTRANK.EXC($L$3:$L$15,L4)*100</f>
        <v>50</v>
      </c>
      <c r="AD4" s="4">
        <f t="shared" ref="AD4:AD15" si="7">_xlfn.PERCENTRANK.EXC($M$3:$M$15,M4)*100</f>
        <v>21.4</v>
      </c>
      <c r="AE4" s="4" t="e">
        <f t="shared" ref="AE4:AE15" si="8">_xlfn.PERCENTRANK.EXC($D$3:$D$15,D4)*100</f>
        <v>#REF!</v>
      </c>
      <c r="AF4" s="4" t="e">
        <f t="shared" si="4"/>
        <v>#REF!</v>
      </c>
      <c r="AH4" s="3" t="e" cm="1" vm="1">
        <f t="array" ref="AH4">_xlfn.PERCENTRANK.EXC(_xlfn._xlws.FILTER($AF$3:$AF$15, ISNUMBER($AF$3:$AF$15)),AF4)*100</f>
        <v>#VALUE!</v>
      </c>
      <c r="AI4">
        <f t="shared" si="5"/>
        <v>1</v>
      </c>
      <c r="AK4" s="4"/>
    </row>
    <row r="5" spans="1:37" hidden="1" x14ac:dyDescent="0.35">
      <c r="A5" t="s">
        <v>14</v>
      </c>
      <c r="B5" t="str" cm="1">
        <f t="array" ref="B5">_xll.FDS(A5,"FG_COMPANY_NAME")</f>
        <v>iShares MSCI Canada ETF</v>
      </c>
      <c r="C5" t="s">
        <v>14</v>
      </c>
      <c r="D5" s="25" t="e">
        <f>VLOOKUP(C5,#REF!,5,FALSE)</f>
        <v>#REF!</v>
      </c>
      <c r="E5" cm="1">
        <f t="array" ref="E5">_xll.FDS(C5,"FMA_COS_UP(""EPS"",""1M"",+1,0,,,""PORTAGG"",""MEANR"")")</f>
        <v>34</v>
      </c>
      <c r="F5" cm="1">
        <f t="array" ref="F5">_xll.FDS(C5,"FMA_COS_DOWN(""EPS"",""1M"",+1,0,,,""PORTAGG"",""MEANR"")")</f>
        <v>38</v>
      </c>
      <c r="G5" cm="1">
        <f t="array" ref="G5">_xll.FDS(A5,"SIZE(FG_CONSTITUENTS)")</f>
        <v>88</v>
      </c>
      <c r="H5" s="6">
        <f t="shared" si="0"/>
        <v>0.38636363636363635</v>
      </c>
      <c r="I5" s="6">
        <f t="shared" si="1"/>
        <v>0.43181818181818182</v>
      </c>
      <c r="J5" s="6">
        <f t="shared" si="2"/>
        <v>-4.545454545454547E-2</v>
      </c>
      <c r="K5" s="5" cm="1">
        <f t="array" ref="K5">_xll.FDS(A5,"FMA_PCT_ABOVE_MAVG(200,0,,,,""PORTAGG"")")/100</f>
        <v>0.76136363636363602</v>
      </c>
      <c r="L5" s="14" cm="1">
        <f t="array" ref="L5">_xll.FDSB(A5,"PERCENT_CHANGE(FMA_EPS(+1,0,,,,""PORTAGG"",""MEAN""),FMA_EPS(+1,-1AM,,,,""PORTAGG"",""MEAN""))")</f>
        <v>-1.12002504444639</v>
      </c>
      <c r="M5" s="14" cm="1">
        <f t="array" ref="M5">_xll.FDSB(A5,"PERCENT_CHANGE(FMA_EPS(+1,0,,,,""PORTAGG"",""MEAN""),FMA_EPS(+1,-3AM,,,,""PORTAGG"",""MEAN""))")</f>
        <v>-1.9401973771052701</v>
      </c>
      <c r="O5" s="3" cm="1">
        <f t="array" ref="O5">_xll.FDS(C5,"FG_TOTAL_RETURNC(0,-3AM)")</f>
        <v>2.8246760000000002</v>
      </c>
      <c r="P5" s="3" cm="1">
        <f t="array" ref="P5">_xll.FDS(C5,"FG_TOTAL_RETURNC(0,-6AM)")</f>
        <v>6.0952067000000003</v>
      </c>
      <c r="Q5" s="6" cm="1">
        <f t="array" ref="Q5">_xll.FDS(C5,"P_PRICE(0)/P_PRICE_HIGH_PR(0,,,USD,,,""PRICE"",""INTRA"",""52W"")")</f>
        <v>0.98206514</v>
      </c>
      <c r="R5" s="6" cm="1">
        <f t="array" ref="R5">_xll.FDS(C5,"P_PRICE(0)/P_PRICE_low_PR(0,,,USD,,,""PRICE"",""INTRA"",""52W"")-1")</f>
        <v>0.22031212</v>
      </c>
      <c r="T5" s="4" cm="1">
        <f t="array" ref="T5">_xlfn.PERCENTRANK.EXC(_xlfn._xlws.FILTER($R$3:$R$15, ISNUMBER($R$3:$R$15)),R5)*100</f>
        <v>50</v>
      </c>
      <c r="U5" s="4">
        <f t="shared" si="3"/>
        <v>50</v>
      </c>
      <c r="V5" s="4" cm="1">
        <f t="array" ref="V5">_xlfn.PERCENTRANK.EXC(_xlfn._xlws.FILTER($Q$3:$Q$15, ISNUMBER($Q$3:$Q$15)),Q5)*100</f>
        <v>85.7</v>
      </c>
      <c r="W5" s="4" cm="1">
        <f t="array" ref="W5">_xlfn.PERCENTRANK.EXC(_xlfn._xlws.FILTER($O$3:$O$15, ISNUMBER($O$3:$O$15)),O5)*100</f>
        <v>21.4</v>
      </c>
      <c r="X5" s="4" cm="1">
        <f t="array" ref="X5">_xlfn.PERCENTRANK.EXC(_xlfn._xlws.FILTER($P$3:$P$15, ISNUMBER($P$3:$P$15)),P5)*100</f>
        <v>28.499999999999996</v>
      </c>
      <c r="Z5" s="4" cm="1">
        <f t="array" ref="Z5">_xlfn.PERCENTRANK.EXC(_xlfn._xlws.FILTER($K$3:$K$15, ISNUMBER($K$3:$K$15)),K5)*100</f>
        <v>92.800000000000011</v>
      </c>
      <c r="AA5" s="4" cm="1">
        <f t="array" ref="AA5">_xlfn.PERCENTRANK.EXC(_xlfn._xlws.FILTER($H$3:$H$15, ISNUMBER($H$3:$H$15)),H5)*100</f>
        <v>78.5</v>
      </c>
      <c r="AB5" s="4" cm="1">
        <f t="array" ref="AB5">_xlfn.PERCENTRANK.EXC(_xlfn._xlws.FILTER($J$3:$J$15, ISNUMBER($J$3:$J$15)),J5)*100</f>
        <v>64.2</v>
      </c>
      <c r="AC5" s="4">
        <f t="shared" si="6"/>
        <v>21.4</v>
      </c>
      <c r="AD5" s="4">
        <f t="shared" si="7"/>
        <v>35.699999999999996</v>
      </c>
      <c r="AE5" s="4" t="e">
        <f t="shared" si="8"/>
        <v>#REF!</v>
      </c>
      <c r="AF5" s="4" t="e">
        <f t="shared" si="4"/>
        <v>#REF!</v>
      </c>
      <c r="AH5" s="3" t="e" cm="1" vm="1">
        <f t="array" ref="AH5">_xlfn.PERCENTRANK.EXC(_xlfn._xlws.FILTER($AF$3:$AF$15, ISNUMBER($AF$3:$AF$15)),AF5)*100</f>
        <v>#VALUE!</v>
      </c>
      <c r="AI5">
        <f t="shared" si="5"/>
        <v>3</v>
      </c>
      <c r="AK5" s="4"/>
    </row>
    <row r="6" spans="1:37" hidden="1" x14ac:dyDescent="0.35">
      <c r="A6" t="s">
        <v>6</v>
      </c>
      <c r="B6" t="str" cm="1">
        <f t="array" ref="B6">_xll.FDS(A6,"FG_COMPANY_NAME")</f>
        <v>iShares MSCI Germany ETF</v>
      </c>
      <c r="C6" t="s">
        <v>6</v>
      </c>
      <c r="D6" s="25" t="e">
        <f>VLOOKUP(C6,#REF!,5,FALSE)</f>
        <v>#REF!</v>
      </c>
      <c r="E6" cm="1">
        <f t="array" ref="E6">_xll.FDS(C6,"FMA_COS_UP(""EPS"",""1M"",+1,0,,,""PORTAGG"",""MEANR"")")</f>
        <v>20</v>
      </c>
      <c r="F6" cm="1">
        <f t="array" ref="F6">_xll.FDS(C6,"FMA_COS_DOWN(""EPS"",""1M"",+1,0,,,""PORTAGG"",""MEANR"")")</f>
        <v>34</v>
      </c>
      <c r="G6" cm="1">
        <f t="array" ref="G6">_xll.FDS(A6,"SIZE(FG_CONSTITUENTS)")</f>
        <v>59</v>
      </c>
      <c r="H6" s="6">
        <f t="shared" si="0"/>
        <v>0.33898305084745761</v>
      </c>
      <c r="I6" s="6">
        <f t="shared" si="1"/>
        <v>0.57627118644067798</v>
      </c>
      <c r="J6" s="6">
        <f t="shared" si="2"/>
        <v>-0.23728813559322037</v>
      </c>
      <c r="K6" s="5" cm="1">
        <f t="array" ref="K6">_xll.FDS(A6,"FMA_PCT_ABOVE_MAVG(200,0,,,,""PORTAGG"")")/100</f>
        <v>0.58620689655172398</v>
      </c>
      <c r="L6" s="14" cm="1">
        <f t="array" ref="L6">_xll.FDSB(A6,"PERCENT_CHANGE(FMA_EPS(+1,0,,,,""PORTAGG"",""MEAN""),FMA_EPS(+1,-1AM,,,,""PORTAGG"",""MEAN""))")</f>
        <v>0.21240266023464399</v>
      </c>
      <c r="M6" s="14" cm="1">
        <f t="array" ref="M6">_xll.FDSB(A6,"PERCENT_CHANGE(FMA_EPS(+1,0,,,,""PORTAGG"",""MEAN""),FMA_EPS(+1,-3AM,,,,""PORTAGG"",""MEAN""))")</f>
        <v>-0.24031816442936799</v>
      </c>
      <c r="O6" s="3" cm="1">
        <f t="array" ref="O6">_xll.FDS(C6,"FG_TOTAL_RETURNC(0,-3AM)")</f>
        <v>3.6249756999999998</v>
      </c>
      <c r="P6" s="3" cm="1">
        <f t="array" ref="P6">_xll.FDS(C6,"FG_TOTAL_RETURNC(0,-6AM)")</f>
        <v>9.1605659999999993</v>
      </c>
      <c r="Q6" s="6" cm="1">
        <f t="array" ref="Q6">_xll.FDS(C6,"P_PRICE(0)/P_PRICE_HIGH_PR(0,,,USD,,,""PRICE"",""INTRA"",""52W"")")</f>
        <v>0.95610344000000003</v>
      </c>
      <c r="R6" s="6" cm="1">
        <f t="array" ref="R6">_xll.FDS(C6,"P_PRICE(0)/P_PRICE_low_PR(0,,,USD,,,""PRICE"",""INTRA"",""52W"")-1")</f>
        <v>0.26735472999999998</v>
      </c>
      <c r="T6" s="4" cm="1">
        <f t="array" ref="T6">_xlfn.PERCENTRANK.EXC(_xlfn._xlws.FILTER($R$3:$R$15, ISNUMBER($R$3:$R$15)),R6)*100</f>
        <v>57.099999999999994</v>
      </c>
      <c r="U6" s="4">
        <f t="shared" si="3"/>
        <v>42.900000000000006</v>
      </c>
      <c r="V6" s="4" cm="1">
        <f t="array" ref="V6">_xlfn.PERCENTRANK.EXC(_xlfn._xlws.FILTER($Q$3:$Q$15, ISNUMBER($Q$3:$Q$15)),Q6)*100</f>
        <v>57.099999999999994</v>
      </c>
      <c r="W6" s="4" cm="1">
        <f t="array" ref="W6">_xlfn.PERCENTRANK.EXC(_xlfn._xlws.FILTER($O$3:$O$15, ISNUMBER($O$3:$O$15)),O6)*100</f>
        <v>50</v>
      </c>
      <c r="X6" s="4" cm="1">
        <f t="array" ref="X6">_xlfn.PERCENTRANK.EXC(_xlfn._xlws.FILTER($P$3:$P$15, ISNUMBER($P$3:$P$15)),P6)*100</f>
        <v>64.2</v>
      </c>
      <c r="Z6" s="4" cm="1">
        <f t="array" ref="Z6">_xlfn.PERCENTRANK.EXC(_xlfn._xlws.FILTER($K$3:$K$15, ISNUMBER($K$3:$K$15)),K6)*100</f>
        <v>35.699999999999996</v>
      </c>
      <c r="AA6" s="4" cm="1">
        <f t="array" ref="AA6">_xlfn.PERCENTRANK.EXC(_xlfn._xlws.FILTER($H$3:$H$15, ISNUMBER($H$3:$H$15)),H6)*100</f>
        <v>50</v>
      </c>
      <c r="AB6" s="4" cm="1">
        <f t="array" ref="AB6">_xlfn.PERCENTRANK.EXC(_xlfn._xlws.FILTER($J$3:$J$15, ISNUMBER($J$3:$J$15)),J6)*100</f>
        <v>35.699999999999996</v>
      </c>
      <c r="AC6" s="4">
        <f t="shared" si="6"/>
        <v>78.5</v>
      </c>
      <c r="AD6" s="4">
        <f t="shared" si="7"/>
        <v>57.099999999999994</v>
      </c>
      <c r="AE6" s="4" t="e">
        <f t="shared" si="8"/>
        <v>#REF!</v>
      </c>
      <c r="AF6" s="4" t="e">
        <f t="shared" si="4"/>
        <v>#REF!</v>
      </c>
      <c r="AH6" s="3" t="e" cm="1" vm="1">
        <f t="array" ref="AH6">_xlfn.PERCENTRANK.EXC(_xlfn._xlws.FILTER($AF$3:$AF$15, ISNUMBER($AF$3:$AF$15)),AF6)*100</f>
        <v>#VALUE!</v>
      </c>
      <c r="AI6">
        <f t="shared" si="5"/>
        <v>0</v>
      </c>
      <c r="AK6" s="4"/>
    </row>
    <row r="7" spans="1:37" hidden="1" x14ac:dyDescent="0.35">
      <c r="A7" t="s">
        <v>12</v>
      </c>
      <c r="B7" t="str" cm="1">
        <f t="array" ref="B7">_xll.FDS(A7,"FG_COMPANY_NAME")</f>
        <v>iShares MSCI Japan ETF</v>
      </c>
      <c r="C7" t="s">
        <v>12</v>
      </c>
      <c r="D7" s="25" t="e">
        <f>VLOOKUP(C7,#REF!,5,FALSE)</f>
        <v>#REF!</v>
      </c>
      <c r="E7" cm="1">
        <f t="array" ref="E7">_xll.FDS(C7,"FMA_COS_UP(""EPS"",""1M"",+1,0,,,""PORTAGG"",""MEANR"")")</f>
        <v>104</v>
      </c>
      <c r="F7" cm="1">
        <f t="array" ref="F7">_xll.FDS(C7,"FMA_COS_DOWN(""EPS"",""1M"",+1,0,,,""PORTAGG"",""MEANR"")")</f>
        <v>57</v>
      </c>
      <c r="G7" cm="1">
        <f t="array" ref="G7">_xll.FDS(A7,"SIZE(FG_CONSTITUENTS)")</f>
        <v>205</v>
      </c>
      <c r="H7" s="6">
        <f t="shared" si="0"/>
        <v>0.50731707317073171</v>
      </c>
      <c r="I7" s="6">
        <f t="shared" si="1"/>
        <v>0.2780487804878049</v>
      </c>
      <c r="J7" s="6">
        <f t="shared" si="2"/>
        <v>0.22926829268292681</v>
      </c>
      <c r="K7" s="5" cm="1">
        <f t="array" ref="K7">_xll.FDS(A7,"FMA_PCT_ABOVE_MAVG(200,0,,,,""PORTAGG"")")/100</f>
        <v>0.62254901960784303</v>
      </c>
      <c r="L7" s="14" cm="1">
        <f t="array" ref="L7">_xll.FDSB(A7,"PERCENT_CHANGE(FMA_EPS(+1,0,,,,""PORTAGG"",""MEAN""),FMA_EPS(+1,-1AM,,,,""PORTAGG"",""MEAN""))")</f>
        <v>3.4310717064142602</v>
      </c>
      <c r="M7" s="14" cm="1">
        <f t="array" ref="M7">_xll.FDSB(A7,"PERCENT_CHANGE(FMA_EPS(+1,0,,,,""PORTAGG"",""MEAN""),FMA_EPS(+1,-3AM,,,,""PORTAGG"",""MEAN""))")</f>
        <v>-0.38029078944331801</v>
      </c>
      <c r="O7" s="3" cm="1">
        <f t="array" ref="O7">_xll.FDS(C7,"FG_TOTAL_RETURNC(0,-3AM)")</f>
        <v>3.0885696</v>
      </c>
      <c r="P7" s="3" cm="1">
        <f t="array" ref="P7">_xll.FDS(C7,"FG_TOTAL_RETURNC(0,-6AM)")</f>
        <v>5.8317183999999997</v>
      </c>
      <c r="Q7" s="6" cm="1">
        <f t="array" ref="Q7">_xll.FDS(C7,"P_PRICE(0)/P_PRICE_HIGH_PR(0,,,USD,,,""PRICE"",""INTRA"",""52W"")")</f>
        <v>0.95316725999999996</v>
      </c>
      <c r="R7" s="6" cm="1">
        <f t="array" ref="R7">_xll.FDS(C7,"P_PRICE(0)/P_PRICE_low_PR(0,,,USD,,,""PRICE"",""INTRA"",""52W"")-1")</f>
        <v>0.20087421</v>
      </c>
      <c r="T7" s="4" cm="1">
        <f t="array" ref="T7">_xlfn.PERCENTRANK.EXC(_xlfn._xlws.FILTER($R$3:$R$15, ISNUMBER($R$3:$R$15)),R7)*100</f>
        <v>28.499999999999996</v>
      </c>
      <c r="U7" s="4">
        <f t="shared" si="3"/>
        <v>71.5</v>
      </c>
      <c r="V7" s="4" cm="1">
        <f t="array" ref="V7">_xlfn.PERCENTRANK.EXC(_xlfn._xlws.FILTER($Q$3:$Q$15, ISNUMBER($Q$3:$Q$15)),Q7)*100</f>
        <v>50</v>
      </c>
      <c r="W7" s="4" cm="1">
        <f t="array" ref="W7">_xlfn.PERCENTRANK.EXC(_xlfn._xlws.FILTER($O$3:$O$15, ISNUMBER($O$3:$O$15)),O7)*100</f>
        <v>28.499999999999996</v>
      </c>
      <c r="X7" s="4" cm="1">
        <f t="array" ref="X7">_xlfn.PERCENTRANK.EXC(_xlfn._xlws.FILTER($P$3:$P$15, ISNUMBER($P$3:$P$15)),P7)*100</f>
        <v>21.4</v>
      </c>
      <c r="Z7" s="4" cm="1">
        <f t="array" ref="Z7">_xlfn.PERCENTRANK.EXC(_xlfn._xlws.FILTER($K$3:$K$15, ISNUMBER($K$3:$K$15)),K7)*100</f>
        <v>42.8</v>
      </c>
      <c r="AA7" s="4" cm="1">
        <f t="array" ref="AA7">_xlfn.PERCENTRANK.EXC(_xlfn._xlws.FILTER($H$3:$H$15, ISNUMBER($H$3:$H$15)),H7)*100</f>
        <v>92.800000000000011</v>
      </c>
      <c r="AB7" s="4" cm="1">
        <f t="array" ref="AB7">_xlfn.PERCENTRANK.EXC(_xlfn._xlws.FILTER($J$3:$J$15, ISNUMBER($J$3:$J$15)),J7)*100</f>
        <v>92.800000000000011</v>
      </c>
      <c r="AC7" s="4">
        <f t="shared" si="6"/>
        <v>92.800000000000011</v>
      </c>
      <c r="AD7" s="4">
        <f t="shared" si="7"/>
        <v>50</v>
      </c>
      <c r="AE7" s="4" t="e">
        <f t="shared" si="8"/>
        <v>#REF!</v>
      </c>
      <c r="AF7" s="4" t="e">
        <f t="shared" si="4"/>
        <v>#REF!</v>
      </c>
      <c r="AH7" s="3" t="e" cm="1" vm="1">
        <f t="array" ref="AH7">_xlfn.PERCENTRANK.EXC(_xlfn._xlws.FILTER($AF$3:$AF$15, ISNUMBER($AF$3:$AF$15)),AF7)*100</f>
        <v>#VALUE!</v>
      </c>
      <c r="AI7">
        <f t="shared" si="5"/>
        <v>2</v>
      </c>
      <c r="AK7" s="4"/>
    </row>
    <row r="8" spans="1:37" hidden="1" x14ac:dyDescent="0.35">
      <c r="A8" t="s">
        <v>10</v>
      </c>
      <c r="B8" t="str" cm="1">
        <f t="array" ref="B8">_xll.FDS(A8,"FG_COMPANY_NAME")</f>
        <v>iShares MSCI Switzerland ETF</v>
      </c>
      <c r="C8" t="s">
        <v>10</v>
      </c>
      <c r="D8" s="25" t="e">
        <f>VLOOKUP(C8,#REF!,5,FALSE)</f>
        <v>#REF!</v>
      </c>
      <c r="E8" cm="1">
        <f t="array" ref="E8">_xll.FDS(C8,"FMA_COS_UP(""EPS"",""1M"",+1,0,,,""PORTAGG"",""MEANR"")")</f>
        <v>22</v>
      </c>
      <c r="F8" cm="1">
        <f t="array" ref="F8">_xll.FDS(C8,"FMA_COS_DOWN(""EPS"",""1M"",+1,0,,,""PORTAGG"",""MEANR"")")</f>
        <v>18</v>
      </c>
      <c r="G8" cm="1">
        <f t="array" ref="G8">_xll.FDS(A8,"SIZE(FG_CONSTITUENTS)")</f>
        <v>46</v>
      </c>
      <c r="H8" s="6">
        <f t="shared" si="0"/>
        <v>0.47826086956521741</v>
      </c>
      <c r="I8" s="6">
        <f t="shared" si="1"/>
        <v>0.39130434782608697</v>
      </c>
      <c r="J8" s="6">
        <f t="shared" si="2"/>
        <v>8.6956521739130432E-2</v>
      </c>
      <c r="K8" s="5" cm="1">
        <f t="array" ref="K8">_xll.FDS(A8,"FMA_PCT_ABOVE_MAVG(200,0,,,,""PORTAGG"")")/100</f>
        <v>0.76086956521739102</v>
      </c>
      <c r="L8" s="14" cm="1">
        <f t="array" ref="L8">_xll.FDSB(A8,"PERCENT_CHANGE(FMA_EPS(+1,0,,,,""PORTAGG"",""MEAN""),FMA_EPS(+1,-1AM,,,,""PORTAGG"",""MEAN""))")</f>
        <v>0.76299559821086005</v>
      </c>
      <c r="M8" s="14" cm="1">
        <f t="array" ref="M8">_xll.FDSB(A8,"PERCENT_CHANGE(FMA_EPS(+1,0,,,,""PORTAGG"",""MEAN""),FMA_EPS(+1,-3AM,,,,""PORTAGG"",""MEAN""))")</f>
        <v>2.33695673029592</v>
      </c>
      <c r="O8" s="3" cm="1">
        <f t="array" ref="O8">_xll.FDS(C8,"FG_TOTAL_RETURNC(0,-3AM)")</f>
        <v>11.254096000000001</v>
      </c>
      <c r="P8" s="3" cm="1">
        <f t="array" ref="P8">_xll.FDS(C8,"FG_TOTAL_RETURNC(0,-6AM)")</f>
        <v>6.8802357000000001</v>
      </c>
      <c r="Q8" s="6" cm="1">
        <f t="array" ref="Q8">_xll.FDS(C8,"P_PRICE(0)/P_PRICE_HIGH_PR(0,,,USD,,,""PRICE"",""INTRA"",""52W"")")</f>
        <v>0.98874189999999995</v>
      </c>
      <c r="R8" s="6" cm="1">
        <f t="array" ref="R8">_xll.FDS(C8,"P_PRICE(0)/P_PRICE_low_PR(0,,,USD,,,""PRICE"",""INTRA"",""52W"")-1")</f>
        <v>0.20481347999999999</v>
      </c>
      <c r="T8" s="4" cm="1">
        <f t="array" ref="T8">_xlfn.PERCENTRANK.EXC(_xlfn._xlws.FILTER($R$3:$R$15, ISNUMBER($R$3:$R$15)),R8)*100</f>
        <v>35.699999999999996</v>
      </c>
      <c r="U8" s="4">
        <f t="shared" si="3"/>
        <v>64.300000000000011</v>
      </c>
      <c r="V8" s="4" cm="1">
        <f t="array" ref="V8">_xlfn.PERCENTRANK.EXC(_xlfn._xlws.FILTER($Q$3:$Q$15, ISNUMBER($Q$3:$Q$15)),Q8)*100</f>
        <v>92.800000000000011</v>
      </c>
      <c r="W8" s="4" cm="1">
        <f t="array" ref="W8">_xlfn.PERCENTRANK.EXC(_xlfn._xlws.FILTER($O$3:$O$15, ISNUMBER($O$3:$O$15)),O8)*100</f>
        <v>92.800000000000011</v>
      </c>
      <c r="X8" s="4" cm="1">
        <f t="array" ref="X8">_xlfn.PERCENTRANK.EXC(_xlfn._xlws.FILTER($P$3:$P$15, ISNUMBER($P$3:$P$15)),P8)*100</f>
        <v>42.8</v>
      </c>
      <c r="Z8" s="4" cm="1">
        <f t="array" ref="Z8">_xlfn.PERCENTRANK.EXC(_xlfn._xlws.FILTER($K$3:$K$15, ISNUMBER($K$3:$K$15)),K8)*100</f>
        <v>85.7</v>
      </c>
      <c r="AA8" s="4" cm="1">
        <f t="array" ref="AA8">_xlfn.PERCENTRANK.EXC(_xlfn._xlws.FILTER($H$3:$H$15, ISNUMBER($H$3:$H$15)),H8)*100</f>
        <v>85.7</v>
      </c>
      <c r="AB8" s="4" cm="1">
        <f t="array" ref="AB8">_xlfn.PERCENTRANK.EXC(_xlfn._xlws.FILTER($J$3:$J$15, ISNUMBER($J$3:$J$15)),J8)*100</f>
        <v>85.7</v>
      </c>
      <c r="AC8" s="4">
        <f t="shared" si="6"/>
        <v>85.7</v>
      </c>
      <c r="AD8" s="4">
        <f t="shared" si="7"/>
        <v>92.800000000000011</v>
      </c>
      <c r="AE8" s="4" t="e">
        <f t="shared" si="8"/>
        <v>#REF!</v>
      </c>
      <c r="AF8" s="4" t="e">
        <f t="shared" si="4"/>
        <v>#REF!</v>
      </c>
      <c r="AH8" s="3" t="e" cm="1" vm="1">
        <f t="array" ref="AH8">_xlfn.PERCENTRANK.EXC(_xlfn._xlws.FILTER($AF$3:$AF$15, ISNUMBER($AF$3:$AF$15)),AF8)*100</f>
        <v>#VALUE!</v>
      </c>
      <c r="AI8">
        <f t="shared" si="5"/>
        <v>5</v>
      </c>
      <c r="AK8" s="4"/>
    </row>
    <row r="9" spans="1:37" hidden="1" x14ac:dyDescent="0.35">
      <c r="A9" t="s">
        <v>13</v>
      </c>
      <c r="B9" t="str" cm="1">
        <f t="array" ref="B9">_xll.FDS(A9,"FG_COMPANY_NAME")</f>
        <v>iShares MSCI United Kingdom ETF</v>
      </c>
      <c r="C9" t="s">
        <v>13</v>
      </c>
      <c r="D9" s="25" t="e">
        <f>VLOOKUP(C9,#REF!,5,FALSE)</f>
        <v>#REF!</v>
      </c>
      <c r="E9" cm="1">
        <f t="array" ref="E9">_xll.FDS(C9,"FMA_COS_UP(""EPS"",""1M"",+1,0,,,""PORTAGG"",""MEANR"")")</f>
        <v>22</v>
      </c>
      <c r="F9" cm="1">
        <f t="array" ref="F9">_xll.FDS(C9,"FMA_COS_DOWN(""EPS"",""1M"",+1,0,,,""PORTAGG"",""MEANR"")")</f>
        <v>45</v>
      </c>
      <c r="G9" cm="1">
        <f t="array" ref="G9">_xll.FDS(A9,"SIZE(FG_CONSTITUENTS)")</f>
        <v>81</v>
      </c>
      <c r="H9" s="6">
        <f t="shared" si="0"/>
        <v>0.27160493827160492</v>
      </c>
      <c r="I9" s="6">
        <f t="shared" si="1"/>
        <v>0.55555555555555558</v>
      </c>
      <c r="J9" s="6">
        <f t="shared" si="2"/>
        <v>-0.28395061728395066</v>
      </c>
      <c r="K9" s="5" cm="1">
        <f t="array" ref="K9">_xll.FDS(A9,"FMA_PCT_ABOVE_MAVG(200,0,,,,""PORTAGG"")")/100</f>
        <v>0.65</v>
      </c>
      <c r="L9" s="14" cm="1">
        <f t="array" ref="L9">_xll.FDSB(A9,"PERCENT_CHANGE(FMA_EPS(+1,0,,,,""PORTAGG"",""MEAN""),FMA_EPS(+1,-1AM,,,,""PORTAGG"",""MEAN""))")</f>
        <v>-0.87164996084791402</v>
      </c>
      <c r="M9" s="14" cm="1">
        <f t="array" ref="M9">_xll.FDSB(A9,"PERCENT_CHANGE(FMA_EPS(+1,0,,,,""PORTAGG"",""MEAN""),FMA_EPS(+1,-3AM,,,,""PORTAGG"",""MEAN""))")</f>
        <v>-1.35858940419601E-2</v>
      </c>
      <c r="O9" s="3" cm="1">
        <f t="array" ref="O9">_xll.FDS(C9,"FG_TOTAL_RETURNC(0,-3AM)")</f>
        <v>5.4418445000000002</v>
      </c>
      <c r="P9" s="3" cm="1">
        <f t="array" ref="P9">_xll.FDS(C9,"FG_TOTAL_RETURNC(0,-6AM)")</f>
        <v>12.516534999999999</v>
      </c>
      <c r="Q9" s="6" cm="1">
        <f t="array" ref="Q9">_xll.FDS(C9,"P_PRICE(0)/P_PRICE_HIGH_PR(0,,,USD,,,""PRICE"",""INTRA"",""52W"")")</f>
        <v>0.97973619999999995</v>
      </c>
      <c r="R9" s="6" cm="1">
        <f t="array" ref="R9">_xll.FDS(C9,"P_PRICE(0)/P_PRICE_low_PR(0,,,USD,,,""PRICE"",""INTRA"",""52W"")-1")</f>
        <v>0.19508958000000001</v>
      </c>
      <c r="T9" s="4" cm="1">
        <f t="array" ref="T9">_xlfn.PERCENTRANK.EXC(_xlfn._xlws.FILTER($R$3:$R$15, ISNUMBER($R$3:$R$15)),R9)*100</f>
        <v>21.4</v>
      </c>
      <c r="U9" s="4">
        <f t="shared" si="3"/>
        <v>78.599999999999994</v>
      </c>
      <c r="V9" s="4" cm="1">
        <f t="array" ref="V9">_xlfn.PERCENTRANK.EXC(_xlfn._xlws.FILTER($Q$3:$Q$15, ISNUMBER($Q$3:$Q$15)),Q9)*100</f>
        <v>78.5</v>
      </c>
      <c r="W9" s="4" cm="1">
        <f t="array" ref="W9">_xlfn.PERCENTRANK.EXC(_xlfn._xlws.FILTER($O$3:$O$15, ISNUMBER($O$3:$O$15)),O9)*100</f>
        <v>64.2</v>
      </c>
      <c r="X9" s="4" cm="1">
        <f t="array" ref="X9">_xlfn.PERCENTRANK.EXC(_xlfn._xlws.FILTER($P$3:$P$15, ISNUMBER($P$3:$P$15)),P9)*100</f>
        <v>85.7</v>
      </c>
      <c r="Z9" s="4" cm="1">
        <f t="array" ref="Z9">_xlfn.PERCENTRANK.EXC(_xlfn._xlws.FILTER($K$3:$K$15, ISNUMBER($K$3:$K$15)),K9)*100</f>
        <v>64.2</v>
      </c>
      <c r="AA9" s="4" cm="1">
        <f t="array" ref="AA9">_xlfn.PERCENTRANK.EXC(_xlfn._xlws.FILTER($H$3:$H$15, ISNUMBER($H$3:$H$15)),H9)*100</f>
        <v>21.4</v>
      </c>
      <c r="AB9" s="4" cm="1">
        <f t="array" ref="AB9">_xlfn.PERCENTRANK.EXC(_xlfn._xlws.FILTER($J$3:$J$15, ISNUMBER($J$3:$J$15)),J9)*100</f>
        <v>14.2</v>
      </c>
      <c r="AC9" s="4">
        <f t="shared" si="6"/>
        <v>28.499999999999996</v>
      </c>
      <c r="AD9" s="4">
        <f t="shared" si="7"/>
        <v>71.399999999999991</v>
      </c>
      <c r="AE9" s="4" t="e">
        <f t="shared" si="8"/>
        <v>#REF!</v>
      </c>
      <c r="AF9" s="4" t="e">
        <f t="shared" si="4"/>
        <v>#REF!</v>
      </c>
      <c r="AH9" s="3" t="e" cm="1" vm="1">
        <f t="array" ref="AH9">_xlfn.PERCENTRANK.EXC(_xlfn._xlws.FILTER($AF$3:$AF$15, ISNUMBER($AF$3:$AF$15)),AF9)*100</f>
        <v>#VALUE!</v>
      </c>
      <c r="AI9">
        <f t="shared" si="5"/>
        <v>2</v>
      </c>
      <c r="AK9" s="4"/>
    </row>
    <row r="10" spans="1:37" hidden="1" x14ac:dyDescent="0.35">
      <c r="A10" t="s">
        <v>15</v>
      </c>
      <c r="B10" t="str" cm="1">
        <f t="array" ref="B10">_xll.FDS(A10,"FG_COMPANY_NAME")</f>
        <v>Invesco QQQ Trust Series I</v>
      </c>
      <c r="C10" t="s">
        <v>15</v>
      </c>
      <c r="D10" s="25" t="e">
        <f>VLOOKUP(C10,#REF!,5,FALSE)</f>
        <v>#REF!</v>
      </c>
      <c r="E10" cm="1">
        <f t="array" ref="E10">_xll.FDS(C10,"FMA_COS_UP(""EPS"",""1M"",+1,0,,,""PORTAGG"",""MEANR"")")</f>
        <v>39</v>
      </c>
      <c r="F10" cm="1">
        <f t="array" ref="F10">_xll.FDS(C10,"FMA_COS_DOWN(""EPS"",""1M"",+1,0,,,""PORTAGG"",""MEANR"")")</f>
        <v>37</v>
      </c>
      <c r="G10" cm="1">
        <f t="array" ref="G10">_xll.FDS(A10,"SIZE(FG_CONSTITUENTS)")</f>
        <v>102</v>
      </c>
      <c r="H10" s="6">
        <f t="shared" si="0"/>
        <v>0.38235294117647056</v>
      </c>
      <c r="I10" s="6">
        <f t="shared" si="1"/>
        <v>0.36274509803921567</v>
      </c>
      <c r="J10" s="6">
        <f t="shared" si="2"/>
        <v>1.9607843137254888E-2</v>
      </c>
      <c r="K10" s="5" cm="1">
        <f t="array" ref="K10">_xll.FDS(A10,"FMA_PCT_ABOVE_MAVG(200,0,,,,""PORTAGG"")")/100</f>
        <v>0.63725490196078394</v>
      </c>
      <c r="L10" s="14" cm="1">
        <f t="array" ref="L10">_xll.FDSB(A10,"PERCENT_CHANGE(FMA_EPS(+1,0,,,,""PORTAGG"",""MEAN""),FMA_EPS(+1,-1AM,,,,""PORTAGG"",""MEAN""))")</f>
        <v>-0.140557886396838</v>
      </c>
      <c r="M10" s="14" cm="1">
        <f t="array" ref="M10">_xll.FDSB(A10,"PERCENT_CHANGE(FMA_EPS(+1,0,,,,""PORTAGG"",""MEAN""),FMA_EPS(+1,-3AM,,,,""PORTAGG"",""MEAN""))")</f>
        <v>0.36400264640908098</v>
      </c>
      <c r="O10" s="3" cm="1">
        <f t="array" ref="O10">_xll.FDS(C10,"FG_TOTAL_RETURNC(0,-3AM)")</f>
        <v>7.5902224</v>
      </c>
      <c r="P10" s="3" cm="1">
        <f t="array" ref="P10">_xll.FDS(C10,"FG_TOTAL_RETURNC(0,-6AM)")</f>
        <v>9.5589279999999999</v>
      </c>
      <c r="Q10" s="6" cm="1">
        <f t="array" ref="Q10">_xll.FDS(C10,"P_PRICE(0)/P_PRICE_HIGH_PR(0,,,USD,,,""PRICE"",""INTRA"",""52W"")")</f>
        <v>0.91946700000000003</v>
      </c>
      <c r="R10" s="6" cm="1">
        <f t="array" ref="R10">_xll.FDS(C10,"P_PRICE(0)/P_PRICE_low_PR(0,,,USD,,,""PRICE"",""INTRA"",""52W"")-1")</f>
        <v>0.35232950000000002</v>
      </c>
      <c r="T10" s="4" cm="1">
        <f t="array" ref="T10">_xlfn.PERCENTRANK.EXC(_xlfn._xlws.FILTER($R$3:$R$15, ISNUMBER($R$3:$R$15)),R10)*100</f>
        <v>92.800000000000011</v>
      </c>
      <c r="U10" s="4">
        <f t="shared" si="3"/>
        <v>7.1999999999999886</v>
      </c>
      <c r="V10" s="4" cm="1">
        <f t="array" ref="V10">_xlfn.PERCENTRANK.EXC(_xlfn._xlws.FILTER($Q$3:$Q$15, ISNUMBER($Q$3:$Q$15)),Q10)*100</f>
        <v>21.4</v>
      </c>
      <c r="W10" s="4" cm="1">
        <f t="array" ref="W10">_xlfn.PERCENTRANK.EXC(_xlfn._xlws.FILTER($O$3:$O$15, ISNUMBER($O$3:$O$15)),O10)*100</f>
        <v>85.7</v>
      </c>
      <c r="X10" s="4" cm="1">
        <f t="array" ref="X10">_xlfn.PERCENTRANK.EXC(_xlfn._xlws.FILTER($P$3:$P$15, ISNUMBER($P$3:$P$15)),P10)*100</f>
        <v>71.399999999999991</v>
      </c>
      <c r="Z10" s="4" cm="1">
        <f t="array" ref="Z10">_xlfn.PERCENTRANK.EXC(_xlfn._xlws.FILTER($K$3:$K$15, ISNUMBER($K$3:$K$15)),K10)*100</f>
        <v>50</v>
      </c>
      <c r="AA10" s="4" cm="1">
        <f t="array" ref="AA10">_xlfn.PERCENTRANK.EXC(_xlfn._xlws.FILTER($H$3:$H$15, ISNUMBER($H$3:$H$15)),H10)*100</f>
        <v>64.2</v>
      </c>
      <c r="AB10" s="4" cm="1">
        <f t="array" ref="AB10">_xlfn.PERCENTRANK.EXC(_xlfn._xlws.FILTER($J$3:$J$15, ISNUMBER($J$3:$J$15)),J10)*100</f>
        <v>78.5</v>
      </c>
      <c r="AC10" s="4">
        <f t="shared" si="6"/>
        <v>57.099999999999994</v>
      </c>
      <c r="AD10" s="4">
        <f t="shared" si="7"/>
        <v>78.5</v>
      </c>
      <c r="AE10" s="4" t="e">
        <f t="shared" si="8"/>
        <v>#REF!</v>
      </c>
      <c r="AF10" s="4" t="e">
        <f t="shared" si="4"/>
        <v>#REF!</v>
      </c>
      <c r="AH10" s="3" t="e" cm="1" vm="1">
        <f t="array" ref="AH10">_xlfn.PERCENTRANK.EXC(_xlfn._xlws.FILTER($AF$3:$AF$15, ISNUMBER($AF$3:$AF$15)),AF10)*100</f>
        <v>#VALUE!</v>
      </c>
      <c r="AI10">
        <f t="shared" si="5"/>
        <v>3</v>
      </c>
      <c r="AK10" s="4"/>
    </row>
    <row r="11" spans="1:37" hidden="1" x14ac:dyDescent="0.35">
      <c r="A11" t="s">
        <v>1</v>
      </c>
      <c r="B11" t="str" cm="1">
        <f t="array" ref="B11">_xll.FDS(A11,"FG_COMPANY_NAME")</f>
        <v>SPDR S&amp;P 500 ETF Trust</v>
      </c>
      <c r="C11" t="s">
        <v>1</v>
      </c>
      <c r="D11" s="25" t="e">
        <f>VLOOKUP(C11,#REF!,5,FALSE)</f>
        <v>#REF!</v>
      </c>
      <c r="E11" cm="1">
        <f t="array" ref="E11">_xll.FDS(C11,"FMA_COS_UP(""EPS"",""1M"",+1,0,,,""PORTAGG"",""MEANR"")")</f>
        <v>184</v>
      </c>
      <c r="F11" cm="1">
        <f t="array" ref="F11">_xll.FDS(C11,"FMA_COS_DOWN(""EPS"",""1M"",+1,0,,,""PORTAGG"",""MEANR"")")</f>
        <v>223</v>
      </c>
      <c r="G11" cm="1">
        <f t="array" ref="G11">_xll.FDS(A11,"SIZE(FG_CONSTITUENTS)")</f>
        <v>503</v>
      </c>
      <c r="H11" s="6">
        <f t="shared" si="0"/>
        <v>0.36580516898608351</v>
      </c>
      <c r="I11" s="6">
        <f t="shared" si="1"/>
        <v>0.44333996023856859</v>
      </c>
      <c r="J11" s="6">
        <f t="shared" si="2"/>
        <v>-7.753479125248508E-2</v>
      </c>
      <c r="K11" s="5" cm="1">
        <f t="array" ref="K11">_xll.FDS(A11,"FMA_PCT_ABOVE_MAVG(200,0,,,,""PORTAGG"")")/100</f>
        <v>0.69461077844311403</v>
      </c>
      <c r="L11" s="14" cm="1">
        <f t="array" ref="L11">_xll.FDSB(A11,"PERCENT_CHANGE(FMA_EPS(+1,0,,,,""PORTAGG"",""MEAN""),FMA_EPS(+1,-1AM,,,,""PORTAGG"",""MEAN""))")</f>
        <v>-0.12839510604629101</v>
      </c>
      <c r="M11" s="14" cm="1">
        <f t="array" ref="M11">_xll.FDSB(A11,"PERCENT_CHANGE(FMA_EPS(+1,0,,,,""PORTAGG"",""MEAN""),FMA_EPS(+1,-3AM,,,,""PORTAGG"",""MEAN""))")</f>
        <v>-0.17176498470088999</v>
      </c>
      <c r="O11" s="3" cm="1">
        <f t="array" ref="O11">_xll.FDS(C11,"FG_TOTAL_RETURNC(0,-3AM)")</f>
        <v>7.4644446000000002</v>
      </c>
      <c r="P11" s="3" cm="1">
        <f t="array" ref="P11">_xll.FDS(C11,"FG_TOTAL_RETURNC(0,-6AM)")</f>
        <v>12.412034999999999</v>
      </c>
      <c r="Q11" s="6" cm="1">
        <f t="array" ref="Q11">_xll.FDS(C11,"P_PRICE(0)/P_PRICE_HIGH_PR(0,,,USD,,,""PRICE"",""INTRA"",""52W"")")</f>
        <v>0.96333784</v>
      </c>
      <c r="R11" s="6" cm="1">
        <f t="array" ref="R11">_xll.FDS(C11,"P_PRICE(0)/P_PRICE_low_PR(0,,,USD,,,""PRICE"",""INTRA"",""52W"")-1")</f>
        <v>0.33046603000000002</v>
      </c>
      <c r="T11" s="4" cm="1">
        <f t="array" ref="T11">_xlfn.PERCENTRANK.EXC(_xlfn._xlws.FILTER($R$3:$R$15, ISNUMBER($R$3:$R$15)),R11)*100</f>
        <v>78.5</v>
      </c>
      <c r="U11" s="4">
        <f t="shared" si="3"/>
        <v>21.5</v>
      </c>
      <c r="V11" s="4" cm="1">
        <f t="array" ref="V11">_xlfn.PERCENTRANK.EXC(_xlfn._xlws.FILTER($Q$3:$Q$15, ISNUMBER($Q$3:$Q$15)),Q11)*100</f>
        <v>71.399999999999991</v>
      </c>
      <c r="W11" s="4" cm="1">
        <f t="array" ref="W11">_xlfn.PERCENTRANK.EXC(_xlfn._xlws.FILTER($O$3:$O$15, ISNUMBER($O$3:$O$15)),O11)*100</f>
        <v>78.5</v>
      </c>
      <c r="X11" s="4" cm="1">
        <f t="array" ref="X11">_xlfn.PERCENTRANK.EXC(_xlfn._xlws.FILTER($P$3:$P$15, ISNUMBER($P$3:$P$15)),P11)*100</f>
        <v>78.5</v>
      </c>
      <c r="Z11" s="4" cm="1">
        <f t="array" ref="Z11">_xlfn.PERCENTRANK.EXC(_xlfn._xlws.FILTER($K$3:$K$15, ISNUMBER($K$3:$K$15)),K11)*100</f>
        <v>71.399999999999991</v>
      </c>
      <c r="AA11" s="4" cm="1">
        <f t="array" ref="AA11">_xlfn.PERCENTRANK.EXC(_xlfn._xlws.FILTER($H$3:$H$15, ISNUMBER($H$3:$H$15)),H11)*100</f>
        <v>57.099999999999994</v>
      </c>
      <c r="AB11" s="4" cm="1">
        <f t="array" ref="AB11">_xlfn.PERCENTRANK.EXC(_xlfn._xlws.FILTER($J$3:$J$15, ISNUMBER($J$3:$J$15)),J11)*100</f>
        <v>50</v>
      </c>
      <c r="AC11" s="4">
        <f t="shared" si="6"/>
        <v>64.2</v>
      </c>
      <c r="AD11" s="4">
        <f t="shared" si="7"/>
        <v>64.2</v>
      </c>
      <c r="AE11" s="4" t="e">
        <f t="shared" si="8"/>
        <v>#REF!</v>
      </c>
      <c r="AF11" s="4" t="e">
        <f t="shared" si="4"/>
        <v>#REF!</v>
      </c>
      <c r="AH11" s="3" t="e" cm="1" vm="1">
        <f t="array" ref="AH11">_xlfn.PERCENTRANK.EXC(_xlfn._xlws.FILTER($AF$3:$AF$15, ISNUMBER($AF$3:$AF$15)),AF11)*100</f>
        <v>#VALUE!</v>
      </c>
      <c r="AI11">
        <f t="shared" si="5"/>
        <v>4</v>
      </c>
      <c r="AK11" s="4"/>
    </row>
    <row r="12" spans="1:37" hidden="1" x14ac:dyDescent="0.35">
      <c r="A12" t="s">
        <v>56</v>
      </c>
      <c r="B12" t="str" cm="1">
        <f t="array" ref="B12">_xll.FDS(A12,"FG_COMPANY_NAME")</f>
        <v>iShares MSCI France ETF</v>
      </c>
      <c r="C12" t="s">
        <v>56</v>
      </c>
      <c r="D12" s="25" t="e">
        <f>VLOOKUP(C12,#REF!,5,FALSE)</f>
        <v>#REF!</v>
      </c>
      <c r="E12" cm="1">
        <f t="array" ref="E12">_xll.FDS(C12,"FMA_COS_UP(""EPS"",""1M"",+1,0,,,""PORTAGG"",""MEANR"")")</f>
        <v>18</v>
      </c>
      <c r="F12" cm="1">
        <f t="array" ref="F12">_xll.FDS(C12,"FMA_COS_DOWN(""EPS"",""1M"",+1,0,,,""PORTAGG"",""MEANR"")")</f>
        <v>37</v>
      </c>
      <c r="G12" cm="1">
        <f t="array" ref="G12">_xll.FDS(A12,"SIZE(FG_CONSTITUENTS)")</f>
        <v>63</v>
      </c>
      <c r="H12" s="6">
        <f t="shared" ref="H12:H15" si="9">E12/$G12</f>
        <v>0.2857142857142857</v>
      </c>
      <c r="I12" s="6">
        <f t="shared" ref="I12:I15" si="10">F12/$G12</f>
        <v>0.58730158730158732</v>
      </c>
      <c r="J12" s="6">
        <f t="shared" ref="J12:J15" si="11">H12-I12</f>
        <v>-0.30158730158730163</v>
      </c>
      <c r="K12" s="5" cm="1">
        <f t="array" ref="K12">_xll.FDS(A12,"FMA_PCT_ABOVE_MAVG(200,0,,,,""PORTAGG"")")/100</f>
        <v>0.45161290322580599</v>
      </c>
      <c r="L12" s="14" cm="1">
        <f t="array" ref="L12">_xll.FDSB(A12,"PERCENT_CHANGE(FMA_EPS(+1,0,,,,""PORTAGG"",""MEAN""),FMA_EPS(+1,-1AM,,,,""PORTAGG"",""MEAN""))")</f>
        <v>-5.37371048478806E-2</v>
      </c>
      <c r="M12" s="14" cm="1">
        <f t="array" ref="M12">_xll.FDSB(A12,"PERCENT_CHANGE(FMA_EPS(+1,0,,,,""PORTAGG"",""MEAN""),FMA_EPS(+1,-3AM,,,,""PORTAGG"",""MEAN""))")</f>
        <v>-1.27728187207148</v>
      </c>
      <c r="O12" s="3" cm="1">
        <f t="array" ref="O12">_xll.FDS(C12,"FG_TOTAL_RETURNC(0,-3AM)")</f>
        <v>-2.6836156999999998</v>
      </c>
      <c r="P12" s="3" cm="1">
        <f t="array" ref="P12">_xll.FDS(C12,"FG_TOTAL_RETURNC(0,-6AM)")</f>
        <v>1.4575123999999999</v>
      </c>
      <c r="Q12" s="6" cm="1">
        <f t="array" ref="Q12">_xll.FDS(C12,"P_PRICE(0)/P_PRICE_HIGH_PR(0,,,USD,,,""PRICE"",""INTRA"",""52W"")")</f>
        <v>0.90798129999999999</v>
      </c>
      <c r="R12" s="6" cm="1">
        <f t="array" ref="R12">_xll.FDS(C12,"P_PRICE(0)/P_PRICE_low_PR(0,,,USD,,,""PRICE"",""INTRA"",""52W"")-1")</f>
        <v>0.14913845000000001</v>
      </c>
      <c r="T12" s="4" cm="1">
        <f t="array" ref="T12">_xlfn.PERCENTRANK.EXC(_xlfn._xlws.FILTER($R$3:$R$15, ISNUMBER($R$3:$R$15)),R12)*100</f>
        <v>14.2</v>
      </c>
      <c r="U12" s="4">
        <f t="shared" ref="U12:U15" si="12">100-T12</f>
        <v>85.8</v>
      </c>
      <c r="V12" s="4" cm="1">
        <f t="array" ref="V12">_xlfn.PERCENTRANK.EXC(_xlfn._xlws.FILTER($Q$3:$Q$15, ISNUMBER($Q$3:$Q$15)),Q12)*100</f>
        <v>7.1</v>
      </c>
      <c r="W12" s="4" cm="1">
        <f t="array" ref="W12">_xlfn.PERCENTRANK.EXC(_xlfn._xlws.FILTER($O$3:$O$15, ISNUMBER($O$3:$O$15)),O12)*100</f>
        <v>7.1</v>
      </c>
      <c r="X12" s="4" cm="1">
        <f t="array" ref="X12">_xlfn.PERCENTRANK.EXC(_xlfn._xlws.FILTER($P$3:$P$15, ISNUMBER($P$3:$P$15)),P12)*100</f>
        <v>14.2</v>
      </c>
      <c r="Z12" s="4" cm="1">
        <f t="array" ref="Z12">_xlfn.PERCENTRANK.EXC(_xlfn._xlws.FILTER($K$3:$K$15, ISNUMBER($K$3:$K$15)),K12)*100</f>
        <v>7.1</v>
      </c>
      <c r="AA12" s="4" cm="1">
        <f t="array" ref="AA12">_xlfn.PERCENTRANK.EXC(_xlfn._xlws.FILTER($H$3:$H$15, ISNUMBER($H$3:$H$15)),H12)*100</f>
        <v>35.699999999999996</v>
      </c>
      <c r="AB12" s="4" cm="1">
        <f t="array" ref="AB12">_xlfn.PERCENTRANK.EXC(_xlfn._xlws.FILTER($J$3:$J$15, ISNUMBER($J$3:$J$15)),J12)*100</f>
        <v>7.1</v>
      </c>
      <c r="AC12" s="4">
        <f t="shared" si="6"/>
        <v>71.399999999999991</v>
      </c>
      <c r="AD12" s="4">
        <f t="shared" si="7"/>
        <v>42.8</v>
      </c>
      <c r="AE12" s="4" t="e">
        <f t="shared" si="8"/>
        <v>#REF!</v>
      </c>
      <c r="AF12" s="4" t="e">
        <f t="shared" ref="AF12:AF15" si="13">SUMPRODUCT($U$2:$AE$2,U12:AE12)</f>
        <v>#REF!</v>
      </c>
      <c r="AH12" s="3" t="e" cm="1" vm="1">
        <f t="array" ref="AH12">_xlfn.PERCENTRANK.EXC(_xlfn._xlws.FILTER($AF$3:$AF$15, ISNUMBER($AF$3:$AF$15)),AF12)*100</f>
        <v>#VALUE!</v>
      </c>
      <c r="AI12">
        <f t="shared" ref="AI12:AI15" si="14">COUNTIF(V12:AB12,"&gt;70")</f>
        <v>0</v>
      </c>
    </row>
    <row r="13" spans="1:37" hidden="1" x14ac:dyDescent="0.35">
      <c r="A13" t="s">
        <v>58</v>
      </c>
      <c r="B13" t="str" cm="1">
        <f t="array" ref="B13">_xll.FDS(A13,"FG_COMPANY_NAME")</f>
        <v>iShares MSCI Netherlands ETF</v>
      </c>
      <c r="C13" t="s">
        <v>58</v>
      </c>
      <c r="D13" s="25" t="e">
        <f>VLOOKUP(C13,#REF!,5,FALSE)</f>
        <v>#REF!</v>
      </c>
      <c r="E13" cm="1">
        <f t="array" ref="E13">_xll.FDS(C13,"FMA_COS_UP(""EPS"",""1M"",+1,0,,,""PORTAGG"",""MEANR"")")</f>
        <v>15</v>
      </c>
      <c r="F13" cm="1">
        <f t="array" ref="F13">_xll.FDS(C13,"FMA_COS_DOWN(""EPS"",""1M"",+1,0,,,""PORTAGG"",""MEANR"")")</f>
        <v>28</v>
      </c>
      <c r="G13" cm="1">
        <f t="array" ref="G13">_xll.FDS(A13,"SIZE(FG_CONSTITUENTS)")</f>
        <v>53</v>
      </c>
      <c r="H13" s="6">
        <f t="shared" si="9"/>
        <v>0.28301886792452829</v>
      </c>
      <c r="I13" s="6">
        <f t="shared" si="10"/>
        <v>0.52830188679245282</v>
      </c>
      <c r="J13" s="6">
        <f t="shared" si="11"/>
        <v>-0.24528301886792453</v>
      </c>
      <c r="K13" s="5" cm="1">
        <f t="array" ref="K13">_xll.FDS(A13,"FMA_PCT_ABOVE_MAVG(200,0,,,,""PORTAGG"")")/100</f>
        <v>0.58490566037735803</v>
      </c>
      <c r="L13" s="14" cm="1">
        <f t="array" ref="L13">_xll.FDSB(A13,"PERCENT_CHANGE(FMA_EPS(+1,0,,,,""PORTAGG"",""MEAN""),FMA_EPS(+1,-1AM,,,,""PORTAGG"",""MEAN""))")</f>
        <v>-0.71073868934070705</v>
      </c>
      <c r="M13" s="14" cm="1">
        <f t="array" ref="M13">_xll.FDSB(A13,"PERCENT_CHANGE(FMA_EPS(+1,0,,,,""PORTAGG"",""MEAN""),FMA_EPS(+1,-3AM,,,,""PORTAGG"",""MEAN""))")</f>
        <v>-2.7346740606120101</v>
      </c>
      <c r="O13" s="3" cm="1">
        <f t="array" ref="O13">_xll.FDS(C13,"FG_TOTAL_RETURNC(0,-3AM)")</f>
        <v>1.8801570000000001</v>
      </c>
      <c r="P13" s="3" cm="1">
        <f t="array" ref="P13">_xll.FDS(C13,"FG_TOTAL_RETURNC(0,-6AM)")</f>
        <v>7.3578239999999999</v>
      </c>
      <c r="Q13" s="6" cm="1">
        <f t="array" ref="Q13">_xll.FDS(C13,"P_PRICE(0)/P_PRICE_HIGH_PR(0,,,USD,,,""PRICE"",""INTRA"",""52W"")")</f>
        <v>0.91966813999999997</v>
      </c>
      <c r="R13" s="6" cm="1">
        <f t="array" ref="R13">_xll.FDS(C13,"P_PRICE(0)/P_PRICE_low_PR(0,,,USD,,,""PRICE"",""INTRA"",""52W"")-1")</f>
        <v>0.34389639999999999</v>
      </c>
      <c r="T13" s="4" cm="1">
        <f t="array" ref="T13">_xlfn.PERCENTRANK.EXC(_xlfn._xlws.FILTER($R$3:$R$15, ISNUMBER($R$3:$R$15)),R13)*100</f>
        <v>85.7</v>
      </c>
      <c r="U13" s="4">
        <f t="shared" si="12"/>
        <v>14.299999999999997</v>
      </c>
      <c r="V13" s="4" cm="1">
        <f t="array" ref="V13">_xlfn.PERCENTRANK.EXC(_xlfn._xlws.FILTER($Q$3:$Q$15, ISNUMBER($Q$3:$Q$15)),Q13)*100</f>
        <v>28.499999999999996</v>
      </c>
      <c r="W13" s="4" cm="1">
        <f t="array" ref="W13">_xlfn.PERCENTRANK.EXC(_xlfn._xlws.FILTER($O$3:$O$15, ISNUMBER($O$3:$O$15)),O13)*100</f>
        <v>14.2</v>
      </c>
      <c r="X13" s="4" cm="1">
        <f t="array" ref="X13">_xlfn.PERCENTRANK.EXC(_xlfn._xlws.FILTER($P$3:$P$15, ISNUMBER($P$3:$P$15)),P13)*100</f>
        <v>50</v>
      </c>
      <c r="Z13" s="4" cm="1">
        <f t="array" ref="Z13">_xlfn.PERCENTRANK.EXC(_xlfn._xlws.FILTER($K$3:$K$15, ISNUMBER($K$3:$K$15)),K13)*100</f>
        <v>28.499999999999996</v>
      </c>
      <c r="AA13" s="4" cm="1">
        <f t="array" ref="AA13">_xlfn.PERCENTRANK.EXC(_xlfn._xlws.FILTER($H$3:$H$15, ISNUMBER($H$3:$H$15)),H13)*100</f>
        <v>28.499999999999996</v>
      </c>
      <c r="AB13" s="4" cm="1">
        <f t="array" ref="AB13">_xlfn.PERCENTRANK.EXC(_xlfn._xlws.FILTER($J$3:$J$15, ISNUMBER($J$3:$J$15)),J13)*100</f>
        <v>28.499999999999996</v>
      </c>
      <c r="AC13" s="4">
        <f t="shared" si="6"/>
        <v>35.699999999999996</v>
      </c>
      <c r="AD13" s="4">
        <f t="shared" si="7"/>
        <v>7.1</v>
      </c>
      <c r="AE13" s="4" t="e">
        <f t="shared" si="8"/>
        <v>#REF!</v>
      </c>
      <c r="AF13" s="4" t="e">
        <f t="shared" si="13"/>
        <v>#REF!</v>
      </c>
      <c r="AH13" s="3" t="e" cm="1" vm="1">
        <f t="array" ref="AH13">_xlfn.PERCENTRANK.EXC(_xlfn._xlws.FILTER($AF$3:$AF$15, ISNUMBER($AF$3:$AF$15)),AF13)*100</f>
        <v>#VALUE!</v>
      </c>
      <c r="AI13">
        <f t="shared" si="14"/>
        <v>0</v>
      </c>
    </row>
    <row r="14" spans="1:37" hidden="1" x14ac:dyDescent="0.35">
      <c r="A14" t="s">
        <v>55</v>
      </c>
      <c r="B14" t="str" cm="1">
        <f t="array" ref="B14">_xll.FDS(A14,"FG_COMPANY_NAME")</f>
        <v>iShares MSCI Sweden ETF</v>
      </c>
      <c r="C14" t="s">
        <v>55</v>
      </c>
      <c r="D14" s="25" t="e">
        <f>VLOOKUP(C14,#REF!,5,FALSE)</f>
        <v>#REF!</v>
      </c>
      <c r="E14" cm="1">
        <f t="array" ref="E14">_xll.FDS(C14,"FMA_COS_UP(""EPS"",""1M"",+1,0,,,""PORTAGG"",""MEANR"")")</f>
        <v>12</v>
      </c>
      <c r="F14" cm="1">
        <f t="array" ref="F14">_xll.FDS(C14,"FMA_COS_DOWN(""EPS"",""1M"",+1,0,,,""PORTAGG"",""MEANR"")")</f>
        <v>25</v>
      </c>
      <c r="G14" cm="1">
        <f t="array" ref="G14">_xll.FDS(A14,"SIZE(FG_CONSTITUENTS)")</f>
        <v>46</v>
      </c>
      <c r="H14" s="6">
        <f t="shared" si="9"/>
        <v>0.2608695652173913</v>
      </c>
      <c r="I14" s="6">
        <f t="shared" si="10"/>
        <v>0.54347826086956519</v>
      </c>
      <c r="J14" s="6">
        <f t="shared" si="11"/>
        <v>-0.28260869565217389</v>
      </c>
      <c r="K14" s="5" cm="1">
        <f t="array" ref="K14">_xll.FDS(A14,"FMA_PCT_ABOVE_MAVG(200,0,,,,""PORTAGG"")")/100</f>
        <v>0.70454545454545492</v>
      </c>
      <c r="L14" s="14" cm="1">
        <f t="array" ref="L14">_xll.FDSB(A14,"PERCENT_CHANGE(FMA_EPS(+1,0,,,,""PORTAGG"",""MEAN""),FMA_EPS(+1,-1AM,,,,""PORTAGG"",""MEAN""))")</f>
        <v>-4.7788926032197399</v>
      </c>
      <c r="M14" s="14" cm="1">
        <f t="array" ref="M14">_xll.FDSB(A14,"PERCENT_CHANGE(FMA_EPS(+1,0,,,,""PORTAGG"",""MEAN""),FMA_EPS(+1,-3AM,,,,""PORTAGG"",""MEAN""))")</f>
        <v>-2.0261744713398699</v>
      </c>
      <c r="O14" s="3" cm="1">
        <f t="array" ref="O14">_xll.FDS(C14,"FG_TOTAL_RETURNC(0,-3AM)")</f>
        <v>3.1193852</v>
      </c>
      <c r="P14" s="3" cm="1">
        <f t="array" ref="P14">_xll.FDS(C14,"FG_TOTAL_RETURNC(0,-6AM)")</f>
        <v>8.0983280000000004</v>
      </c>
      <c r="Q14" s="6" cm="1">
        <f t="array" ref="Q14">_xll.FDS(C14,"P_PRICE(0)/P_PRICE_HIGH_PR(0,,,USD,,,""PRICE"",""INTRA"",""52W"")")</f>
        <v>0.92989445000000004</v>
      </c>
      <c r="R14" s="6" cm="1">
        <f t="array" ref="R14">_xll.FDS(C14,"P_PRICE(0)/P_PRICE_low_PR(0,,,USD,,,""PRICE"",""INTRA"",""52W"")-1")</f>
        <v>0.29248822000000002</v>
      </c>
      <c r="T14" s="4" cm="1">
        <f t="array" ref="T14">_xlfn.PERCENTRANK.EXC(_xlfn._xlws.FILTER($R$3:$R$15, ISNUMBER($R$3:$R$15)),R14)*100</f>
        <v>71.399999999999991</v>
      </c>
      <c r="U14" s="4">
        <f t="shared" si="12"/>
        <v>28.600000000000009</v>
      </c>
      <c r="V14" s="4" cm="1">
        <f t="array" ref="V14">_xlfn.PERCENTRANK.EXC(_xlfn._xlws.FILTER($Q$3:$Q$15, ISNUMBER($Q$3:$Q$15)),Q14)*100</f>
        <v>35.699999999999996</v>
      </c>
      <c r="W14" s="4" cm="1">
        <f t="array" ref="W14">_xlfn.PERCENTRANK.EXC(_xlfn._xlws.FILTER($O$3:$O$15, ISNUMBER($O$3:$O$15)),O14)*100</f>
        <v>35.699999999999996</v>
      </c>
      <c r="X14" s="4" cm="1">
        <f t="array" ref="X14">_xlfn.PERCENTRANK.EXC(_xlfn._xlws.FILTER($P$3:$P$15, ISNUMBER($P$3:$P$15)),P14)*100</f>
        <v>57.099999999999994</v>
      </c>
      <c r="Z14" s="4" cm="1">
        <f t="array" ref="Z14">_xlfn.PERCENTRANK.EXC(_xlfn._xlws.FILTER($K$3:$K$15, ISNUMBER($K$3:$K$15)),K14)*100</f>
        <v>78.5</v>
      </c>
      <c r="AA14" s="4" cm="1">
        <f t="array" ref="AA14">_xlfn.PERCENTRANK.EXC(_xlfn._xlws.FILTER($H$3:$H$15, ISNUMBER($H$3:$H$15)),H14)*100</f>
        <v>14.2</v>
      </c>
      <c r="AB14" s="4" cm="1">
        <f t="array" ref="AB14">_xlfn.PERCENTRANK.EXC(_xlfn._xlws.FILTER($J$3:$J$15, ISNUMBER($J$3:$J$15)),J14)*100</f>
        <v>21.4</v>
      </c>
      <c r="AC14" s="4">
        <f t="shared" si="6"/>
        <v>7.1</v>
      </c>
      <c r="AD14" s="4">
        <f t="shared" si="7"/>
        <v>28.499999999999996</v>
      </c>
      <c r="AE14" s="4" t="e">
        <f t="shared" si="8"/>
        <v>#REF!</v>
      </c>
      <c r="AF14" s="4" t="e">
        <f t="shared" si="13"/>
        <v>#REF!</v>
      </c>
      <c r="AH14" s="3" t="e" cm="1" vm="1">
        <f t="array" ref="AH14">_xlfn.PERCENTRANK.EXC(_xlfn._xlws.FILTER($AF$3:$AF$15, ISNUMBER($AF$3:$AF$15)),AF14)*100</f>
        <v>#VALUE!</v>
      </c>
      <c r="AI14">
        <f t="shared" si="14"/>
        <v>1</v>
      </c>
    </row>
    <row r="15" spans="1:37" hidden="1" x14ac:dyDescent="0.35">
      <c r="A15" t="s">
        <v>57</v>
      </c>
      <c r="B15" t="str" cm="1">
        <f t="array" ref="B15">_xll.FDS(A15,"FG_COMPANY_NAME")</f>
        <v>iShares MSCI Italy ETF</v>
      </c>
      <c r="C15" t="s">
        <v>57</v>
      </c>
      <c r="D15" s="25" t="e">
        <f>VLOOKUP(C15,#REF!,5,FALSE)</f>
        <v>#REF!</v>
      </c>
      <c r="E15" cm="1">
        <f t="array" ref="E15">_xll.FDS(C15,"FMA_COS_UP(""EPS"",""1M"",+1,0,,,""PORTAGG"",""MEANR"")")</f>
        <v>10</v>
      </c>
      <c r="F15" cm="1">
        <f t="array" ref="F15">_xll.FDS(C15,"FMA_COS_DOWN(""EPS"",""1M"",+1,0,,,""PORTAGG"",""MEANR"")")</f>
        <v>11</v>
      </c>
      <c r="G15" cm="1">
        <f t="array" ref="G15">_xll.FDS(A15,"SIZE(FG_CONSTITUENTS)")</f>
        <v>26</v>
      </c>
      <c r="H15" s="6">
        <f t="shared" si="9"/>
        <v>0.38461538461538464</v>
      </c>
      <c r="I15" s="6">
        <f t="shared" si="10"/>
        <v>0.42307692307692307</v>
      </c>
      <c r="J15" s="6">
        <f t="shared" si="11"/>
        <v>-3.8461538461538436E-2</v>
      </c>
      <c r="K15" s="5" cm="1">
        <f t="array" ref="K15">_xll.FDS(A15,"FMA_PCT_ABOVE_MAVG(200,0,,,,""PORTAGG"")")/100</f>
        <v>0.56000000000000005</v>
      </c>
      <c r="L15" s="14" cm="1">
        <f t="array" ref="L15">_xll.FDSB(A15,"PERCENT_CHANGE(FMA_EPS(+1,0,,,,""PORTAGG"",""MEAN""),FMA_EPS(+1,-1AM,,,,""PORTAGG"",""MEAN""))")</f>
        <v>-0.48792868726270699</v>
      </c>
      <c r="M15" s="14" cm="1">
        <f t="array" ref="M15">_xll.FDSB(A15,"PERCENT_CHANGE(FMA_EPS(+1,0,,,,""PORTAGG"",""MEAN""),FMA_EPS(+1,-3AM,,,,""PORTAGG"",""MEAN""))")</f>
        <v>-2.7073172770246301</v>
      </c>
      <c r="O15" s="3" cm="1">
        <f t="array" ref="O15">_xll.FDS(C15,"FG_TOTAL_RETURNC(0,-3AM)")</f>
        <v>3.1919955999999998</v>
      </c>
      <c r="P15" s="3" cm="1">
        <f t="array" ref="P15">_xll.FDS(C15,"FG_TOTAL_RETURNC(0,-6AM)")</f>
        <v>14.849674</v>
      </c>
      <c r="Q15" s="6" cm="1">
        <f t="array" ref="Q15">_xll.FDS(C15,"P_PRICE(0)/P_PRICE_HIGH_PR(0,,,USD,,,""PRICE"",""INTRA"",""52W"")")</f>
        <v>0.95250195000000004</v>
      </c>
      <c r="R15" s="6" cm="1">
        <f t="array" ref="R15">_xll.FDS(C15,"P_PRICE(0)/P_PRICE_low_PR(0,,,USD,,,""PRICE"",""INTRA"",""52W"")-1")</f>
        <v>0.29243492999999998</v>
      </c>
      <c r="T15" s="4" cm="1">
        <f t="array" ref="T15">_xlfn.PERCENTRANK.EXC(_xlfn._xlws.FILTER($R$3:$R$15, ISNUMBER($R$3:$R$15)),R15)*100</f>
        <v>64.2</v>
      </c>
      <c r="U15" s="4">
        <f t="shared" si="12"/>
        <v>35.799999999999997</v>
      </c>
      <c r="V15" s="4" cm="1">
        <f t="array" ref="V15">_xlfn.PERCENTRANK.EXC(_xlfn._xlws.FILTER($Q$3:$Q$15, ISNUMBER($Q$3:$Q$15)),Q15)*100</f>
        <v>42.8</v>
      </c>
      <c r="W15" s="4" cm="1">
        <f t="array" ref="W15">_xlfn.PERCENTRANK.EXC(_xlfn._xlws.FILTER($O$3:$O$15, ISNUMBER($O$3:$O$15)),O15)*100</f>
        <v>42.8</v>
      </c>
      <c r="X15" s="4" cm="1">
        <f t="array" ref="X15">_xlfn.PERCENTRANK.EXC(_xlfn._xlws.FILTER($P$3:$P$15, ISNUMBER($P$3:$P$15)),P15)*100</f>
        <v>92.800000000000011</v>
      </c>
      <c r="Z15" s="4" cm="1">
        <f t="array" ref="Z15">_xlfn.PERCENTRANK.EXC(_xlfn._xlws.FILTER($K$3:$K$15, ISNUMBER($K$3:$K$15)),K15)*100</f>
        <v>14.2</v>
      </c>
      <c r="AA15" s="4" cm="1">
        <f t="array" ref="AA15">_xlfn.PERCENTRANK.EXC(_xlfn._xlws.FILTER($H$3:$H$15, ISNUMBER($H$3:$H$15)),H15)*100</f>
        <v>71.399999999999991</v>
      </c>
      <c r="AB15" s="4" cm="1">
        <f t="array" ref="AB15">_xlfn.PERCENTRANK.EXC(_xlfn._xlws.FILTER($J$3:$J$15, ISNUMBER($J$3:$J$15)),J15)*100</f>
        <v>71.399999999999991</v>
      </c>
      <c r="AC15" s="4">
        <f t="shared" si="6"/>
        <v>42.8</v>
      </c>
      <c r="AD15" s="4">
        <f t="shared" si="7"/>
        <v>14.2</v>
      </c>
      <c r="AE15" s="4" t="e">
        <f t="shared" si="8"/>
        <v>#REF!</v>
      </c>
      <c r="AF15" s="4" t="e">
        <f t="shared" si="13"/>
        <v>#REF!</v>
      </c>
      <c r="AH15" s="3" t="e" cm="1" vm="1">
        <f t="array" ref="AH15">_xlfn.PERCENTRANK.EXC(_xlfn._xlws.FILTER($AF$3:$AF$15, ISNUMBER($AF$3:$AF$15)),AF15)*100</f>
        <v>#VALUE!</v>
      </c>
      <c r="AI15">
        <f t="shared" si="14"/>
        <v>3</v>
      </c>
    </row>
    <row r="16" spans="1:37" x14ac:dyDescent="0.35">
      <c r="H16" s="6"/>
      <c r="I16" s="6"/>
      <c r="J16" s="6"/>
      <c r="K16" s="5"/>
      <c r="L16" s="14"/>
      <c r="M16" s="14"/>
      <c r="O16" s="3"/>
      <c r="Q16" s="6"/>
      <c r="R16" s="6"/>
      <c r="V16" s="4"/>
      <c r="W16" s="4"/>
      <c r="X16" s="4"/>
      <c r="Z16" s="4"/>
      <c r="AA16" s="4"/>
      <c r="AB16" s="4"/>
      <c r="AC16" s="4"/>
      <c r="AD16" s="4"/>
      <c r="AE16" s="4"/>
      <c r="AF16" s="4"/>
      <c r="AH16" s="4"/>
    </row>
    <row r="17" spans="1:35" x14ac:dyDescent="0.35">
      <c r="A17" s="1" t="s">
        <v>48</v>
      </c>
      <c r="H17" s="6"/>
      <c r="I17" s="6"/>
      <c r="J17" s="6"/>
      <c r="K17" s="5"/>
      <c r="L17" s="14"/>
      <c r="M17" s="14"/>
      <c r="O17" s="3"/>
      <c r="Q17" s="6"/>
      <c r="R17" s="6"/>
      <c r="V17" s="4"/>
      <c r="W17" s="4"/>
      <c r="X17" s="4"/>
      <c r="Z17" s="4"/>
      <c r="AA17" s="4"/>
      <c r="AB17" s="4"/>
      <c r="AC17" s="4"/>
      <c r="AD17" s="4"/>
      <c r="AE17" s="4"/>
      <c r="AF17" s="4"/>
      <c r="AH17" s="4"/>
    </row>
    <row r="18" spans="1:35" x14ac:dyDescent="0.35">
      <c r="A18" t="s">
        <v>42</v>
      </c>
      <c r="B18" t="s">
        <v>31</v>
      </c>
      <c r="C18" t="str">
        <f>A18</f>
        <v>VGK</v>
      </c>
      <c r="E18" cm="1">
        <f t="array" ref="E18">_xll.FDS(C18,"FMA_COS_UP(""EPS"",""1M"",+1,0,,,""PORTAGG"",""MEANR"")")</f>
        <v>464</v>
      </c>
      <c r="F18" cm="1">
        <f t="array" ref="F18">_xll.FDS(C18,"FMA_COS_DOWN(""EPS"",""1M"",+1,0,,,""PORTAGG"",""MEANR"")")</f>
        <v>488</v>
      </c>
      <c r="G18" cm="1">
        <f t="array" ref="G18">_xll.FDS(A18,"SIZE(FG_CONSTITUENTS)")</f>
        <v>1283</v>
      </c>
      <c r="H18" s="6">
        <f>E18/$G18</f>
        <v>0.36165237724084176</v>
      </c>
      <c r="I18" s="6">
        <f>F18/$G18</f>
        <v>0.38035853468433362</v>
      </c>
      <c r="J18" s="6">
        <f t="shared" ref="J18" si="15">H18-I18</f>
        <v>-1.8706157443491855E-2</v>
      </c>
      <c r="K18" s="5" cm="1">
        <f t="array" ref="K18">_xll.FDS(A18,"FMA_PCT_ABOVE_MAVG(200,0,,,,""PORTAGG"")")/100</f>
        <v>0.60111464968152906</v>
      </c>
      <c r="L18" s="14" cm="1">
        <f t="array" ref="L18">_xll.FDSB(A18,"PERCENT_CHANGE(FMA_EPS(+1,0,,,,""PORTAGG"",""MEAN""),FMA_EPS(+1,-1AM,,,,""PORTAGG"",""MEAN""))")</f>
        <v>-2.8688189546545799</v>
      </c>
      <c r="M18" s="14" cm="1">
        <f t="array" ref="M18">_xll.FDSB(A18,"PERCENT_CHANGE(FMA_EPS(+1,0,,,,""PORTAGG"",""MEAN""),FMA_EPS(+1,-3AM,,,,""PORTAGG"",""MEAN""))")</f>
        <v>0.28871996162305402</v>
      </c>
      <c r="O18" s="3" cm="1">
        <f t="array" ref="O18">_xll.FDS(C18,"FG_TOTAL_RETURNC(0,-3AM)")</f>
        <v>4.1843890000000004</v>
      </c>
      <c r="P18" s="3" cm="1">
        <f t="array" ref="P18">_xll.FDS(C18,"FG_TOTAL_RETURNC(0,-6AM)")</f>
        <v>8.7942599999999995</v>
      </c>
      <c r="Q18" s="6" cm="1">
        <f t="array" ref="Q18">_xll.FDS(C18,"P_PRICE(0)/P_PRICE_HIGH_PR(0,,,USD,,,""PRICE"",""INTRA"",""52W"")")</f>
        <v>0.96384860000000006</v>
      </c>
      <c r="R18" s="6" cm="1">
        <f t="array" ref="R18">_xll.FDS(C18,"P_PRICE(0)/P_PRICE_low_PR(0,,,USD,,,""PRICE"",""INTRA"",""52W"")-1")</f>
        <v>0.23719585000000001</v>
      </c>
      <c r="W18" s="4"/>
      <c r="X18" s="4"/>
      <c r="Y18" s="4"/>
      <c r="AA18" s="4"/>
      <c r="AB18" s="4"/>
      <c r="AC18" s="4"/>
      <c r="AD18" s="4"/>
      <c r="AE18" s="4"/>
      <c r="AF18" s="4"/>
      <c r="AG18" s="4"/>
      <c r="AI18" s="4"/>
    </row>
    <row r="19" spans="1:35" x14ac:dyDescent="0.35">
      <c r="A19" t="s">
        <v>4</v>
      </c>
      <c r="B19" t="s">
        <v>47</v>
      </c>
      <c r="C19" t="str">
        <f>A19</f>
        <v>VWO</v>
      </c>
      <c r="E19" cm="1">
        <f t="array" ref="E19">_xll.FDS(C19,"FMA_COS_UP(""EPS"",""1M"",+1,0,,,""PORTAGG"",""MEANR"")")</f>
        <v>820</v>
      </c>
      <c r="F19" cm="1">
        <f t="array" ref="F19">_xll.FDS(C19,"FMA_COS_DOWN(""EPS"",""1M"",+1,0,,,""PORTAGG"",""MEANR"")")</f>
        <v>971</v>
      </c>
      <c r="G19" cm="1">
        <f t="array" ref="G19">_xll.FDS(A19,"SIZE(FG_CONSTITUENTS(20240229))")</f>
        <v>4699</v>
      </c>
      <c r="H19" s="6">
        <f>E19/$G19</f>
        <v>0.17450521387529261</v>
      </c>
      <c r="I19" s="6">
        <f>F19/$G19</f>
        <v>0.20663971057671845</v>
      </c>
      <c r="J19" s="6">
        <f t="shared" ref="J19" si="16">H19-I19</f>
        <v>-3.2134496701425846E-2</v>
      </c>
      <c r="K19" s="5" cm="1">
        <f t="array" ref="K19">_xll.FDS(A19,"FMA_PCT_ABOVE_MAVG(200,0,,,,""PORTAGG"")")/100</f>
        <v>0.402586206896552</v>
      </c>
      <c r="L19" s="14" cm="1">
        <f t="array" ref="L19">_xll.FDSB(A19,"PERCENT_CHANGE(FMA_EPS(+1,0,,,,""PORTAGG"",""MEAN""),FMA_EPS(+1,-1AM,,,,""PORTAGG"",""MEAN""))")</f>
        <v>170.81896501542801</v>
      </c>
      <c r="M19" s="14" cm="1">
        <f t="array" ref="M19">_xll.FDSB(A19,"PERCENT_CHANGE(FMA_EPS(+1,0,,,,""PORTAGG"",""MEAN""),FMA_EPS(+1,-3AM,,,,""PORTAGG"",""MEAN""))")</f>
        <v>-8.3227308731274494</v>
      </c>
      <c r="O19" s="3" cm="1">
        <f t="array" ref="O19">_xll.FDS(C19,"FG_TOTAL_RETURNC(0,-3AM)")</f>
        <v>3.7086606</v>
      </c>
      <c r="P19" s="3" cm="1">
        <f t="array" ref="P19">_xll.FDS(C19,"FG_TOTAL_RETURNC(0,-6AM)")</f>
        <v>9.3877550000000003</v>
      </c>
      <c r="Q19" s="6" cm="1">
        <f t="array" ref="Q19">_xll.FDS(C19,"P_PRICE(0)/P_PRICE_HIGH_PR(0,,,USD,,,""PRICE"",""INTRA"",""52W"")")</f>
        <v>0.95615095000000005</v>
      </c>
      <c r="R19" s="6" cm="1">
        <f t="array" ref="R19">_xll.FDS(C19,"P_PRICE(0)/P_PRICE_low_PR(0,,,USD,,,""PRICE"",""INTRA"",""52W"")-1")</f>
        <v>0.16726732</v>
      </c>
    </row>
    <row r="20" spans="1:35" x14ac:dyDescent="0.35">
      <c r="A20" t="s">
        <v>49</v>
      </c>
      <c r="B20" t="s">
        <v>50</v>
      </c>
      <c r="C20" t="str">
        <f t="shared" ref="C20" si="17">A20</f>
        <v>URTH</v>
      </c>
      <c r="E20" cm="1">
        <f t="array" ref="E20">_xll.FDS(C20,"FMA_COS_UP(""EPS"",""1M"",+1,0,,,""PORTAGG"",""MEANR"")")</f>
        <v>543</v>
      </c>
      <c r="F20" cm="1">
        <f t="array" ref="F20">_xll.FDS(C20,"FMA_COS_DOWN(""EPS"",""1M"",+1,0,,,""PORTAGG"",""MEANR"")")</f>
        <v>623</v>
      </c>
      <c r="G20" cm="1">
        <f t="array" ref="G20">_xll.FDS(A20,"SIZE(FG_CONSTITUENTS)")</f>
        <v>1430</v>
      </c>
      <c r="H20" s="6">
        <f t="shared" ref="H20" si="18">E20/$G20</f>
        <v>0.37972027972027972</v>
      </c>
      <c r="I20" s="6">
        <f t="shared" ref="I20" si="19">F20/$G20</f>
        <v>0.43566433566433566</v>
      </c>
      <c r="J20" s="6">
        <f t="shared" ref="J20" si="20">H20-I20</f>
        <v>-5.5944055944055937E-2</v>
      </c>
      <c r="K20" s="5" cm="1">
        <f t="array" ref="K20">_xll.FDS(A20,"FMA_PCT_ABOVE_MAVG(200,0,,,,""PORTAGG"")")/100</f>
        <v>0.65077138849929894</v>
      </c>
      <c r="L20" s="14" cm="1">
        <f t="array" ref="L20">_xll.FDSB(A20,"PERCENT_CHANGE(FMA_EPS(+1,0,,,,""PORTAGG"",""MEAN""),FMA_EPS(+1,-1AM,,,,""PORTAGG"",""MEAN""))")</f>
        <v>2.6663655338465701E-2</v>
      </c>
      <c r="M20" s="14" cm="1">
        <f t="array" ref="M20">_xll.FDSB(A20,"PERCENT_CHANGE(FMA_EPS(+1,0,,,,""PORTAGG"",""MEAN""),FMA_EPS(+1,-3AM,,,,""PORTAGG"",""MEAN""))")</f>
        <v>-0.49376654191326003</v>
      </c>
      <c r="O20" s="3" cm="1">
        <f t="array" ref="O20">_xll.FDS(C20,"FG_TOTAL_RETURNC(0,-3AM)")</f>
        <v>6.0631513999999997</v>
      </c>
      <c r="P20" s="3" cm="1">
        <f t="array" ref="P20">_xll.FDS(C20,"FG_TOTAL_RETURNC(0,-6AM)")</f>
        <v>10.562611</v>
      </c>
      <c r="Q20" s="6" cm="1">
        <f t="array" ref="Q20">_xll.FDS(C20,"P_PRICE(0)/P_PRICE_HIGH_PR(0,,,USD,,,""PRICE"",""INTRA"",""52W"")")</f>
        <v>0.96551955</v>
      </c>
      <c r="R20" s="6" cm="1">
        <f t="array" ref="R20">_xll.FDS(C20,"P_PRICE(0)/P_PRICE_low_PR(0,,,USD,,,""PRICE"",""INTRA"",""52W"")-1")</f>
        <v>0.2914561</v>
      </c>
    </row>
    <row r="21" spans="1:35" x14ac:dyDescent="0.35">
      <c r="A21" t="s">
        <v>12</v>
      </c>
      <c r="B21" t="s">
        <v>45</v>
      </c>
      <c r="C21" t="str">
        <f t="shared" ref="C21:C22" si="21">A21</f>
        <v>EWJ</v>
      </c>
      <c r="E21" cm="1">
        <f t="array" ref="E21">_xll.FDS(C21,"FMA_COS_UP(""EPS"",""1M"",+1,0,,,""PORTAGG"",""MEANR"")")</f>
        <v>104</v>
      </c>
      <c r="F21" cm="1">
        <f t="array" ref="F21">_xll.FDS(C21,"FMA_COS_DOWN(""EPS"",""1M"",+1,0,,,""PORTAGG"",""MEANR"")")</f>
        <v>57</v>
      </c>
      <c r="G21" cm="1">
        <f t="array" ref="G21">_xll.FDS(A21,"SIZE(FG_CONSTITUENTS)")</f>
        <v>205</v>
      </c>
      <c r="H21" s="6">
        <f t="shared" ref="H21:H22" si="22">E21/$G21</f>
        <v>0.50731707317073171</v>
      </c>
      <c r="I21" s="6">
        <f t="shared" ref="I21:I22" si="23">F21/$G21</f>
        <v>0.2780487804878049</v>
      </c>
      <c r="J21" s="6">
        <f t="shared" ref="J21:J22" si="24">H21-I21</f>
        <v>0.22926829268292681</v>
      </c>
      <c r="K21" s="5" cm="1">
        <f t="array" ref="K21">_xll.FDS(A21,"FMA_PCT_ABOVE_MAVG(200,0,,,,""PORTAGG"")")/100</f>
        <v>0.62254901960784303</v>
      </c>
      <c r="L21" s="14" cm="1">
        <f t="array" ref="L21">_xll.FDSB(A21,"PERCENT_CHANGE(FMA_EPS(+1,0,,,,""PORTAGG"",""MEAN""),FMA_EPS(+1,-1AM,,,,""PORTAGG"",""MEAN""))")</f>
        <v>3.4310717064142602</v>
      </c>
      <c r="M21" s="14" cm="1">
        <f t="array" ref="M21">_xll.FDSB(A21,"PERCENT_CHANGE(FMA_EPS(+1,0,,,,""PORTAGG"",""MEAN""),FMA_EPS(+1,-3AM,,,,""PORTAGG"",""MEAN""))")</f>
        <v>-0.38029078944331801</v>
      </c>
      <c r="O21" s="3" cm="1">
        <f t="array" ref="O21">_xll.FDS(C21,"FG_TOTAL_RETURNC(0,-3AM)")</f>
        <v>3.0885696</v>
      </c>
      <c r="P21" s="3" cm="1">
        <f t="array" ref="P21">_xll.FDS(C21,"FG_TOTAL_RETURNC(0,-6AM)")</f>
        <v>5.8317183999999997</v>
      </c>
      <c r="Q21" s="6" cm="1">
        <f t="array" ref="Q21">_xll.FDS(C21,"P_PRICE(0)/P_PRICE_HIGH_PR(0,,,USD,,,""PRICE"",""INTRA"",""52W"")")</f>
        <v>0.95316725999999996</v>
      </c>
      <c r="R21" s="6" cm="1">
        <f t="array" ref="R21">_xll.FDS(C21,"P_PRICE(0)/P_PRICE_low_PR(0,,,USD,,,""PRICE"",""INTRA"",""52W"")-1")</f>
        <v>0.20087421</v>
      </c>
    </row>
    <row r="22" spans="1:35" x14ac:dyDescent="0.35">
      <c r="A22" t="s">
        <v>1</v>
      </c>
      <c r="B22" t="s">
        <v>28</v>
      </c>
      <c r="C22" t="str">
        <f t="shared" si="21"/>
        <v>SPY</v>
      </c>
      <c r="E22" cm="1">
        <f t="array" ref="E22">_xll.FDS(C22,"FMA_COS_UP(""EPS"",""1M"",+1,0,,,""PORTAGG"",""MEANR"")")</f>
        <v>184</v>
      </c>
      <c r="F22" cm="1">
        <f t="array" ref="F22">_xll.FDS(C22,"FMA_COS_DOWN(""EPS"",""1M"",+1,0,,,""PORTAGG"",""MEANR"")")</f>
        <v>223</v>
      </c>
      <c r="G22" cm="1">
        <f t="array" ref="G22">_xll.FDS(A22,"SIZE(FG_CONSTITUENTS)")</f>
        <v>503</v>
      </c>
      <c r="H22" s="6">
        <f t="shared" si="22"/>
        <v>0.36580516898608351</v>
      </c>
      <c r="I22" s="6">
        <f t="shared" si="23"/>
        <v>0.44333996023856859</v>
      </c>
      <c r="J22" s="6">
        <f t="shared" si="24"/>
        <v>-7.753479125248508E-2</v>
      </c>
      <c r="K22" s="5" cm="1">
        <f t="array" ref="K22">_xll.FDS(A22,"FMA_PCT_ABOVE_MAVG(200,0,,,,""PORTAGG"")")/100</f>
        <v>0.69461077844311403</v>
      </c>
      <c r="L22" s="14" cm="1">
        <f t="array" ref="L22">_xll.FDSB(A22,"PERCENT_CHANGE(FMA_EPS(+1,0,,,,""PORTAGG"",""MEAN""),FMA_EPS(+1,-1AM,,,,""PORTAGG"",""MEAN""))")</f>
        <v>-0.12839510604629101</v>
      </c>
      <c r="M22" s="14" cm="1">
        <f t="array" ref="M22">_xll.FDSB(A22,"PERCENT_CHANGE(FMA_EPS(+1,0,,,,""PORTAGG"",""MEAN""),FMA_EPS(+1,-3AM,,,,""PORTAGG"",""MEAN""))")</f>
        <v>-0.17176498470088999</v>
      </c>
      <c r="O22" s="3" cm="1">
        <f t="array" ref="O22">_xll.FDS(C22,"FG_TOTAL_RETURNC(0,-3AM)")</f>
        <v>7.4644446000000002</v>
      </c>
      <c r="P22" s="3" cm="1">
        <f t="array" ref="P22">_xll.FDS(C22,"FG_TOTAL_RETURNC(0,-6AM)")</f>
        <v>12.412034999999999</v>
      </c>
      <c r="Q22" s="6" cm="1">
        <f t="array" ref="Q22">_xll.FDS(C22,"P_PRICE(0)/P_PRICE_HIGH_PR(0,,,USD,,,""PRICE"",""INTRA"",""52W"")")</f>
        <v>0.96333784</v>
      </c>
      <c r="R22" s="6" cm="1">
        <f t="array" ref="R22">_xll.FDS(C22,"P_PRICE(0)/P_PRICE_low_PR(0,,,USD,,,""PRICE"",""INTRA"",""52W"")-1")</f>
        <v>0.33046603000000002</v>
      </c>
    </row>
    <row r="23" spans="1:35" x14ac:dyDescent="0.35">
      <c r="A23" t="s">
        <v>9</v>
      </c>
      <c r="B23" t="s">
        <v>87</v>
      </c>
      <c r="C23" t="str">
        <f t="shared" ref="C23:C27" si="25">A23</f>
        <v>INDA</v>
      </c>
      <c r="E23" cm="1">
        <f t="array" ref="E23">_xll.FDS(C23,"FMA_COS_UP(""EPS"",""1M"",+1,0,,,""PORTAGG"",""MEANR"")")</f>
        <v>58</v>
      </c>
      <c r="F23" cm="1">
        <f t="array" ref="F23">_xll.FDS(C23,"FMA_COS_DOWN(""EPS"",""1M"",+1,0,,,""PORTAGG"",""MEANR"")")</f>
        <v>60</v>
      </c>
      <c r="G23" cm="1">
        <f t="array" ref="G23">_xll.FDS(A23,"SIZE(FG_CONSTITUENTS)")</f>
        <v>147</v>
      </c>
      <c r="H23" s="6">
        <f t="shared" ref="H23" si="26">E23/$G23</f>
        <v>0.39455782312925169</v>
      </c>
      <c r="I23" s="6">
        <f t="shared" ref="I23" si="27">F23/$G23</f>
        <v>0.40816326530612246</v>
      </c>
      <c r="J23" s="6">
        <f t="shared" ref="J23" si="28">H23-I23</f>
        <v>-1.3605442176870763E-2</v>
      </c>
      <c r="K23" s="5" cm="1">
        <f t="array" ref="K23">_xll.FDS(A23,"FMA_PCT_ABOVE_MAVG(200,0,,,,""PORTAGG"")")/100</f>
        <v>0.90476190476190499</v>
      </c>
      <c r="L23" s="14" cm="1">
        <f t="array" ref="L23">_xll.FDSB(A23,"PERCENT_CHANGE(FMA_EPS(+1,0,,,,""PORTAGG"",""MEAN""),FMA_EPS(+1,-1AM,,,,""PORTAGG"",""MEAN""))")</f>
        <v>-2.14070552983498</v>
      </c>
      <c r="M23" s="14" cm="1">
        <f t="array" ref="M23">_xll.FDSB(A23,"PERCENT_CHANGE(FMA_EPS(+1,0,,,,""PORTAGG"",""MEAN""),FMA_EPS(+1,-3AM,,,,""PORTAGG"",""MEAN""))")</f>
        <v>-3.3311529283249901</v>
      </c>
      <c r="O23" s="3" cm="1">
        <f t="array" ref="O23">_xll.FDS(C23,"FG_TOTAL_RETURNC(0,-3AM)")</f>
        <v>8.6009139999999995</v>
      </c>
      <c r="P23" s="3" cm="1">
        <f t="array" ref="P23">_xll.FDS(C23,"FG_TOTAL_RETURNC(0,-6AM)")</f>
        <v>15.511286</v>
      </c>
      <c r="Q23" s="6" cm="1">
        <f t="array" ref="Q23">_xll.FDS(C23,"P_PRICE(0)/P_PRICE_HIGH_PR(0,,,USD,,,""PRICE"",""INTRA"",""52W"")")</f>
        <v>0.98955070000000001</v>
      </c>
      <c r="R23" s="6" cm="1">
        <f t="array" ref="R23">_xll.FDS(C23,"P_PRICE(0)/P_PRICE_low_PR(0,,,USD,,,""PRICE"",""INTRA"",""52W"")-1")</f>
        <v>0.33161473000000002</v>
      </c>
    </row>
    <row r="24" spans="1:35" x14ac:dyDescent="0.35">
      <c r="A24" t="s">
        <v>70</v>
      </c>
      <c r="C24" t="str">
        <f t="shared" si="25"/>
        <v>EMXC</v>
      </c>
      <c r="E24" cm="1">
        <f t="array" ref="E24">_xll.FDS(C24,"FMA_COS_UP(""EPS"",""1M"",+1,0,,,""PORTAGG"",""MEANR"")")</f>
        <v>264</v>
      </c>
      <c r="F24" cm="1">
        <f t="array" ref="F24">_xll.FDS(C24,"FMA_COS_DOWN(""EPS"",""1M"",+1,0,,,""PORTAGG"",""MEANR"")")</f>
        <v>247</v>
      </c>
      <c r="G24" cm="1">
        <f t="array" ref="G24">_xll.FDS(A24,"SIZE(FG_CONSTITUENTS)")</f>
        <v>688</v>
      </c>
      <c r="H24" s="6">
        <f t="shared" ref="H24" si="29">E24/$G24</f>
        <v>0.38372093023255816</v>
      </c>
      <c r="I24" s="6">
        <f t="shared" ref="I24" si="30">F24/$G24</f>
        <v>0.35901162790697677</v>
      </c>
      <c r="J24" s="6">
        <f t="shared" ref="J24" si="31">H24-I24</f>
        <v>2.4709302325581384E-2</v>
      </c>
      <c r="K24" s="5" cm="1">
        <f t="array" ref="K24">_xll.FDS(A24,"FMA_PCT_ABOVE_MAVG(200,0,,,,""PORTAGG"")")/100</f>
        <v>0.63392857142857106</v>
      </c>
      <c r="L24" s="14" cm="1">
        <f t="array" ref="L24">_xll.FDSB(A24,"PERCENT_CHANGE(FMA_EPS(+1,0,,,,""PORTAGG"",""MEAN""),FMA_EPS(+1,-1AM,,,,""PORTAGG"",""MEAN""))")</f>
        <v>7.6304368438613803</v>
      </c>
      <c r="M24" s="14" cm="1">
        <f t="array" ref="M24">_xll.FDSB(A24,"PERCENT_CHANGE(FMA_EPS(+1,0,,,,""PORTAGG"",""MEAN""),FMA_EPS(+1,-3AM,,,,""PORTAGG"",""MEAN""))")</f>
        <v>-1.03293557643491</v>
      </c>
      <c r="O24" s="3" cm="1">
        <f t="array" ref="O24">_xll.FDS(C24,"FG_TOTAL_RETURNC(0,-3AM)")</f>
        <v>5.7664036999999997</v>
      </c>
      <c r="P24" s="3" cm="1">
        <f t="array" ref="P24">_xll.FDS(C24,"FG_TOTAL_RETURNC(0,-6AM)")</f>
        <v>10.131931</v>
      </c>
      <c r="Q24" s="6" cm="1">
        <f t="array" ref="Q24">_xll.FDS(C24,"P_PRICE(0)/P_PRICE_HIGH_PR(0,,,USD,,,""PRICE"",""INTRA"",""52W"")")</f>
        <v>0.95303950000000004</v>
      </c>
      <c r="R24" s="6" cm="1">
        <f t="array" ref="R24">_xll.FDS(C24,"P_PRICE(0)/P_PRICE_low_PR(0,,,USD,,,""PRICE"",""INTRA"",""52W"")-1")</f>
        <v>0.24065733</v>
      </c>
    </row>
    <row r="25" spans="1:35" x14ac:dyDescent="0.35">
      <c r="A25" t="s">
        <v>15</v>
      </c>
      <c r="C25" t="str">
        <f t="shared" si="25"/>
        <v>QQQ</v>
      </c>
      <c r="E25" cm="1">
        <f t="array" ref="E25">_xll.FDS(C25,"FMA_COS_UP(""EPS"",""1M"",+1,0,,,""PORTAGG"",""MEANR"")")</f>
        <v>39</v>
      </c>
      <c r="F25" cm="1">
        <f t="array" ref="F25">_xll.FDS(C25,"FMA_COS_DOWN(""EPS"",""1M"",+1,0,,,""PORTAGG"",""MEANR"")")</f>
        <v>37</v>
      </c>
      <c r="G25" cm="1">
        <f t="array" ref="G25">_xll.FDS(A25,"SIZE(FG_CONSTITUENTS)")</f>
        <v>102</v>
      </c>
      <c r="H25" s="6">
        <f t="shared" ref="H25:H27" si="32">E25/$G25</f>
        <v>0.38235294117647056</v>
      </c>
      <c r="I25" s="6">
        <f t="shared" ref="I25:I27" si="33">F25/$G25</f>
        <v>0.36274509803921567</v>
      </c>
      <c r="J25" s="6">
        <f t="shared" ref="J25:J27" si="34">H25-I25</f>
        <v>1.9607843137254888E-2</v>
      </c>
      <c r="K25" s="5" cm="1">
        <f t="array" ref="K25">_xll.FDS(A25,"FMA_PCT_ABOVE_MAVG(200,0,,,,""PORTAGG"")")/100</f>
        <v>0.63725490196078394</v>
      </c>
      <c r="L25" s="14" cm="1">
        <f t="array" ref="L25">_xll.FDSB(A25,"PERCENT_CHANGE(FMA_EPS(+1,0,,,,""PORTAGG"",""MEAN""),FMA_EPS(+1,-1AM,,,,""PORTAGG"",""MEAN""))")</f>
        <v>-0.140557886396838</v>
      </c>
      <c r="M25" s="14" cm="1">
        <f t="array" ref="M25">_xll.FDSB(A25,"PERCENT_CHANGE(FMA_EPS(+1,0,,,,""PORTAGG"",""MEAN""),FMA_EPS(+1,-3AM,,,,""PORTAGG"",""MEAN""))")</f>
        <v>0.36400264640908098</v>
      </c>
      <c r="O25" s="3" cm="1">
        <f t="array" ref="O25">_xll.FDS(C25,"FG_TOTAL_RETURNC(0,-3AM)")</f>
        <v>7.5902224</v>
      </c>
      <c r="P25" s="3" cm="1">
        <f t="array" ref="P25">_xll.FDS(C25,"FG_TOTAL_RETURNC(0,-6AM)")</f>
        <v>9.5589279999999999</v>
      </c>
      <c r="Q25" s="6" cm="1">
        <f t="array" ref="Q25">_xll.FDS(C25,"P_PRICE(0)/P_PRICE_HIGH_PR(0,,,USD,,,""PRICE"",""INTRA"",""52W"")")</f>
        <v>0.91946700000000003</v>
      </c>
      <c r="R25" s="6" cm="1">
        <f t="array" ref="R25">_xll.FDS(C25,"P_PRICE(0)/P_PRICE_low_PR(0,,,USD,,,""PRICE"",""INTRA"",""52W"")-1")</f>
        <v>0.35232950000000002</v>
      </c>
    </row>
    <row r="26" spans="1:35" ht="15" customHeight="1" x14ac:dyDescent="0.35">
      <c r="A26" t="s">
        <v>78</v>
      </c>
      <c r="C26" t="str">
        <f t="shared" si="25"/>
        <v>IWM</v>
      </c>
      <c r="E26" cm="1">
        <f t="array" ref="E26">_xll.FDS(C26,"FMA_COS_UP(""EPS"",""1M"",+1,0,,,""PORTAGG"",""MEANR"")")</f>
        <v>416</v>
      </c>
      <c r="F26" cm="1">
        <f t="array" ref="F26">_xll.FDS(C26,"FMA_COS_DOWN(""EPS"",""1M"",+1,0,,,""PORTAGG"",""MEANR"")")</f>
        <v>467</v>
      </c>
      <c r="G26" cm="1">
        <f t="array" ref="G26">_xll.FDS(A26,"SIZE(FG_CONSTITUENTS)")</f>
        <v>1973</v>
      </c>
      <c r="H26" s="6">
        <f t="shared" si="32"/>
        <v>0.21084642676127724</v>
      </c>
      <c r="I26" s="6">
        <f t="shared" si="33"/>
        <v>0.23669538773441459</v>
      </c>
      <c r="J26" s="6">
        <f t="shared" si="34"/>
        <v>-2.5848960973137353E-2</v>
      </c>
      <c r="K26" s="5" cm="1">
        <f t="array" ref="K26">_xll.FDS(A26,"FMA_PCT_ABOVE_MAVG(200,0,,,,""PORTAGG"")")/100</f>
        <v>0.71457905544147804</v>
      </c>
      <c r="L26" s="14" cm="1">
        <f t="array" ref="L26">_xll.FDSB(A26,"PERCENT_CHANGE(FMA_EPS(+1,0,,,,""PORTAGG"",""MEAN""),FMA_EPS(+1,-1AM,,,,""PORTAGG"",""MEAN""))")</f>
        <v>-8.6353105697390298</v>
      </c>
      <c r="M26" s="14" cm="1">
        <f t="array" ref="M26">_xll.FDSB(A26,"PERCENT_CHANGE(FMA_EPS(+1,0,,,,""PORTAGG"",""MEAN""),FMA_EPS(+1,-3AM,,,,""PORTAGG"",""MEAN""))")</f>
        <v>-8.9981117899854297</v>
      </c>
      <c r="O26" s="3" cm="1">
        <f t="array" ref="O26">_xll.FDS(C26,"FG_TOTAL_RETURNC(0,-3AM)")</f>
        <v>13.353634</v>
      </c>
      <c r="P26" s="3" cm="1">
        <f t="array" ref="P26">_xll.FDS(C26,"FG_TOTAL_RETURNC(0,-6AM)")</f>
        <v>15.018295999999999</v>
      </c>
      <c r="Q26" s="6" cm="1">
        <f t="array" ref="Q26">_xll.FDS(C26,"P_PRICE(0)/P_PRICE_HIGH_PR(0,,,USD,,,""PRICE"",""INTRA"",""52W"")")</f>
        <v>0.98932229999999999</v>
      </c>
      <c r="R26" s="6" cm="1">
        <f t="array" ref="R26">_xll.FDS(C26,"P_PRICE(0)/P_PRICE_low_PR(0,,,USD,,,""PRICE"",""INTRA"",""52W"")-1")</f>
        <v>0.38689922999999998</v>
      </c>
    </row>
    <row r="27" spans="1:35" ht="15" customHeight="1" x14ac:dyDescent="0.35">
      <c r="A27" t="s">
        <v>64</v>
      </c>
      <c r="B27" t="s">
        <v>44</v>
      </c>
      <c r="C27" t="str">
        <f t="shared" si="25"/>
        <v>FXI</v>
      </c>
      <c r="E27" cm="1">
        <f t="array" ref="E27">_xll.FDS(C27,"FMA_COS_UP(""EPS"",""1M"",+1,0,,,""PORTAGG"",""MEANR"")")</f>
        <v>26</v>
      </c>
      <c r="F27" cm="1">
        <f t="array" ref="F27">_xll.FDS(C27,"FMA_COS_DOWN(""EPS"",""1M"",+1,0,,,""PORTAGG"",""MEANR"")")</f>
        <v>22</v>
      </c>
      <c r="G27" cm="1">
        <f t="array" ref="G27">_xll.FDS(A27,"SIZE(FG_CONSTITUENTS)")</f>
        <v>52</v>
      </c>
      <c r="H27" s="6">
        <f t="shared" si="32"/>
        <v>0.5</v>
      </c>
      <c r="I27" s="6">
        <f t="shared" si="33"/>
        <v>0.42307692307692307</v>
      </c>
      <c r="J27" s="6">
        <f t="shared" si="34"/>
        <v>7.6923076923076927E-2</v>
      </c>
      <c r="K27" s="5" cm="1">
        <f t="array" ref="K27">_xll.FDS(A27,"FMA_PCT_ABOVE_MAVG(200,0,,,,""PORTAGG"")")/100</f>
        <v>0.56862745098039202</v>
      </c>
      <c r="L27" s="14" cm="1">
        <f t="array" ref="L27">_xll.FDSB(A27,"PERCENT_CHANGE(FMA_EPS(+1,0,,,,""PORTAGG"",""MEAN""),FMA_EPS(+1,-1AM,,,,""PORTAGG"",""MEAN""))")</f>
        <v>1.6728513308061701</v>
      </c>
      <c r="M27" s="14" cm="1">
        <f t="array" ref="M27">_xll.FDSB(A27,"PERCENT_CHANGE(FMA_EPS(+1,0,,,,""PORTAGG"",""MEAN""),FMA_EPS(+1,-3AM,,,,""PORTAGG"",""MEAN""))")</f>
        <v>3.7478707736479202</v>
      </c>
      <c r="O27" s="3" cm="1">
        <f t="array" ref="O27">_xll.FDS(C27,"FG_TOTAL_RETURNC(0,-3AM)")</f>
        <v>-1.0368824000000001</v>
      </c>
      <c r="P27" s="3" cm="1">
        <f t="array" ref="P27">_xll.FDS(C27,"FG_TOTAL_RETURNC(0,-6AM)")</f>
        <v>13.282107999999999</v>
      </c>
      <c r="Q27" s="6" cm="1">
        <f t="array" ref="Q27">_xll.FDS(C27,"P_PRICE(0)/P_PRICE_HIGH_PR(0,,,USD,,,""PRICE"",""INTRA"",""52W"")")</f>
        <v>0.83562539999999996</v>
      </c>
      <c r="R27" s="6" cm="1">
        <f t="array" ref="R27">_xll.FDS(C27,"P_PRICE(0)/P_PRICE_low_PR(0,,,USD,,,""PRICE"",""INTRA"",""52W"")-1")</f>
        <v>0.22339403999999999</v>
      </c>
    </row>
    <row r="28" spans="1:35" ht="15" customHeight="1" x14ac:dyDescent="0.35">
      <c r="E28" s="15"/>
      <c r="F28" s="15"/>
      <c r="Q28" s="6"/>
      <c r="R28" s="6"/>
    </row>
    <row r="29" spans="1:35" ht="15" customHeight="1" x14ac:dyDescent="0.35">
      <c r="C29" s="1"/>
      <c r="D29" s="1"/>
      <c r="E29" s="15"/>
      <c r="F29" s="15"/>
      <c r="Q29" s="6"/>
      <c r="R29" s="6"/>
    </row>
    <row r="30" spans="1:35" ht="15" customHeight="1" x14ac:dyDescent="0.35">
      <c r="E30" s="15"/>
      <c r="F30" s="15"/>
      <c r="Q30" s="6"/>
      <c r="R30" s="6"/>
    </row>
    <row r="31" spans="1:35" ht="15" customHeight="1" x14ac:dyDescent="0.35">
      <c r="E31" s="15"/>
      <c r="F31" s="15"/>
      <c r="Q31" s="6"/>
      <c r="R31" s="6"/>
    </row>
    <row r="32" spans="1:35" ht="15" customHeight="1" x14ac:dyDescent="0.35">
      <c r="E32" s="15"/>
      <c r="F32" s="15"/>
      <c r="Q32" s="6"/>
      <c r="R32" s="6"/>
    </row>
    <row r="33" spans="3:18" ht="15" customHeight="1" x14ac:dyDescent="0.35">
      <c r="E33" s="15"/>
      <c r="F33" s="15"/>
      <c r="P33" s="1"/>
      <c r="Q33" s="6"/>
      <c r="R33" s="6"/>
    </row>
    <row r="34" spans="3:18" ht="15" customHeight="1" x14ac:dyDescent="0.35">
      <c r="E34" s="15"/>
      <c r="F34" s="15"/>
      <c r="Q34" s="6"/>
      <c r="R34" s="6"/>
    </row>
    <row r="35" spans="3:18" ht="15" customHeight="1" x14ac:dyDescent="0.35">
      <c r="E35" s="15"/>
      <c r="F35" s="15"/>
      <c r="Q35" s="6"/>
      <c r="R35" s="6"/>
    </row>
    <row r="36" spans="3:18" ht="15" customHeight="1" x14ac:dyDescent="0.35">
      <c r="C36" s="1"/>
      <c r="D36" s="1"/>
      <c r="E36" s="15"/>
      <c r="F36" s="15"/>
      <c r="Q36" s="6"/>
      <c r="R36" s="6"/>
    </row>
    <row r="37" spans="3:18" ht="15" customHeight="1" x14ac:dyDescent="0.35">
      <c r="E37" s="15"/>
      <c r="F37" s="15"/>
      <c r="Q37" s="6"/>
      <c r="R37" s="6"/>
    </row>
    <row r="38" spans="3:18" ht="15" customHeight="1" x14ac:dyDescent="0.35">
      <c r="E38" s="15"/>
      <c r="F38" s="15"/>
      <c r="Q38" s="6"/>
      <c r="R38" s="6"/>
    </row>
    <row r="39" spans="3:18" ht="15" customHeight="1" x14ac:dyDescent="0.35">
      <c r="E39" s="15"/>
      <c r="F39" s="15"/>
      <c r="Q39" s="6"/>
      <c r="R39" s="6"/>
    </row>
    <row r="40" spans="3:18" ht="15" customHeight="1" x14ac:dyDescent="0.35">
      <c r="E40" s="15"/>
      <c r="F40" s="15"/>
      <c r="Q40" s="6"/>
      <c r="R40" s="6"/>
    </row>
    <row r="41" spans="3:18" ht="15" customHeight="1" x14ac:dyDescent="0.35">
      <c r="C41" s="1"/>
      <c r="D41" s="1"/>
      <c r="E41" s="15"/>
      <c r="F41" s="15"/>
      <c r="Q41" s="6"/>
      <c r="R41" s="6"/>
    </row>
    <row r="42" spans="3:18" ht="15" customHeight="1" x14ac:dyDescent="0.35">
      <c r="E42" s="15"/>
      <c r="F42" s="15"/>
      <c r="Q42" s="6"/>
      <c r="R42" s="6"/>
    </row>
    <row r="43" spans="3:18" ht="15" customHeight="1" x14ac:dyDescent="0.35">
      <c r="E43" s="15"/>
      <c r="F43" s="15"/>
      <c r="Q43" s="6"/>
      <c r="R43" s="6"/>
    </row>
    <row r="44" spans="3:18" ht="15" customHeight="1" x14ac:dyDescent="0.35">
      <c r="E44" s="15"/>
      <c r="F44" s="15"/>
      <c r="Q44" s="6"/>
      <c r="R44" s="6"/>
    </row>
    <row r="45" spans="3:18" ht="15" customHeight="1" x14ac:dyDescent="0.35">
      <c r="E45" s="15"/>
      <c r="F45" s="15"/>
      <c r="Q45" s="6"/>
      <c r="R45" s="6"/>
    </row>
    <row r="46" spans="3:18" ht="15" customHeight="1" x14ac:dyDescent="0.35">
      <c r="C46" s="1"/>
      <c r="D46" s="1"/>
      <c r="E46" s="15"/>
      <c r="F46" s="15"/>
      <c r="Q46" s="6"/>
      <c r="R46" s="6"/>
    </row>
    <row r="47" spans="3:18" ht="15" customHeight="1" x14ac:dyDescent="0.35">
      <c r="C47" s="1"/>
      <c r="D47" s="1"/>
      <c r="E47" s="15"/>
      <c r="F47" s="15"/>
    </row>
    <row r="48" spans="3:18" ht="15" customHeight="1" x14ac:dyDescent="0.35">
      <c r="E48" s="15"/>
      <c r="F48" s="15"/>
    </row>
    <row r="49" spans="5:7" ht="15" customHeight="1" x14ac:dyDescent="0.35">
      <c r="E49" s="15"/>
      <c r="F49" s="15"/>
    </row>
    <row r="50" spans="5:7" ht="15" customHeight="1" x14ac:dyDescent="0.35">
      <c r="E50" s="16"/>
      <c r="F50" s="16"/>
      <c r="G50" s="1"/>
    </row>
    <row r="51" spans="5:7" ht="15" customHeight="1" x14ac:dyDescent="0.35">
      <c r="E51" s="15"/>
      <c r="F51" s="15"/>
    </row>
    <row r="52" spans="5:7" ht="15" customHeight="1" x14ac:dyDescent="0.35">
      <c r="E52" s="15"/>
      <c r="F52" s="15"/>
    </row>
    <row r="53" spans="5:7" ht="15" customHeight="1" x14ac:dyDescent="0.35">
      <c r="E53" s="15"/>
      <c r="F53" s="15"/>
    </row>
    <row r="54" spans="5:7" ht="15" customHeight="1" x14ac:dyDescent="0.35">
      <c r="E54" s="15"/>
      <c r="F54" s="15"/>
    </row>
    <row r="55" spans="5:7" ht="15" customHeight="1" x14ac:dyDescent="0.35">
      <c r="E55" s="15"/>
      <c r="F55" s="15"/>
    </row>
    <row r="56" spans="5:7" ht="15" customHeight="1" x14ac:dyDescent="0.35">
      <c r="E56" s="15"/>
      <c r="F56" s="15"/>
    </row>
    <row r="57" spans="5:7" ht="15" customHeight="1" x14ac:dyDescent="0.35">
      <c r="E57" s="15"/>
      <c r="F57" s="15"/>
    </row>
    <row r="58" spans="5:7" ht="15" customHeight="1" x14ac:dyDescent="0.35">
      <c r="E58" s="16"/>
      <c r="F58" s="16"/>
      <c r="G58" s="1"/>
    </row>
    <row r="59" spans="5:7" ht="15" customHeight="1" x14ac:dyDescent="0.35">
      <c r="E59" s="15"/>
      <c r="F59" s="15"/>
    </row>
    <row r="60" spans="5:7" ht="15" customHeight="1" x14ac:dyDescent="0.35">
      <c r="E60" s="15"/>
      <c r="F60" s="15"/>
    </row>
    <row r="61" spans="5:7" ht="15" customHeight="1" x14ac:dyDescent="0.35">
      <c r="E61" s="15"/>
      <c r="F61" s="15"/>
    </row>
    <row r="62" spans="5:7" ht="15" customHeight="1" x14ac:dyDescent="0.35">
      <c r="E62" s="15"/>
      <c r="F62" s="15"/>
    </row>
    <row r="63" spans="5:7" ht="15" customHeight="1" x14ac:dyDescent="0.35">
      <c r="E63" s="15"/>
      <c r="F63" s="15"/>
    </row>
    <row r="64" spans="5:7" ht="15" customHeight="1" x14ac:dyDescent="0.35">
      <c r="E64" s="15"/>
      <c r="F64" s="15"/>
    </row>
    <row r="65" spans="6:6" x14ac:dyDescent="0.35">
      <c r="F65" s="4"/>
    </row>
    <row r="66" spans="6:6" x14ac:dyDescent="0.35">
      <c r="F66" s="4"/>
    </row>
    <row r="67" spans="6:6" x14ac:dyDescent="0.35">
      <c r="F67" s="4"/>
    </row>
    <row r="68" spans="6:6" x14ac:dyDescent="0.35">
      <c r="F68" s="4"/>
    </row>
    <row r="69" spans="6:6" x14ac:dyDescent="0.35">
      <c r="F69" s="4"/>
    </row>
    <row r="70" spans="6:6" x14ac:dyDescent="0.35">
      <c r="F70" s="4"/>
    </row>
    <row r="71" spans="6:6" x14ac:dyDescent="0.35">
      <c r="F71" s="4"/>
    </row>
    <row r="72" spans="6:6" x14ac:dyDescent="0.35">
      <c r="F72" s="4"/>
    </row>
    <row r="73" spans="6:6" x14ac:dyDescent="0.35">
      <c r="F73" s="4"/>
    </row>
    <row r="74" spans="6:6" x14ac:dyDescent="0.35">
      <c r="F74" s="4"/>
    </row>
    <row r="75" spans="6:6" x14ac:dyDescent="0.35">
      <c r="F75" s="4"/>
    </row>
    <row r="76" spans="6:6" x14ac:dyDescent="0.35">
      <c r="F76" s="4"/>
    </row>
    <row r="77" spans="6:6" x14ac:dyDescent="0.35">
      <c r="F77" s="4"/>
    </row>
    <row r="78" spans="6:6" x14ac:dyDescent="0.35">
      <c r="F78" s="4"/>
    </row>
    <row r="79" spans="6:6" x14ac:dyDescent="0.35">
      <c r="F79" s="4"/>
    </row>
    <row r="80" spans="6:6" x14ac:dyDescent="0.35">
      <c r="F80" s="4"/>
    </row>
    <row r="81" spans="6:6" x14ac:dyDescent="0.35">
      <c r="F81" s="4"/>
    </row>
    <row r="82" spans="6:6" x14ac:dyDescent="0.35">
      <c r="F82" s="4"/>
    </row>
    <row r="83" spans="6:6" x14ac:dyDescent="0.35">
      <c r="F83" s="4"/>
    </row>
    <row r="84" spans="6:6" x14ac:dyDescent="0.35">
      <c r="F84" s="4"/>
    </row>
    <row r="85" spans="6:6" x14ac:dyDescent="0.35">
      <c r="F85" s="4"/>
    </row>
    <row r="86" spans="6:6" x14ac:dyDescent="0.35">
      <c r="F86" s="4"/>
    </row>
    <row r="87" spans="6:6" x14ac:dyDescent="0.35">
      <c r="F87" s="4"/>
    </row>
    <row r="88" spans="6:6" x14ac:dyDescent="0.35">
      <c r="F88" s="4"/>
    </row>
    <row r="89" spans="6:6" x14ac:dyDescent="0.35">
      <c r="F89" s="4"/>
    </row>
    <row r="90" spans="6:6" x14ac:dyDescent="0.35">
      <c r="F90" s="4"/>
    </row>
    <row r="91" spans="6:6" x14ac:dyDescent="0.35">
      <c r="F91" s="4"/>
    </row>
    <row r="92" spans="6:6" x14ac:dyDescent="0.35">
      <c r="F92" s="4"/>
    </row>
    <row r="93" spans="6:6" x14ac:dyDescent="0.35">
      <c r="F93" s="4"/>
    </row>
    <row r="94" spans="6:6" x14ac:dyDescent="0.35">
      <c r="F94" s="4"/>
    </row>
    <row r="95" spans="6:6" x14ac:dyDescent="0.35">
      <c r="F95" s="4"/>
    </row>
    <row r="96" spans="6:6" x14ac:dyDescent="0.35">
      <c r="F96" s="4"/>
    </row>
    <row r="97" spans="6:6" x14ac:dyDescent="0.35">
      <c r="F97" s="4"/>
    </row>
    <row r="98" spans="6:6" x14ac:dyDescent="0.35">
      <c r="F98" s="4"/>
    </row>
    <row r="99" spans="6:6" x14ac:dyDescent="0.35">
      <c r="F99" s="4"/>
    </row>
    <row r="100" spans="6:6" x14ac:dyDescent="0.35">
      <c r="F100" s="4"/>
    </row>
    <row r="101" spans="6:6" x14ac:dyDescent="0.35">
      <c r="F101" s="4"/>
    </row>
    <row r="102" spans="6:6" x14ac:dyDescent="0.35">
      <c r="F102" s="4"/>
    </row>
    <row r="103" spans="6:6" x14ac:dyDescent="0.35">
      <c r="F103" s="4"/>
    </row>
    <row r="104" spans="6:6" x14ac:dyDescent="0.35">
      <c r="F104" s="4"/>
    </row>
    <row r="105" spans="6:6" x14ac:dyDescent="0.35">
      <c r="F105" s="4"/>
    </row>
    <row r="106" spans="6:6" x14ac:dyDescent="0.35">
      <c r="F106" s="4"/>
    </row>
    <row r="107" spans="6:6" x14ac:dyDescent="0.35">
      <c r="F107" s="4"/>
    </row>
    <row r="108" spans="6:6" x14ac:dyDescent="0.35">
      <c r="F108" s="4"/>
    </row>
    <row r="109" spans="6:6" x14ac:dyDescent="0.35">
      <c r="F109" s="4"/>
    </row>
    <row r="110" spans="6:6" x14ac:dyDescent="0.35">
      <c r="F110" s="4"/>
    </row>
    <row r="111" spans="6:6" x14ac:dyDescent="0.35">
      <c r="F111" s="4"/>
    </row>
    <row r="112" spans="6:6" x14ac:dyDescent="0.35">
      <c r="F112" s="4"/>
    </row>
    <row r="113" spans="6:6" x14ac:dyDescent="0.35">
      <c r="F113" s="4"/>
    </row>
    <row r="114" spans="6:6" x14ac:dyDescent="0.35">
      <c r="F114" s="4"/>
    </row>
    <row r="115" spans="6:6" x14ac:dyDescent="0.35">
      <c r="F115" s="4"/>
    </row>
    <row r="116" spans="6:6" x14ac:dyDescent="0.35">
      <c r="F116" s="4"/>
    </row>
    <row r="117" spans="6:6" x14ac:dyDescent="0.35">
      <c r="F117" s="4"/>
    </row>
    <row r="118" spans="6:6" x14ac:dyDescent="0.35">
      <c r="F118" s="4"/>
    </row>
    <row r="119" spans="6:6" x14ac:dyDescent="0.35">
      <c r="F119" s="4"/>
    </row>
    <row r="120" spans="6:6" x14ac:dyDescent="0.35">
      <c r="F120" s="4"/>
    </row>
    <row r="121" spans="6:6" x14ac:dyDescent="0.35">
      <c r="F121" s="4"/>
    </row>
    <row r="122" spans="6:6" x14ac:dyDescent="0.35">
      <c r="F122" s="4"/>
    </row>
    <row r="123" spans="6:6" x14ac:dyDescent="0.35">
      <c r="F123" s="4"/>
    </row>
    <row r="124" spans="6:6" x14ac:dyDescent="0.35">
      <c r="F124" s="4"/>
    </row>
    <row r="125" spans="6:6" x14ac:dyDescent="0.35">
      <c r="F125" s="4"/>
    </row>
    <row r="126" spans="6:6" x14ac:dyDescent="0.35">
      <c r="F126" s="4"/>
    </row>
    <row r="127" spans="6:6" x14ac:dyDescent="0.35">
      <c r="F127" s="4"/>
    </row>
    <row r="128" spans="6:6" x14ac:dyDescent="0.35">
      <c r="F128" s="4"/>
    </row>
    <row r="129" spans="6:6" x14ac:dyDescent="0.35">
      <c r="F129" s="4"/>
    </row>
    <row r="130" spans="6:6" x14ac:dyDescent="0.35">
      <c r="F130" s="4"/>
    </row>
    <row r="131" spans="6:6" x14ac:dyDescent="0.35">
      <c r="F131" s="4"/>
    </row>
    <row r="132" spans="6:6" x14ac:dyDescent="0.35">
      <c r="F132" s="4"/>
    </row>
    <row r="133" spans="6:6" x14ac:dyDescent="0.35">
      <c r="F133" s="4"/>
    </row>
    <row r="134" spans="6:6" x14ac:dyDescent="0.35">
      <c r="F134" s="4"/>
    </row>
    <row r="135" spans="6:6" x14ac:dyDescent="0.35">
      <c r="F135" s="4"/>
    </row>
    <row r="136" spans="6:6" x14ac:dyDescent="0.35">
      <c r="F136" s="4"/>
    </row>
    <row r="137" spans="6:6" x14ac:dyDescent="0.35">
      <c r="F137" s="4"/>
    </row>
    <row r="138" spans="6:6" x14ac:dyDescent="0.35">
      <c r="F138" s="4"/>
    </row>
    <row r="139" spans="6:6" x14ac:dyDescent="0.35">
      <c r="F139" s="4"/>
    </row>
    <row r="140" spans="6:6" x14ac:dyDescent="0.35">
      <c r="F140" s="4"/>
    </row>
    <row r="141" spans="6:6" x14ac:dyDescent="0.35">
      <c r="F141" s="4"/>
    </row>
    <row r="142" spans="6:6" x14ac:dyDescent="0.35">
      <c r="F142" s="4"/>
    </row>
    <row r="143" spans="6:6" x14ac:dyDescent="0.35">
      <c r="F143" s="4"/>
    </row>
    <row r="144" spans="6:6" x14ac:dyDescent="0.35">
      <c r="F144" s="4"/>
    </row>
    <row r="145" spans="6:6" x14ac:dyDescent="0.35">
      <c r="F145" s="4"/>
    </row>
    <row r="146" spans="6:6" x14ac:dyDescent="0.35">
      <c r="F146" s="4"/>
    </row>
    <row r="147" spans="6:6" x14ac:dyDescent="0.35">
      <c r="F147" s="4"/>
    </row>
    <row r="148" spans="6:6" x14ac:dyDescent="0.35">
      <c r="F148" s="4"/>
    </row>
    <row r="149" spans="6:6" x14ac:dyDescent="0.35">
      <c r="F149" s="4"/>
    </row>
    <row r="150" spans="6:6" x14ac:dyDescent="0.35">
      <c r="F150" s="4"/>
    </row>
    <row r="151" spans="6:6" x14ac:dyDescent="0.35">
      <c r="F151" s="4"/>
    </row>
    <row r="152" spans="6:6" x14ac:dyDescent="0.35">
      <c r="F152" s="4"/>
    </row>
    <row r="153" spans="6:6" x14ac:dyDescent="0.35">
      <c r="F153" s="4"/>
    </row>
    <row r="154" spans="6:6" x14ac:dyDescent="0.35">
      <c r="F154" s="4"/>
    </row>
    <row r="155" spans="6:6" x14ac:dyDescent="0.35">
      <c r="F155" s="4"/>
    </row>
    <row r="156" spans="6:6" x14ac:dyDescent="0.35">
      <c r="F156" s="4"/>
    </row>
    <row r="157" spans="6:6" x14ac:dyDescent="0.35">
      <c r="F157" s="4"/>
    </row>
    <row r="158" spans="6:6" x14ac:dyDescent="0.35">
      <c r="F158" s="4"/>
    </row>
    <row r="159" spans="6:6" x14ac:dyDescent="0.35">
      <c r="F159" s="4"/>
    </row>
    <row r="160" spans="6:6" x14ac:dyDescent="0.35">
      <c r="F160" s="4"/>
    </row>
    <row r="161" spans="6:6" x14ac:dyDescent="0.35">
      <c r="F161" s="4"/>
    </row>
    <row r="162" spans="6:6" x14ac:dyDescent="0.35">
      <c r="F162" s="4"/>
    </row>
    <row r="163" spans="6:6" x14ac:dyDescent="0.35">
      <c r="F163" s="4"/>
    </row>
    <row r="164" spans="6:6" x14ac:dyDescent="0.35">
      <c r="F164" s="4"/>
    </row>
    <row r="165" spans="6:6" x14ac:dyDescent="0.35">
      <c r="F165" s="4"/>
    </row>
    <row r="166" spans="6:6" x14ac:dyDescent="0.35">
      <c r="F166" s="4"/>
    </row>
    <row r="167" spans="6:6" x14ac:dyDescent="0.35">
      <c r="F167" s="4"/>
    </row>
    <row r="168" spans="6:6" x14ac:dyDescent="0.35">
      <c r="F168" s="4"/>
    </row>
    <row r="169" spans="6:6" x14ac:dyDescent="0.35">
      <c r="F169" s="4"/>
    </row>
    <row r="170" spans="6:6" x14ac:dyDescent="0.35">
      <c r="F170" s="4"/>
    </row>
    <row r="171" spans="6:6" x14ac:dyDescent="0.35">
      <c r="F171" s="4"/>
    </row>
    <row r="172" spans="6:6" x14ac:dyDescent="0.35">
      <c r="F172" s="4"/>
    </row>
    <row r="173" spans="6:6" x14ac:dyDescent="0.35">
      <c r="F173" s="4"/>
    </row>
    <row r="174" spans="6:6" x14ac:dyDescent="0.35">
      <c r="F174" s="4"/>
    </row>
    <row r="175" spans="6:6" x14ac:dyDescent="0.35">
      <c r="F175" s="4"/>
    </row>
    <row r="176" spans="6:6" x14ac:dyDescent="0.35">
      <c r="F176" s="4"/>
    </row>
    <row r="177" spans="6:6" x14ac:dyDescent="0.35">
      <c r="F177" s="4"/>
    </row>
    <row r="178" spans="6:6" x14ac:dyDescent="0.35">
      <c r="F178" s="4"/>
    </row>
    <row r="179" spans="6:6" x14ac:dyDescent="0.35">
      <c r="F179" s="4"/>
    </row>
    <row r="180" spans="6:6" x14ac:dyDescent="0.35">
      <c r="F180" s="4"/>
    </row>
    <row r="181" spans="6:6" x14ac:dyDescent="0.35">
      <c r="F181" s="4"/>
    </row>
    <row r="182" spans="6:6" x14ac:dyDescent="0.35">
      <c r="F182" s="4"/>
    </row>
    <row r="183" spans="6:6" x14ac:dyDescent="0.35">
      <c r="F183" s="4"/>
    </row>
    <row r="184" spans="6:6" x14ac:dyDescent="0.35">
      <c r="F184" s="4"/>
    </row>
    <row r="185" spans="6:6" x14ac:dyDescent="0.35">
      <c r="F185" s="4"/>
    </row>
    <row r="186" spans="6:6" x14ac:dyDescent="0.35">
      <c r="F186" s="4"/>
    </row>
    <row r="187" spans="6:6" x14ac:dyDescent="0.35">
      <c r="F187" s="4"/>
    </row>
    <row r="188" spans="6:6" x14ac:dyDescent="0.35">
      <c r="F188" s="4"/>
    </row>
    <row r="189" spans="6:6" x14ac:dyDescent="0.35">
      <c r="F189" s="4"/>
    </row>
    <row r="190" spans="6:6" x14ac:dyDescent="0.35">
      <c r="F190" s="4"/>
    </row>
    <row r="191" spans="6:6" x14ac:dyDescent="0.35">
      <c r="F191" s="4"/>
    </row>
    <row r="192" spans="6:6" x14ac:dyDescent="0.35">
      <c r="F192" s="4"/>
    </row>
    <row r="193" spans="6:6" x14ac:dyDescent="0.35">
      <c r="F193" s="4"/>
    </row>
    <row r="194" spans="6:6" x14ac:dyDescent="0.35">
      <c r="F194" s="4"/>
    </row>
    <row r="195" spans="6:6" x14ac:dyDescent="0.35">
      <c r="F195" s="4"/>
    </row>
    <row r="196" spans="6:6" x14ac:dyDescent="0.35">
      <c r="F196" s="4"/>
    </row>
    <row r="197" spans="6:6" x14ac:dyDescent="0.35">
      <c r="F197" s="4"/>
    </row>
    <row r="198" spans="6:6" x14ac:dyDescent="0.35">
      <c r="F198" s="4"/>
    </row>
    <row r="199" spans="6:6" x14ac:dyDescent="0.35">
      <c r="F199" s="4"/>
    </row>
    <row r="200" spans="6:6" x14ac:dyDescent="0.35">
      <c r="F200" s="4"/>
    </row>
    <row r="201" spans="6:6" x14ac:dyDescent="0.35">
      <c r="F201" s="4"/>
    </row>
    <row r="202" spans="6:6" x14ac:dyDescent="0.35">
      <c r="F202" s="4"/>
    </row>
    <row r="203" spans="6:6" x14ac:dyDescent="0.35">
      <c r="F203" s="4"/>
    </row>
    <row r="204" spans="6:6" x14ac:dyDescent="0.35">
      <c r="F204" s="4"/>
    </row>
    <row r="205" spans="6:6" x14ac:dyDescent="0.35">
      <c r="F205" s="4"/>
    </row>
    <row r="206" spans="6:6" x14ac:dyDescent="0.35">
      <c r="F206" s="4"/>
    </row>
    <row r="207" spans="6:6" x14ac:dyDescent="0.35">
      <c r="F207" s="4"/>
    </row>
    <row r="208" spans="6:6" x14ac:dyDescent="0.35">
      <c r="F208" s="4"/>
    </row>
    <row r="209" spans="6:6" x14ac:dyDescent="0.35">
      <c r="F209" s="4"/>
    </row>
    <row r="210" spans="6:6" x14ac:dyDescent="0.35">
      <c r="F210" s="4"/>
    </row>
    <row r="211" spans="6:6" x14ac:dyDescent="0.35">
      <c r="F211" s="4"/>
    </row>
    <row r="212" spans="6:6" x14ac:dyDescent="0.35">
      <c r="F212" s="4"/>
    </row>
    <row r="213" spans="6:6" x14ac:dyDescent="0.35">
      <c r="F213" s="4"/>
    </row>
    <row r="214" spans="6:6" x14ac:dyDescent="0.35">
      <c r="F214" s="4"/>
    </row>
    <row r="215" spans="6:6" x14ac:dyDescent="0.35">
      <c r="F215" s="4"/>
    </row>
    <row r="216" spans="6:6" x14ac:dyDescent="0.35">
      <c r="F216" s="4"/>
    </row>
    <row r="217" spans="6:6" x14ac:dyDescent="0.35">
      <c r="F217" s="4"/>
    </row>
    <row r="218" spans="6:6" x14ac:dyDescent="0.35">
      <c r="F218" s="4"/>
    </row>
    <row r="219" spans="6:6" x14ac:dyDescent="0.35">
      <c r="F219" s="4"/>
    </row>
    <row r="220" spans="6:6" x14ac:dyDescent="0.35">
      <c r="F220" s="4"/>
    </row>
    <row r="221" spans="6:6" x14ac:dyDescent="0.35">
      <c r="F221" s="4"/>
    </row>
    <row r="222" spans="6:6" x14ac:dyDescent="0.35">
      <c r="F222" s="4"/>
    </row>
    <row r="223" spans="6:6" x14ac:dyDescent="0.35">
      <c r="F223" s="4"/>
    </row>
    <row r="224" spans="6:6" x14ac:dyDescent="0.35">
      <c r="F224" s="4"/>
    </row>
    <row r="225" spans="6:6" x14ac:dyDescent="0.35">
      <c r="F225" s="4"/>
    </row>
    <row r="226" spans="6:6" x14ac:dyDescent="0.35">
      <c r="F226" s="4"/>
    </row>
    <row r="227" spans="6:6" x14ac:dyDescent="0.35">
      <c r="F227" s="4"/>
    </row>
    <row r="228" spans="6:6" x14ac:dyDescent="0.35">
      <c r="F228" s="4"/>
    </row>
    <row r="229" spans="6:6" x14ac:dyDescent="0.35">
      <c r="F229" s="4"/>
    </row>
    <row r="230" spans="6:6" x14ac:dyDescent="0.35">
      <c r="F230" s="4"/>
    </row>
    <row r="231" spans="6:6" x14ac:dyDescent="0.35">
      <c r="F231" s="4"/>
    </row>
    <row r="232" spans="6:6" x14ac:dyDescent="0.35">
      <c r="F232" s="4"/>
    </row>
    <row r="233" spans="6:6" x14ac:dyDescent="0.35">
      <c r="F233" s="4"/>
    </row>
    <row r="234" spans="6:6" x14ac:dyDescent="0.35">
      <c r="F234" s="4"/>
    </row>
    <row r="235" spans="6:6" x14ac:dyDescent="0.35">
      <c r="F235" s="4"/>
    </row>
    <row r="236" spans="6:6" x14ac:dyDescent="0.35">
      <c r="F236" s="4"/>
    </row>
    <row r="237" spans="6:6" x14ac:dyDescent="0.35">
      <c r="F237" s="4"/>
    </row>
    <row r="238" spans="6:6" x14ac:dyDescent="0.35">
      <c r="F238" s="4"/>
    </row>
    <row r="239" spans="6:6" x14ac:dyDescent="0.35">
      <c r="F239" s="4"/>
    </row>
    <row r="240" spans="6:6" x14ac:dyDescent="0.35">
      <c r="F240" s="4"/>
    </row>
    <row r="241" spans="6:6" x14ac:dyDescent="0.35">
      <c r="F241" s="4"/>
    </row>
    <row r="242" spans="6:6" x14ac:dyDescent="0.35">
      <c r="F242" s="4"/>
    </row>
    <row r="243" spans="6:6" x14ac:dyDescent="0.35">
      <c r="F243" s="4"/>
    </row>
    <row r="244" spans="6:6" x14ac:dyDescent="0.35">
      <c r="F244" s="4"/>
    </row>
    <row r="245" spans="6:6" x14ac:dyDescent="0.35">
      <c r="F245" s="4"/>
    </row>
    <row r="246" spans="6:6" x14ac:dyDescent="0.35">
      <c r="F246" s="4"/>
    </row>
    <row r="247" spans="6:6" x14ac:dyDescent="0.35">
      <c r="F247" s="4"/>
    </row>
    <row r="248" spans="6:6" x14ac:dyDescent="0.35">
      <c r="F248" s="4"/>
    </row>
    <row r="249" spans="6:6" x14ac:dyDescent="0.35">
      <c r="F249" s="4"/>
    </row>
    <row r="250" spans="6:6" x14ac:dyDescent="0.35">
      <c r="F250" s="4"/>
    </row>
    <row r="251" spans="6:6" x14ac:dyDescent="0.35">
      <c r="F251" s="4"/>
    </row>
    <row r="252" spans="6:6" x14ac:dyDescent="0.35">
      <c r="F252" s="4"/>
    </row>
    <row r="253" spans="6:6" x14ac:dyDescent="0.35">
      <c r="F253" s="4"/>
    </row>
    <row r="254" spans="6:6" x14ac:dyDescent="0.35">
      <c r="F254" s="4"/>
    </row>
    <row r="255" spans="6:6" x14ac:dyDescent="0.35">
      <c r="F255" s="4"/>
    </row>
    <row r="256" spans="6:6" x14ac:dyDescent="0.35">
      <c r="F256" s="4"/>
    </row>
    <row r="257" spans="6:6" x14ac:dyDescent="0.35">
      <c r="F257" s="4"/>
    </row>
  </sheetData>
  <sortState xmlns:xlrd2="http://schemas.microsoft.com/office/spreadsheetml/2017/richdata2" ref="E30:F68">
    <sortCondition descending="1" ref="F30:F68"/>
  </sortState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1752-A953-409F-8841-8B3AB2336BCF}">
  <dimension ref="B5:S215"/>
  <sheetViews>
    <sheetView topLeftCell="B1" workbookViewId="0">
      <selection activeCell="G4" sqref="G4"/>
    </sheetView>
  </sheetViews>
  <sheetFormatPr defaultRowHeight="14.5" x14ac:dyDescent="0.35"/>
  <cols>
    <col min="2" max="2" width="12.1796875" bestFit="1" customWidth="1"/>
    <col min="3" max="17" width="11.81640625" bestFit="1" customWidth="1"/>
    <col min="18" max="18" width="10" bestFit="1" customWidth="1"/>
  </cols>
  <sheetData>
    <row r="5" spans="2:19" x14ac:dyDescent="0.35">
      <c r="C5" t="s">
        <v>4</v>
      </c>
      <c r="D5" t="s">
        <v>1</v>
      </c>
      <c r="E5" t="s">
        <v>59</v>
      </c>
      <c r="F5" t="s">
        <v>60</v>
      </c>
      <c r="G5" t="s">
        <v>15</v>
      </c>
      <c r="H5" t="s">
        <v>120</v>
      </c>
      <c r="I5" t="s">
        <v>69</v>
      </c>
      <c r="J5" t="s">
        <v>61</v>
      </c>
      <c r="K5" t="s">
        <v>42</v>
      </c>
      <c r="L5" t="s">
        <v>70</v>
      </c>
      <c r="M5" t="s">
        <v>12</v>
      </c>
      <c r="N5" t="s">
        <v>49</v>
      </c>
      <c r="O5" t="s">
        <v>9</v>
      </c>
      <c r="P5" t="s">
        <v>78</v>
      </c>
      <c r="Q5" t="s">
        <v>64</v>
      </c>
      <c r="R5" t="s">
        <v>116</v>
      </c>
      <c r="S5" t="s">
        <v>117</v>
      </c>
    </row>
    <row r="6" spans="2:19" x14ac:dyDescent="0.35">
      <c r="B6" s="2" cm="1">
        <f t="array" ref="B6:B206">_xll.FDS(C5,"JULIAN(P_PRICE(0,-200D).dates)")</f>
        <v>45499</v>
      </c>
      <c r="C6" cm="1">
        <f t="array" ref="C6:C206">_xll.FDS(C5,"FG_PRICE(0,-200D)")</f>
        <v>43.72</v>
      </c>
      <c r="D6" cm="1">
        <f t="array" ref="D6:D206">_xll.FDS(D5,"FG_PRICE(0,-200D)")</f>
        <v>544.44000000000005</v>
      </c>
      <c r="E6" cm="1">
        <f t="array" ref="E6:E206">_xll.FDS(E5,"FG_PRICE(0,-200D)")</f>
        <v>220.63</v>
      </c>
      <c r="F6" cm="1">
        <f t="array" ref="F6:F206">_xll.FDS(F5,"FG_PRICE(0,-200D)")</f>
        <v>28.82</v>
      </c>
      <c r="G6" cm="1">
        <f t="array" ref="G6:G206">_xll.FDS(G5,"FG_PRICE(0,-200D)")</f>
        <v>462.97</v>
      </c>
      <c r="H6" cm="1">
        <f t="array" ref="H6:H206">_xll.FDS(H5,"FG_PRICE(0,-200D)")</f>
        <v>22.24</v>
      </c>
      <c r="I6" cm="1">
        <f t="array" ref="I6:I206">_xll.FDS(I5,"FG_PRICE(0,-200D)")</f>
        <v>76.11</v>
      </c>
      <c r="J6" cm="1">
        <f t="array" ref="J6:J206">_xll.FDS(J5,"FG_PRICE(0,-200D)")</f>
        <v>92.99</v>
      </c>
      <c r="K6" cm="1">
        <f t="array" ref="K6:K206">_xll.FDS(K5,"FG_PRICE(0,-200D)")</f>
        <v>68.12</v>
      </c>
      <c r="L6" cm="1">
        <f t="array" ref="L6:L206">_xll.FDS(L5,"FG_PRICE(0,-200D)")</f>
        <v>59.26</v>
      </c>
      <c r="M6" cm="1">
        <f t="array" ref="M6:M206">_xll.FDS(M5,"FG_PRICE(0,-200D)")</f>
        <v>68.69</v>
      </c>
      <c r="N6" cm="1">
        <f t="array" ref="N6:N206">_xll.FDS(N5,"FG_PRICE(0,-200D)")</f>
        <v>148.13</v>
      </c>
      <c r="O6" cm="1">
        <f t="array" ref="O6:O206">_xll.FDS(O5,"FG_PRICE(0,-200D)")</f>
        <v>56.82</v>
      </c>
      <c r="P6" cm="1">
        <f t="array" ref="P6:P206">_xll.FDS(P5,"FG_PRICE(0,-200D)")</f>
        <v>224.22</v>
      </c>
      <c r="Q6" cm="1">
        <f t="array" ref="Q6:Q206">_xll.FDS(Q5,"FG_PRICE(0,-200D)")</f>
        <v>25.52</v>
      </c>
      <c r="R6" cm="1">
        <f t="array" ref="R6:R206">_xll.FDS(R5,"FG_PRICE(0,-200D)")</f>
        <v>68775</v>
      </c>
      <c r="S6" cm="1">
        <f t="array" ref="S6:S206">_xll.FDS(S5,"FG_PRICE(0,-200D)")</f>
        <v>15.8</v>
      </c>
    </row>
    <row r="7" spans="2:19" x14ac:dyDescent="0.35">
      <c r="B7" s="2">
        <v>45498</v>
      </c>
      <c r="C7">
        <v>43.24</v>
      </c>
      <c r="D7">
        <v>538.41</v>
      </c>
      <c r="E7">
        <v>218.33</v>
      </c>
      <c r="F7">
        <v>28.84</v>
      </c>
      <c r="G7">
        <v>458.27</v>
      </c>
      <c r="H7">
        <v>22.47</v>
      </c>
      <c r="I7">
        <v>77.459999999999994</v>
      </c>
      <c r="J7">
        <v>92.27</v>
      </c>
      <c r="K7">
        <v>67.17</v>
      </c>
      <c r="L7">
        <v>58.58</v>
      </c>
      <c r="M7">
        <v>67.78</v>
      </c>
      <c r="N7">
        <v>146.5</v>
      </c>
      <c r="O7">
        <v>55.77</v>
      </c>
      <c r="P7">
        <v>220.57</v>
      </c>
      <c r="Q7">
        <v>25.39</v>
      </c>
      <c r="R7">
        <v>64695</v>
      </c>
      <c r="S7">
        <v>15.66</v>
      </c>
    </row>
    <row r="8" spans="2:19" x14ac:dyDescent="0.35">
      <c r="B8" s="2">
        <v>45497</v>
      </c>
      <c r="C8">
        <v>43.35</v>
      </c>
      <c r="D8">
        <v>541.23</v>
      </c>
      <c r="E8">
        <v>221.8</v>
      </c>
      <c r="F8">
        <v>28.84</v>
      </c>
      <c r="G8">
        <v>463.38</v>
      </c>
      <c r="H8">
        <v>22.42</v>
      </c>
      <c r="I8">
        <v>76.81</v>
      </c>
      <c r="J8">
        <v>91.52</v>
      </c>
      <c r="K8">
        <v>67.400000000000006</v>
      </c>
      <c r="L8">
        <v>58.62</v>
      </c>
      <c r="M8">
        <v>68.86</v>
      </c>
      <c r="N8">
        <v>147.22999999999999</v>
      </c>
      <c r="O8">
        <v>55.46</v>
      </c>
      <c r="P8">
        <v>217.85</v>
      </c>
      <c r="Q8">
        <v>25.7</v>
      </c>
      <c r="R8">
        <v>65700</v>
      </c>
      <c r="S8">
        <v>15.72</v>
      </c>
    </row>
    <row r="9" spans="2:19" x14ac:dyDescent="0.35">
      <c r="B9" s="2">
        <v>45496</v>
      </c>
      <c r="C9">
        <v>43.81</v>
      </c>
      <c r="D9">
        <v>553.78</v>
      </c>
      <c r="E9">
        <v>222.58</v>
      </c>
      <c r="F9">
        <v>28.85</v>
      </c>
      <c r="G9">
        <v>480.62</v>
      </c>
      <c r="H9">
        <v>22.43</v>
      </c>
      <c r="I9">
        <v>76.62</v>
      </c>
      <c r="J9">
        <v>92.52</v>
      </c>
      <c r="K9">
        <v>68.03</v>
      </c>
      <c r="L9">
        <v>59.49</v>
      </c>
      <c r="M9">
        <v>70.239999999999995</v>
      </c>
      <c r="N9">
        <v>150.29</v>
      </c>
      <c r="O9">
        <v>55.75</v>
      </c>
      <c r="P9">
        <v>222.63</v>
      </c>
      <c r="Q9">
        <v>25.99</v>
      </c>
      <c r="R9">
        <v>65565</v>
      </c>
      <c r="S9">
        <v>15.98</v>
      </c>
    </row>
    <row r="10" spans="2:19" x14ac:dyDescent="0.35">
      <c r="B10" s="2">
        <v>45495</v>
      </c>
      <c r="C10">
        <v>44.27</v>
      </c>
      <c r="D10">
        <v>554.65</v>
      </c>
      <c r="E10">
        <v>221.8</v>
      </c>
      <c r="F10">
        <v>28.8</v>
      </c>
      <c r="G10">
        <v>482.32</v>
      </c>
      <c r="H10">
        <v>22.64</v>
      </c>
      <c r="I10">
        <v>77.62</v>
      </c>
      <c r="J10">
        <v>92.65</v>
      </c>
      <c r="K10">
        <v>68.62</v>
      </c>
      <c r="L10">
        <v>59.84</v>
      </c>
      <c r="M10">
        <v>70.3</v>
      </c>
      <c r="N10">
        <v>150.77000000000001</v>
      </c>
      <c r="O10">
        <v>56.63</v>
      </c>
      <c r="P10">
        <v>220.29</v>
      </c>
      <c r="Q10">
        <v>26.36</v>
      </c>
      <c r="R10">
        <v>68340</v>
      </c>
      <c r="S10">
        <v>16.010000000000002</v>
      </c>
    </row>
    <row r="11" spans="2:19" x14ac:dyDescent="0.35">
      <c r="B11" s="2">
        <v>45492</v>
      </c>
      <c r="C11">
        <v>43.93</v>
      </c>
      <c r="D11">
        <v>548.99</v>
      </c>
      <c r="E11">
        <v>221.73</v>
      </c>
      <c r="F11">
        <v>28.82</v>
      </c>
      <c r="G11">
        <v>475.24</v>
      </c>
      <c r="H11">
        <v>22.58</v>
      </c>
      <c r="I11">
        <v>78</v>
      </c>
      <c r="J11">
        <v>92.92</v>
      </c>
      <c r="K11">
        <v>67.67</v>
      </c>
      <c r="L11">
        <v>59.54</v>
      </c>
      <c r="M11">
        <v>69.959999999999994</v>
      </c>
      <c r="N11">
        <v>149.18</v>
      </c>
      <c r="O11">
        <v>56.18</v>
      </c>
      <c r="P11">
        <v>216.84</v>
      </c>
      <c r="Q11">
        <v>25.82</v>
      </c>
      <c r="R11">
        <v>67480</v>
      </c>
      <c r="S11">
        <v>15.89</v>
      </c>
    </row>
    <row r="12" spans="2:19" x14ac:dyDescent="0.35">
      <c r="B12" s="2">
        <v>45491</v>
      </c>
      <c r="C12">
        <v>44.36</v>
      </c>
      <c r="D12">
        <v>552.66</v>
      </c>
      <c r="E12">
        <v>225.78</v>
      </c>
      <c r="F12">
        <v>28.74</v>
      </c>
      <c r="G12">
        <v>479.49</v>
      </c>
      <c r="H12">
        <v>22.89</v>
      </c>
      <c r="I12">
        <v>79.900000000000006</v>
      </c>
      <c r="J12">
        <v>93.47</v>
      </c>
      <c r="K12">
        <v>68.08</v>
      </c>
      <c r="L12">
        <v>60.19</v>
      </c>
      <c r="M12">
        <v>70.400000000000006</v>
      </c>
      <c r="N12">
        <v>150.24</v>
      </c>
      <c r="O12">
        <v>57.15</v>
      </c>
      <c r="P12">
        <v>217.95</v>
      </c>
      <c r="Q12">
        <v>26.01</v>
      </c>
      <c r="R12">
        <v>63650</v>
      </c>
      <c r="S12">
        <v>15.97</v>
      </c>
    </row>
    <row r="13" spans="2:19" x14ac:dyDescent="0.35">
      <c r="B13" s="2">
        <v>45490</v>
      </c>
      <c r="C13">
        <v>44.75</v>
      </c>
      <c r="D13">
        <v>556.94000000000005</v>
      </c>
      <c r="E13">
        <v>227.23</v>
      </c>
      <c r="F13">
        <v>28.61</v>
      </c>
      <c r="G13">
        <v>481.77</v>
      </c>
      <c r="H13">
        <v>23.06</v>
      </c>
      <c r="I13">
        <v>80.62</v>
      </c>
      <c r="J13">
        <v>94.19</v>
      </c>
      <c r="K13">
        <v>68.64</v>
      </c>
      <c r="L13">
        <v>60.74</v>
      </c>
      <c r="M13">
        <v>71.48</v>
      </c>
      <c r="N13">
        <v>151.6</v>
      </c>
      <c r="O13">
        <v>57.09</v>
      </c>
      <c r="P13">
        <v>222.25</v>
      </c>
      <c r="Q13">
        <v>26.25</v>
      </c>
      <c r="R13">
        <v>64730</v>
      </c>
      <c r="S13">
        <v>16.07</v>
      </c>
    </row>
    <row r="14" spans="2:19" x14ac:dyDescent="0.35">
      <c r="B14" s="2">
        <v>45489</v>
      </c>
      <c r="C14">
        <v>45.41</v>
      </c>
      <c r="D14">
        <v>564.86</v>
      </c>
      <c r="E14">
        <v>228.29</v>
      </c>
      <c r="F14">
        <v>28.74</v>
      </c>
      <c r="G14">
        <v>496.34</v>
      </c>
      <c r="H14">
        <v>23.06</v>
      </c>
      <c r="I14">
        <v>79.06</v>
      </c>
      <c r="J14">
        <v>94.17</v>
      </c>
      <c r="K14">
        <v>69.010000000000005</v>
      </c>
      <c r="L14">
        <v>61.86</v>
      </c>
      <c r="M14">
        <v>71.900000000000006</v>
      </c>
      <c r="N14">
        <v>153.30000000000001</v>
      </c>
      <c r="O14">
        <v>57.36</v>
      </c>
      <c r="P14">
        <v>224.6</v>
      </c>
      <c r="Q14">
        <v>26.61</v>
      </c>
      <c r="R14">
        <v>65450</v>
      </c>
      <c r="S14">
        <v>16.27</v>
      </c>
    </row>
    <row r="15" spans="2:19" x14ac:dyDescent="0.35">
      <c r="B15" s="2">
        <v>45488</v>
      </c>
      <c r="C15">
        <v>45.12</v>
      </c>
      <c r="D15">
        <v>561.53</v>
      </c>
      <c r="E15">
        <v>223.83</v>
      </c>
      <c r="F15">
        <v>28.74</v>
      </c>
      <c r="G15">
        <v>496.15</v>
      </c>
      <c r="H15">
        <v>23.12</v>
      </c>
      <c r="I15">
        <v>80.12</v>
      </c>
      <c r="J15">
        <v>92.86</v>
      </c>
      <c r="K15">
        <v>68.75</v>
      </c>
      <c r="L15">
        <v>61.4</v>
      </c>
      <c r="M15">
        <v>71.06</v>
      </c>
      <c r="N15">
        <v>152.41</v>
      </c>
      <c r="O15">
        <v>57.16</v>
      </c>
      <c r="P15">
        <v>217.19</v>
      </c>
      <c r="Q15">
        <v>26.61</v>
      </c>
      <c r="R15">
        <v>63700</v>
      </c>
      <c r="S15">
        <v>16.190000000000001</v>
      </c>
    </row>
    <row r="16" spans="2:19" x14ac:dyDescent="0.35">
      <c r="B16" s="2">
        <v>45485</v>
      </c>
      <c r="C16">
        <v>45.59</v>
      </c>
      <c r="D16">
        <v>559.99</v>
      </c>
      <c r="E16">
        <v>223.11</v>
      </c>
      <c r="F16">
        <v>28.69</v>
      </c>
      <c r="G16">
        <v>494.82</v>
      </c>
      <c r="H16">
        <v>23.29</v>
      </c>
      <c r="I16">
        <v>80.25</v>
      </c>
      <c r="J16">
        <v>93.94</v>
      </c>
      <c r="K16">
        <v>69.5</v>
      </c>
      <c r="L16">
        <v>61.84</v>
      </c>
      <c r="M16">
        <v>71.400000000000006</v>
      </c>
      <c r="N16">
        <v>152.4</v>
      </c>
      <c r="O16">
        <v>57.07</v>
      </c>
      <c r="P16">
        <v>213.14</v>
      </c>
      <c r="Q16">
        <v>27.22</v>
      </c>
      <c r="R16">
        <v>57845</v>
      </c>
      <c r="S16">
        <v>16.21</v>
      </c>
    </row>
    <row r="17" spans="2:19" x14ac:dyDescent="0.35">
      <c r="B17" s="2">
        <v>45484</v>
      </c>
      <c r="C17">
        <v>45.38</v>
      </c>
      <c r="D17">
        <v>556.48</v>
      </c>
      <c r="E17">
        <v>223.25</v>
      </c>
      <c r="F17">
        <v>28.79</v>
      </c>
      <c r="G17">
        <v>491.93</v>
      </c>
      <c r="H17">
        <v>23.38</v>
      </c>
      <c r="I17">
        <v>80.94</v>
      </c>
      <c r="J17">
        <v>93.54</v>
      </c>
      <c r="K17">
        <v>68.680000000000007</v>
      </c>
      <c r="L17">
        <v>61.72</v>
      </c>
      <c r="M17">
        <v>71.010000000000005</v>
      </c>
      <c r="N17">
        <v>151.27000000000001</v>
      </c>
      <c r="O17">
        <v>56.89</v>
      </c>
      <c r="P17">
        <v>210.68</v>
      </c>
      <c r="Q17">
        <v>26.94</v>
      </c>
      <c r="R17">
        <v>57580</v>
      </c>
      <c r="S17">
        <v>16.12</v>
      </c>
    </row>
    <row r="18" spans="2:19" x14ac:dyDescent="0.35">
      <c r="B18" s="2">
        <v>45483</v>
      </c>
      <c r="C18">
        <v>45.03</v>
      </c>
      <c r="D18">
        <v>561.32000000000005</v>
      </c>
      <c r="E18">
        <v>219.36</v>
      </c>
      <c r="F18">
        <v>28.94</v>
      </c>
      <c r="G18">
        <v>502.96</v>
      </c>
      <c r="H18">
        <v>23.3</v>
      </c>
      <c r="I18">
        <v>80.48</v>
      </c>
      <c r="J18">
        <v>92.64</v>
      </c>
      <c r="K18">
        <v>68.349999999999994</v>
      </c>
      <c r="L18">
        <v>61.64</v>
      </c>
      <c r="M18">
        <v>71.28</v>
      </c>
      <c r="N18">
        <v>152.02000000000001</v>
      </c>
      <c r="O18">
        <v>56.74</v>
      </c>
      <c r="P18">
        <v>203.37</v>
      </c>
      <c r="Q18">
        <v>26.38</v>
      </c>
      <c r="R18">
        <v>57625</v>
      </c>
      <c r="S18">
        <v>16.18</v>
      </c>
    </row>
    <row r="19" spans="2:19" x14ac:dyDescent="0.35">
      <c r="B19" s="2">
        <v>45482</v>
      </c>
      <c r="C19">
        <v>44.85</v>
      </c>
      <c r="D19">
        <v>555.82000000000005</v>
      </c>
      <c r="E19">
        <v>218.56</v>
      </c>
      <c r="F19">
        <v>28.97</v>
      </c>
      <c r="G19">
        <v>497.77</v>
      </c>
      <c r="H19">
        <v>23.3</v>
      </c>
      <c r="I19">
        <v>79.77</v>
      </c>
      <c r="J19">
        <v>92.35</v>
      </c>
      <c r="K19">
        <v>67.510000000000005</v>
      </c>
      <c r="L19">
        <v>61.11</v>
      </c>
      <c r="M19">
        <v>70</v>
      </c>
      <c r="N19">
        <v>150.43</v>
      </c>
      <c r="O19">
        <v>56.85</v>
      </c>
      <c r="P19">
        <v>201.4</v>
      </c>
      <c r="Q19">
        <v>26.5</v>
      </c>
      <c r="R19">
        <v>58160</v>
      </c>
      <c r="S19">
        <v>16.059999999999999</v>
      </c>
    </row>
    <row r="20" spans="2:19" x14ac:dyDescent="0.35">
      <c r="B20" s="2">
        <v>45481</v>
      </c>
      <c r="C20">
        <v>44.66</v>
      </c>
      <c r="D20">
        <v>555.28</v>
      </c>
      <c r="E20">
        <v>218.19</v>
      </c>
      <c r="F20">
        <v>28.93</v>
      </c>
      <c r="G20">
        <v>497.34</v>
      </c>
      <c r="H20">
        <v>23.46</v>
      </c>
      <c r="I20">
        <v>80.42</v>
      </c>
      <c r="J20">
        <v>92.76</v>
      </c>
      <c r="K20">
        <v>68.05</v>
      </c>
      <c r="L20">
        <v>61.05</v>
      </c>
      <c r="M20">
        <v>69.62</v>
      </c>
      <c r="N20">
        <v>150.34</v>
      </c>
      <c r="O20">
        <v>56.63</v>
      </c>
      <c r="P20">
        <v>202.28</v>
      </c>
      <c r="Q20">
        <v>26.23</v>
      </c>
      <c r="R20">
        <v>56755</v>
      </c>
      <c r="S20">
        <v>16.07</v>
      </c>
    </row>
    <row r="21" spans="2:19" x14ac:dyDescent="0.35">
      <c r="B21" s="2">
        <v>45478</v>
      </c>
      <c r="C21">
        <v>44.66</v>
      </c>
      <c r="D21">
        <v>554.64</v>
      </c>
      <c r="E21">
        <v>220.93</v>
      </c>
      <c r="F21">
        <v>28.88</v>
      </c>
      <c r="G21">
        <v>496.16</v>
      </c>
      <c r="H21">
        <v>23.78</v>
      </c>
      <c r="I21">
        <v>81.31</v>
      </c>
      <c r="J21">
        <v>92.56</v>
      </c>
      <c r="K21">
        <v>68.39</v>
      </c>
      <c r="L21">
        <v>60.78</v>
      </c>
      <c r="M21">
        <v>69.959999999999994</v>
      </c>
      <c r="N21">
        <v>150.5</v>
      </c>
      <c r="O21">
        <v>56.66</v>
      </c>
      <c r="P21">
        <v>200.87</v>
      </c>
      <c r="Q21">
        <v>26.44</v>
      </c>
      <c r="R21">
        <v>56685</v>
      </c>
      <c r="S21">
        <v>15.78</v>
      </c>
    </row>
    <row r="22" spans="2:19" x14ac:dyDescent="0.35">
      <c r="B22" s="2">
        <v>45476</v>
      </c>
      <c r="C22">
        <v>44.67</v>
      </c>
      <c r="D22">
        <v>551.46</v>
      </c>
      <c r="E22">
        <v>217.99</v>
      </c>
      <c r="F22">
        <v>28.98</v>
      </c>
      <c r="G22">
        <v>491.04</v>
      </c>
      <c r="H22">
        <v>23.69</v>
      </c>
      <c r="I22">
        <v>81.27</v>
      </c>
      <c r="J22">
        <v>91.8</v>
      </c>
      <c r="K22">
        <v>67.83</v>
      </c>
      <c r="L22">
        <v>60.11</v>
      </c>
      <c r="M22">
        <v>69.489999999999995</v>
      </c>
      <c r="N22">
        <v>149.59</v>
      </c>
      <c r="O22">
        <v>56.41</v>
      </c>
      <c r="P22">
        <v>201.83</v>
      </c>
      <c r="Q22">
        <v>26.9</v>
      </c>
      <c r="R22">
        <v>59825</v>
      </c>
      <c r="S22">
        <v>15.86</v>
      </c>
    </row>
    <row r="23" spans="2:19" x14ac:dyDescent="0.35">
      <c r="B23" s="2">
        <v>45475</v>
      </c>
      <c r="C23">
        <v>44.02</v>
      </c>
      <c r="D23">
        <v>549.01</v>
      </c>
      <c r="E23">
        <v>215.56</v>
      </c>
      <c r="F23">
        <v>29.1</v>
      </c>
      <c r="G23">
        <v>486.98</v>
      </c>
      <c r="H23">
        <v>23.56</v>
      </c>
      <c r="I23">
        <v>81.11</v>
      </c>
      <c r="J23">
        <v>90.61</v>
      </c>
      <c r="K23">
        <v>66.989999999999995</v>
      </c>
      <c r="L23">
        <v>59.35</v>
      </c>
      <c r="M23">
        <v>68.86</v>
      </c>
      <c r="N23">
        <v>148.58000000000001</v>
      </c>
      <c r="O23">
        <v>56.17</v>
      </c>
      <c r="P23">
        <v>201.88</v>
      </c>
      <c r="Q23">
        <v>26.43</v>
      </c>
      <c r="R23">
        <v>62185</v>
      </c>
      <c r="S23">
        <v>15.78</v>
      </c>
    </row>
    <row r="24" spans="2:19" x14ac:dyDescent="0.35">
      <c r="B24" s="2">
        <v>45474</v>
      </c>
      <c r="C24">
        <v>43.86</v>
      </c>
      <c r="D24">
        <v>545.34</v>
      </c>
      <c r="E24">
        <v>215.57</v>
      </c>
      <c r="F24">
        <v>29.14</v>
      </c>
      <c r="G24">
        <v>481.92</v>
      </c>
      <c r="H24">
        <v>23.53</v>
      </c>
      <c r="I24">
        <v>81.540000000000006</v>
      </c>
      <c r="J24">
        <v>89.91</v>
      </c>
      <c r="K24">
        <v>67.17</v>
      </c>
      <c r="L24">
        <v>59.21</v>
      </c>
      <c r="M24">
        <v>67.790000000000006</v>
      </c>
      <c r="N24">
        <v>147.81</v>
      </c>
      <c r="O24">
        <v>56.18</v>
      </c>
      <c r="P24">
        <v>201.19</v>
      </c>
      <c r="Q24">
        <v>26.08</v>
      </c>
      <c r="R24">
        <v>63695</v>
      </c>
      <c r="S24">
        <v>15.78</v>
      </c>
    </row>
    <row r="25" spans="2:19" x14ac:dyDescent="0.35">
      <c r="B25" s="2">
        <v>45471</v>
      </c>
      <c r="C25">
        <v>43.76</v>
      </c>
      <c r="D25">
        <v>544.22</v>
      </c>
      <c r="E25">
        <v>215.01</v>
      </c>
      <c r="F25">
        <v>29.13</v>
      </c>
      <c r="G25">
        <v>479.11</v>
      </c>
      <c r="H25">
        <v>23.23</v>
      </c>
      <c r="I25">
        <v>79.59</v>
      </c>
      <c r="J25">
        <v>91.78</v>
      </c>
      <c r="K25">
        <v>66.77</v>
      </c>
      <c r="L25">
        <v>59.2</v>
      </c>
      <c r="M25">
        <v>68.239999999999995</v>
      </c>
      <c r="N25">
        <v>147.49</v>
      </c>
      <c r="O25">
        <v>55.78</v>
      </c>
      <c r="P25">
        <v>202.89</v>
      </c>
      <c r="Q25">
        <v>25.99</v>
      </c>
      <c r="R25">
        <v>61024.23</v>
      </c>
      <c r="S25">
        <v>15.8</v>
      </c>
    </row>
    <row r="26" spans="2:19" x14ac:dyDescent="0.35">
      <c r="B26" s="2">
        <v>45470</v>
      </c>
      <c r="C26">
        <v>43.65</v>
      </c>
      <c r="D26">
        <v>546.37</v>
      </c>
      <c r="E26">
        <v>214.99</v>
      </c>
      <c r="F26">
        <v>29.13</v>
      </c>
      <c r="G26">
        <v>481.61</v>
      </c>
      <c r="H26">
        <v>23.33</v>
      </c>
      <c r="I26">
        <v>79.92</v>
      </c>
      <c r="J26">
        <v>93.52</v>
      </c>
      <c r="K26">
        <v>66.86</v>
      </c>
      <c r="L26">
        <v>59.02</v>
      </c>
      <c r="M26">
        <v>67.650000000000006</v>
      </c>
      <c r="N26">
        <v>147.74</v>
      </c>
      <c r="O26">
        <v>55.8</v>
      </c>
      <c r="P26">
        <v>202.06</v>
      </c>
      <c r="Q26">
        <v>25.89</v>
      </c>
      <c r="R26">
        <v>61365</v>
      </c>
      <c r="S26">
        <v>15.87</v>
      </c>
    </row>
    <row r="27" spans="2:19" x14ac:dyDescent="0.35">
      <c r="B27" s="2">
        <v>45469</v>
      </c>
      <c r="C27">
        <v>43.67</v>
      </c>
      <c r="D27">
        <v>545.51</v>
      </c>
      <c r="E27">
        <v>212.58</v>
      </c>
      <c r="F27">
        <v>29.17</v>
      </c>
      <c r="G27">
        <v>480.37</v>
      </c>
      <c r="H27">
        <v>23.21</v>
      </c>
      <c r="I27">
        <v>78.75</v>
      </c>
      <c r="J27">
        <v>93.15</v>
      </c>
      <c r="K27">
        <v>66.930000000000007</v>
      </c>
      <c r="L27">
        <v>58.56</v>
      </c>
      <c r="M27">
        <v>67.31</v>
      </c>
      <c r="N27">
        <v>147.69999999999999</v>
      </c>
      <c r="O27">
        <v>55.22</v>
      </c>
      <c r="P27">
        <v>200.03</v>
      </c>
      <c r="Q27">
        <v>26.52</v>
      </c>
      <c r="R27">
        <v>60940</v>
      </c>
      <c r="S27">
        <v>15.84</v>
      </c>
    </row>
    <row r="28" spans="2:19" x14ac:dyDescent="0.35">
      <c r="B28" s="2">
        <v>45468</v>
      </c>
      <c r="C28">
        <v>43.79</v>
      </c>
      <c r="D28">
        <v>544.83000000000004</v>
      </c>
      <c r="E28">
        <v>214.56</v>
      </c>
      <c r="F28">
        <v>29.03</v>
      </c>
      <c r="G28">
        <v>479.38</v>
      </c>
      <c r="H28">
        <v>23.17</v>
      </c>
      <c r="I28">
        <v>78.900000000000006</v>
      </c>
      <c r="J28">
        <v>94.5</v>
      </c>
      <c r="K28">
        <v>67.53</v>
      </c>
      <c r="L28">
        <v>58.73</v>
      </c>
      <c r="M28">
        <v>67.56</v>
      </c>
      <c r="N28">
        <v>147.78</v>
      </c>
      <c r="O28">
        <v>55.18</v>
      </c>
      <c r="P28">
        <v>200.56</v>
      </c>
      <c r="Q28">
        <v>26.51</v>
      </c>
      <c r="R28">
        <v>62055</v>
      </c>
      <c r="S28">
        <v>15.88</v>
      </c>
    </row>
    <row r="29" spans="2:19" x14ac:dyDescent="0.35">
      <c r="B29" s="2">
        <v>45467</v>
      </c>
      <c r="C29">
        <v>43.92</v>
      </c>
      <c r="D29">
        <v>542.74</v>
      </c>
      <c r="E29">
        <v>215.63</v>
      </c>
      <c r="F29">
        <v>29</v>
      </c>
      <c r="G29">
        <v>473.96</v>
      </c>
      <c r="H29">
        <v>23.39</v>
      </c>
      <c r="I29">
        <v>79.7</v>
      </c>
      <c r="J29">
        <v>94.34</v>
      </c>
      <c r="K29">
        <v>67.66</v>
      </c>
      <c r="L29">
        <v>58.64</v>
      </c>
      <c r="M29">
        <v>66.510000000000005</v>
      </c>
      <c r="N29">
        <v>147.27000000000001</v>
      </c>
      <c r="O29">
        <v>55.13</v>
      </c>
      <c r="P29">
        <v>201.22</v>
      </c>
      <c r="Q29">
        <v>26.72</v>
      </c>
      <c r="R29">
        <v>59145</v>
      </c>
      <c r="S29">
        <v>15.82</v>
      </c>
    </row>
    <row r="30" spans="2:19" x14ac:dyDescent="0.35">
      <c r="B30" s="2">
        <v>45464</v>
      </c>
      <c r="C30">
        <v>43.95</v>
      </c>
      <c r="D30">
        <v>544.51</v>
      </c>
      <c r="E30">
        <v>214.78</v>
      </c>
      <c r="F30">
        <v>29.1</v>
      </c>
      <c r="G30">
        <v>480.18</v>
      </c>
      <c r="H30">
        <v>23.2</v>
      </c>
      <c r="I30">
        <v>78.650000000000006</v>
      </c>
      <c r="J30">
        <v>93.96</v>
      </c>
      <c r="K30">
        <v>67.06</v>
      </c>
      <c r="L30">
        <v>58.78</v>
      </c>
      <c r="M30">
        <v>66.010000000000005</v>
      </c>
      <c r="N30">
        <v>147.22999999999999</v>
      </c>
      <c r="O30">
        <v>54.69</v>
      </c>
      <c r="P30">
        <v>200.35</v>
      </c>
      <c r="Q30">
        <v>26.42</v>
      </c>
      <c r="R30">
        <v>64260</v>
      </c>
      <c r="S30">
        <v>15.85</v>
      </c>
    </row>
    <row r="31" spans="2:19" x14ac:dyDescent="0.35">
      <c r="B31" s="2">
        <v>45463</v>
      </c>
      <c r="C31">
        <v>44.27</v>
      </c>
      <c r="D31">
        <v>547</v>
      </c>
      <c r="E31">
        <v>218.16</v>
      </c>
      <c r="F31">
        <v>29.03</v>
      </c>
      <c r="G31">
        <v>481.47</v>
      </c>
      <c r="H31">
        <v>23.39</v>
      </c>
      <c r="I31">
        <v>79.41</v>
      </c>
      <c r="J31">
        <v>93.96</v>
      </c>
      <c r="K31">
        <v>68.64</v>
      </c>
      <c r="L31">
        <v>58.93</v>
      </c>
      <c r="M31">
        <v>66.48</v>
      </c>
      <c r="N31">
        <v>147.72</v>
      </c>
      <c r="O31">
        <v>54.95</v>
      </c>
      <c r="P31">
        <v>199.9</v>
      </c>
      <c r="Q31">
        <v>26.88</v>
      </c>
      <c r="R31">
        <v>65100</v>
      </c>
      <c r="S31">
        <v>15.88</v>
      </c>
    </row>
    <row r="32" spans="2:19" x14ac:dyDescent="0.35">
      <c r="B32" s="2">
        <v>45461</v>
      </c>
      <c r="C32">
        <v>44.35</v>
      </c>
      <c r="D32">
        <v>548.49</v>
      </c>
      <c r="E32">
        <v>215.47</v>
      </c>
      <c r="F32">
        <v>28.91</v>
      </c>
      <c r="G32">
        <v>485.21</v>
      </c>
      <c r="H32">
        <v>23.34</v>
      </c>
      <c r="I32">
        <v>78.67</v>
      </c>
      <c r="J32">
        <v>94.59</v>
      </c>
      <c r="K32">
        <v>68.47</v>
      </c>
      <c r="L32">
        <v>58.96</v>
      </c>
      <c r="M32">
        <v>66.66</v>
      </c>
      <c r="N32">
        <v>147.96</v>
      </c>
      <c r="O32">
        <v>55.51</v>
      </c>
      <c r="P32">
        <v>200.75</v>
      </c>
      <c r="Q32">
        <v>26.56</v>
      </c>
      <c r="R32">
        <v>64475</v>
      </c>
      <c r="S32">
        <v>15.93</v>
      </c>
    </row>
    <row r="33" spans="2:19" x14ac:dyDescent="0.35">
      <c r="B33" s="2">
        <v>45460</v>
      </c>
      <c r="C33">
        <v>44</v>
      </c>
      <c r="D33">
        <v>547.1</v>
      </c>
      <c r="E33">
        <v>214.61</v>
      </c>
      <c r="F33">
        <v>28.92</v>
      </c>
      <c r="G33">
        <v>485.06</v>
      </c>
      <c r="H33">
        <v>23.15</v>
      </c>
      <c r="I33">
        <v>77.790000000000006</v>
      </c>
      <c r="J33">
        <v>93.73</v>
      </c>
      <c r="K33">
        <v>68.13</v>
      </c>
      <c r="L33">
        <v>58.3</v>
      </c>
      <c r="M33">
        <v>66.61</v>
      </c>
      <c r="N33">
        <v>147.47</v>
      </c>
      <c r="O33">
        <v>55.25</v>
      </c>
      <c r="P33">
        <v>200.4</v>
      </c>
      <c r="Q33">
        <v>26.5</v>
      </c>
      <c r="R33">
        <v>66865</v>
      </c>
      <c r="S33">
        <v>15.87</v>
      </c>
    </row>
    <row r="34" spans="2:19" x14ac:dyDescent="0.35">
      <c r="B34" s="2">
        <v>45457</v>
      </c>
      <c r="C34">
        <v>43.76</v>
      </c>
      <c r="D34">
        <v>542.78</v>
      </c>
      <c r="E34">
        <v>215.73</v>
      </c>
      <c r="F34">
        <v>28.99</v>
      </c>
      <c r="G34">
        <v>479.19</v>
      </c>
      <c r="H34">
        <v>23.07</v>
      </c>
      <c r="I34">
        <v>76.08</v>
      </c>
      <c r="J34">
        <v>94.67</v>
      </c>
      <c r="K34">
        <v>67.59</v>
      </c>
      <c r="L34">
        <v>57.99</v>
      </c>
      <c r="M34">
        <v>67.13</v>
      </c>
      <c r="N34">
        <v>146.58000000000001</v>
      </c>
      <c r="O34">
        <v>55.17</v>
      </c>
      <c r="P34">
        <v>198.73</v>
      </c>
      <c r="Q34">
        <v>26.17</v>
      </c>
      <c r="R34">
        <v>65640</v>
      </c>
      <c r="S34">
        <v>15.81</v>
      </c>
    </row>
    <row r="35" spans="2:19" x14ac:dyDescent="0.35">
      <c r="B35" s="2">
        <v>45456</v>
      </c>
      <c r="C35">
        <v>43.64</v>
      </c>
      <c r="D35">
        <v>542.45000000000005</v>
      </c>
      <c r="E35">
        <v>212.97</v>
      </c>
      <c r="F35">
        <v>28.86</v>
      </c>
      <c r="G35">
        <v>476.72</v>
      </c>
      <c r="H35">
        <v>23.16</v>
      </c>
      <c r="I35">
        <v>75.739999999999995</v>
      </c>
      <c r="J35">
        <v>93.88</v>
      </c>
      <c r="K35">
        <v>68.709999999999994</v>
      </c>
      <c r="L35">
        <v>57.8</v>
      </c>
      <c r="M35">
        <v>67.150000000000006</v>
      </c>
      <c r="N35">
        <v>147.01</v>
      </c>
      <c r="O35">
        <v>54.6</v>
      </c>
      <c r="P35">
        <v>201.94</v>
      </c>
      <c r="Q35">
        <v>26.39</v>
      </c>
      <c r="R35">
        <v>66860</v>
      </c>
      <c r="S35">
        <v>15.81</v>
      </c>
    </row>
    <row r="36" spans="2:19" x14ac:dyDescent="0.35">
      <c r="B36" s="2">
        <v>45455</v>
      </c>
      <c r="C36">
        <v>43.69</v>
      </c>
      <c r="D36">
        <v>541.36</v>
      </c>
      <c r="E36">
        <v>214.72</v>
      </c>
      <c r="F36">
        <v>28.75</v>
      </c>
      <c r="G36">
        <v>474.15</v>
      </c>
      <c r="H36">
        <v>23.14</v>
      </c>
      <c r="I36">
        <v>75.98</v>
      </c>
      <c r="J36">
        <v>92.52</v>
      </c>
      <c r="K36">
        <v>69.78</v>
      </c>
      <c r="L36">
        <v>57.94</v>
      </c>
      <c r="M36">
        <v>68.39</v>
      </c>
      <c r="N36">
        <v>147.33000000000001</v>
      </c>
      <c r="O36">
        <v>54.67</v>
      </c>
      <c r="P36">
        <v>203.72</v>
      </c>
      <c r="Q36">
        <v>26.41</v>
      </c>
      <c r="R36">
        <v>67875</v>
      </c>
      <c r="S36">
        <v>15.78</v>
      </c>
    </row>
    <row r="37" spans="2:19" x14ac:dyDescent="0.35">
      <c r="B37" s="2">
        <v>45454</v>
      </c>
      <c r="C37">
        <v>43.35</v>
      </c>
      <c r="D37">
        <v>536.95000000000005</v>
      </c>
      <c r="E37">
        <v>214.15</v>
      </c>
      <c r="F37">
        <v>28.88</v>
      </c>
      <c r="G37">
        <v>468.02</v>
      </c>
      <c r="H37">
        <v>23.06</v>
      </c>
      <c r="I37">
        <v>75.510000000000005</v>
      </c>
      <c r="J37">
        <v>91.83</v>
      </c>
      <c r="K37">
        <v>68.7</v>
      </c>
      <c r="L37">
        <v>57.21</v>
      </c>
      <c r="M37">
        <v>68.06</v>
      </c>
      <c r="N37">
        <v>145.97</v>
      </c>
      <c r="O37">
        <v>54.26</v>
      </c>
      <c r="P37">
        <v>200.64</v>
      </c>
      <c r="Q37">
        <v>26.47</v>
      </c>
      <c r="R37">
        <v>67735</v>
      </c>
      <c r="S37">
        <v>15.65</v>
      </c>
    </row>
    <row r="38" spans="2:19" x14ac:dyDescent="0.35">
      <c r="B38" s="2">
        <v>45453</v>
      </c>
      <c r="C38">
        <v>43.45</v>
      </c>
      <c r="D38">
        <v>535.66</v>
      </c>
      <c r="E38">
        <v>213.54</v>
      </c>
      <c r="F38">
        <v>28.84</v>
      </c>
      <c r="G38">
        <v>464.83</v>
      </c>
      <c r="H38">
        <v>23.09</v>
      </c>
      <c r="I38">
        <v>75.459999999999994</v>
      </c>
      <c r="J38">
        <v>90.89</v>
      </c>
      <c r="K38">
        <v>69.540000000000006</v>
      </c>
      <c r="L38">
        <v>57.88</v>
      </c>
      <c r="M38">
        <v>69.34</v>
      </c>
      <c r="N38">
        <v>147.36000000000001</v>
      </c>
      <c r="O38">
        <v>54.15</v>
      </c>
      <c r="P38">
        <v>201.89</v>
      </c>
      <c r="Q38">
        <v>26.75</v>
      </c>
      <c r="R38">
        <v>69875</v>
      </c>
      <c r="S38">
        <v>15.59</v>
      </c>
    </row>
    <row r="39" spans="2:19" x14ac:dyDescent="0.35">
      <c r="B39" s="2">
        <v>45450</v>
      </c>
      <c r="C39">
        <v>43.22</v>
      </c>
      <c r="D39">
        <v>534.01</v>
      </c>
      <c r="E39">
        <v>211.6</v>
      </c>
      <c r="F39">
        <v>28.77</v>
      </c>
      <c r="G39">
        <v>462.96</v>
      </c>
      <c r="H39">
        <v>22.76</v>
      </c>
      <c r="I39">
        <v>73.02</v>
      </c>
      <c r="J39">
        <v>91.5</v>
      </c>
      <c r="K39">
        <v>69.75</v>
      </c>
      <c r="L39">
        <v>57.5</v>
      </c>
      <c r="M39">
        <v>68.73</v>
      </c>
      <c r="N39">
        <v>147.03</v>
      </c>
      <c r="O39">
        <v>53.99</v>
      </c>
      <c r="P39">
        <v>201.2</v>
      </c>
      <c r="Q39">
        <v>26.5</v>
      </c>
      <c r="R39">
        <v>69755</v>
      </c>
      <c r="S39">
        <v>15.59</v>
      </c>
    </row>
    <row r="40" spans="2:19" x14ac:dyDescent="0.35">
      <c r="B40" s="2">
        <v>45449</v>
      </c>
      <c r="C40">
        <v>43.58</v>
      </c>
      <c r="D40">
        <v>534.66</v>
      </c>
      <c r="E40">
        <v>219.43</v>
      </c>
      <c r="F40">
        <v>28.53</v>
      </c>
      <c r="G40">
        <v>463.37</v>
      </c>
      <c r="H40">
        <v>23.09</v>
      </c>
      <c r="I40">
        <v>73.260000000000005</v>
      </c>
      <c r="J40">
        <v>93.21</v>
      </c>
      <c r="K40">
        <v>70.67</v>
      </c>
      <c r="L40">
        <v>57.95</v>
      </c>
      <c r="M40">
        <v>69.239999999999995</v>
      </c>
      <c r="N40">
        <v>147.65</v>
      </c>
      <c r="O40">
        <v>53.36</v>
      </c>
      <c r="P40">
        <v>203.59</v>
      </c>
      <c r="Q40">
        <v>27.19</v>
      </c>
      <c r="R40">
        <v>70960</v>
      </c>
      <c r="S40">
        <v>15.67</v>
      </c>
    </row>
    <row r="41" spans="2:19" x14ac:dyDescent="0.35">
      <c r="B41" s="2">
        <v>45448</v>
      </c>
      <c r="C41">
        <v>43.38</v>
      </c>
      <c r="D41">
        <v>534.66999999999996</v>
      </c>
      <c r="E41">
        <v>217.82</v>
      </c>
      <c r="F41">
        <v>28.57</v>
      </c>
      <c r="G41">
        <v>463.53</v>
      </c>
      <c r="H41">
        <v>22.79</v>
      </c>
      <c r="I41">
        <v>71.89</v>
      </c>
      <c r="J41">
        <v>93.35</v>
      </c>
      <c r="K41">
        <v>70.39</v>
      </c>
      <c r="L41">
        <v>57.56</v>
      </c>
      <c r="M41">
        <v>69.28</v>
      </c>
      <c r="N41">
        <v>147.56</v>
      </c>
      <c r="O41">
        <v>53.12</v>
      </c>
      <c r="P41">
        <v>205.06</v>
      </c>
      <c r="Q41">
        <v>27.2</v>
      </c>
      <c r="R41">
        <v>71890</v>
      </c>
      <c r="S41">
        <v>15.67</v>
      </c>
    </row>
    <row r="42" spans="2:19" x14ac:dyDescent="0.35">
      <c r="B42" s="2">
        <v>45447</v>
      </c>
      <c r="C42">
        <v>42.83</v>
      </c>
      <c r="D42">
        <v>528.39</v>
      </c>
      <c r="E42">
        <v>215.27</v>
      </c>
      <c r="F42">
        <v>28.53</v>
      </c>
      <c r="G42">
        <v>454.37</v>
      </c>
      <c r="H42">
        <v>22.71</v>
      </c>
      <c r="I42">
        <v>71.09</v>
      </c>
      <c r="J42">
        <v>92.67</v>
      </c>
      <c r="K42">
        <v>69.72</v>
      </c>
      <c r="L42">
        <v>56.37</v>
      </c>
      <c r="M42">
        <v>69.48</v>
      </c>
      <c r="N42">
        <v>146.03</v>
      </c>
      <c r="O42">
        <v>51.46</v>
      </c>
      <c r="P42">
        <v>201.97</v>
      </c>
      <c r="Q42">
        <v>26.97</v>
      </c>
      <c r="R42">
        <v>71085</v>
      </c>
      <c r="S42">
        <v>15.53</v>
      </c>
    </row>
    <row r="43" spans="2:19" x14ac:dyDescent="0.35">
      <c r="B43" s="2">
        <v>45446</v>
      </c>
      <c r="C43">
        <v>43.51</v>
      </c>
      <c r="D43">
        <v>527.79999999999995</v>
      </c>
      <c r="E43">
        <v>217.22</v>
      </c>
      <c r="F43">
        <v>28.52</v>
      </c>
      <c r="G43">
        <v>453.13</v>
      </c>
      <c r="H43">
        <v>22.94</v>
      </c>
      <c r="I43">
        <v>71.83</v>
      </c>
      <c r="J43">
        <v>91.6</v>
      </c>
      <c r="K43">
        <v>69.94</v>
      </c>
      <c r="L43">
        <v>57.69</v>
      </c>
      <c r="M43">
        <v>69.400000000000006</v>
      </c>
      <c r="N43">
        <v>146.06</v>
      </c>
      <c r="O43">
        <v>54.8</v>
      </c>
      <c r="P43">
        <v>204.61</v>
      </c>
      <c r="Q43">
        <v>26.76</v>
      </c>
      <c r="R43">
        <v>69660</v>
      </c>
      <c r="S43">
        <v>15.51</v>
      </c>
    </row>
    <row r="44" spans="2:19" x14ac:dyDescent="0.35">
      <c r="B44" s="2">
        <v>45443</v>
      </c>
      <c r="C44">
        <v>43.08</v>
      </c>
      <c r="D44">
        <v>527.37</v>
      </c>
      <c r="E44">
        <v>215.3</v>
      </c>
      <c r="F44">
        <v>28.67</v>
      </c>
      <c r="G44">
        <v>450.71</v>
      </c>
      <c r="H44">
        <v>23.27</v>
      </c>
      <c r="I44">
        <v>74.819999999999993</v>
      </c>
      <c r="J44">
        <v>90.45</v>
      </c>
      <c r="K44">
        <v>69.849999999999994</v>
      </c>
      <c r="L44">
        <v>56.9</v>
      </c>
      <c r="M44">
        <v>68.97</v>
      </c>
      <c r="N44">
        <v>145.71</v>
      </c>
      <c r="O44">
        <v>53.01</v>
      </c>
      <c r="P44">
        <v>205.77</v>
      </c>
      <c r="Q44">
        <v>26.63</v>
      </c>
      <c r="R44">
        <v>67633.73</v>
      </c>
      <c r="S44">
        <v>15.47</v>
      </c>
    </row>
    <row r="45" spans="2:19" x14ac:dyDescent="0.35">
      <c r="B45" s="2">
        <v>45442</v>
      </c>
      <c r="C45">
        <v>43.45</v>
      </c>
      <c r="D45">
        <v>522.61</v>
      </c>
      <c r="E45">
        <v>216.57</v>
      </c>
      <c r="F45">
        <v>28.69</v>
      </c>
      <c r="G45">
        <v>451.55</v>
      </c>
      <c r="H45">
        <v>23.38</v>
      </c>
      <c r="I45">
        <v>75.53</v>
      </c>
      <c r="J45">
        <v>89.84</v>
      </c>
      <c r="K45">
        <v>69.209999999999994</v>
      </c>
      <c r="L45">
        <v>57.23</v>
      </c>
      <c r="M45">
        <v>68.06</v>
      </c>
      <c r="N45">
        <v>144.63</v>
      </c>
      <c r="O45">
        <v>53.03</v>
      </c>
      <c r="P45">
        <v>204.05</v>
      </c>
      <c r="Q45">
        <v>27.15</v>
      </c>
      <c r="R45">
        <v>68675</v>
      </c>
      <c r="S45">
        <v>15.37</v>
      </c>
    </row>
    <row r="46" spans="2:19" x14ac:dyDescent="0.35">
      <c r="B46" s="2">
        <v>45441</v>
      </c>
      <c r="C46">
        <v>43.53</v>
      </c>
      <c r="D46">
        <v>526.1</v>
      </c>
      <c r="E46">
        <v>216.16</v>
      </c>
      <c r="F46">
        <v>28.78</v>
      </c>
      <c r="G46">
        <v>456.44</v>
      </c>
      <c r="H46">
        <v>23.69</v>
      </c>
      <c r="I46">
        <v>76.569999999999993</v>
      </c>
      <c r="J46">
        <v>88.98</v>
      </c>
      <c r="K46">
        <v>68.56</v>
      </c>
      <c r="L46">
        <v>57.48</v>
      </c>
      <c r="M46">
        <v>67.47</v>
      </c>
      <c r="N46">
        <v>144.82</v>
      </c>
      <c r="O46">
        <v>53.28</v>
      </c>
      <c r="P46">
        <v>202.13</v>
      </c>
      <c r="Q46">
        <v>27.12</v>
      </c>
      <c r="R46">
        <v>67185</v>
      </c>
      <c r="S46">
        <v>15.4</v>
      </c>
    </row>
    <row r="47" spans="2:19" x14ac:dyDescent="0.35">
      <c r="B47" s="2">
        <v>45440</v>
      </c>
      <c r="C47">
        <v>44.08</v>
      </c>
      <c r="D47">
        <v>529.80999999999995</v>
      </c>
      <c r="E47">
        <v>218.19</v>
      </c>
      <c r="F47">
        <v>28.62</v>
      </c>
      <c r="G47">
        <v>459.68</v>
      </c>
      <c r="H47">
        <v>23.94</v>
      </c>
      <c r="I47">
        <v>77.66</v>
      </c>
      <c r="J47">
        <v>90.07</v>
      </c>
      <c r="K47">
        <v>69.59</v>
      </c>
      <c r="L47">
        <v>58.48</v>
      </c>
      <c r="M47">
        <v>68.849999999999994</v>
      </c>
      <c r="N47">
        <v>146.34</v>
      </c>
      <c r="O47">
        <v>53.56</v>
      </c>
      <c r="P47">
        <v>205.16</v>
      </c>
      <c r="Q47">
        <v>27.56</v>
      </c>
      <c r="R47">
        <v>68455</v>
      </c>
      <c r="S47">
        <v>15.52</v>
      </c>
    </row>
    <row r="48" spans="2:19" x14ac:dyDescent="0.35">
      <c r="B48" s="2">
        <v>45436</v>
      </c>
      <c r="C48">
        <v>44.2</v>
      </c>
      <c r="D48">
        <v>529.44000000000005</v>
      </c>
      <c r="E48">
        <v>215.92</v>
      </c>
      <c r="F48">
        <v>28.66</v>
      </c>
      <c r="G48">
        <v>457.95</v>
      </c>
      <c r="H48">
        <v>23.52</v>
      </c>
      <c r="I48">
        <v>75.349999999999994</v>
      </c>
      <c r="J48">
        <v>91.38</v>
      </c>
      <c r="K48">
        <v>69.72</v>
      </c>
      <c r="L48">
        <v>58.57</v>
      </c>
      <c r="M48">
        <v>68.459999999999994</v>
      </c>
      <c r="N48">
        <v>146.31</v>
      </c>
      <c r="O48">
        <v>54.07</v>
      </c>
      <c r="P48">
        <v>205.44</v>
      </c>
      <c r="Q48">
        <v>27.58</v>
      </c>
      <c r="R48">
        <v>69475</v>
      </c>
      <c r="S48">
        <v>15.53</v>
      </c>
    </row>
    <row r="49" spans="2:19" x14ac:dyDescent="0.35">
      <c r="B49" s="2">
        <v>45435</v>
      </c>
      <c r="C49">
        <v>44.06</v>
      </c>
      <c r="D49">
        <v>525.96</v>
      </c>
      <c r="E49">
        <v>215.72</v>
      </c>
      <c r="F49">
        <v>28.75</v>
      </c>
      <c r="G49">
        <v>453.66</v>
      </c>
      <c r="H49">
        <v>23.36</v>
      </c>
      <c r="I49">
        <v>74.45</v>
      </c>
      <c r="J49">
        <v>91.11</v>
      </c>
      <c r="K49">
        <v>69.180000000000007</v>
      </c>
      <c r="L49">
        <v>58.28</v>
      </c>
      <c r="M49">
        <v>67.72</v>
      </c>
      <c r="N49">
        <v>145.30000000000001</v>
      </c>
      <c r="O49">
        <v>53.81</v>
      </c>
      <c r="P49">
        <v>203.19</v>
      </c>
      <c r="Q49">
        <v>27.63</v>
      </c>
      <c r="R49">
        <v>67205</v>
      </c>
      <c r="S49">
        <v>15.45</v>
      </c>
    </row>
    <row r="50" spans="2:19" x14ac:dyDescent="0.35">
      <c r="B50" s="2">
        <v>45434</v>
      </c>
      <c r="C50">
        <v>44.4</v>
      </c>
      <c r="D50">
        <v>529.83000000000004</v>
      </c>
      <c r="E50">
        <v>220.11</v>
      </c>
      <c r="F50">
        <v>28.69</v>
      </c>
      <c r="G50">
        <v>455.71</v>
      </c>
      <c r="H50">
        <v>23.48</v>
      </c>
      <c r="I50">
        <v>74.87</v>
      </c>
      <c r="J50">
        <v>91.7</v>
      </c>
      <c r="K50">
        <v>69.5</v>
      </c>
      <c r="L50">
        <v>58.46</v>
      </c>
      <c r="M50">
        <v>68.02</v>
      </c>
      <c r="N50">
        <v>146.31</v>
      </c>
      <c r="O50">
        <v>53.29</v>
      </c>
      <c r="P50">
        <v>206.58</v>
      </c>
      <c r="Q50">
        <v>28.2</v>
      </c>
      <c r="R50">
        <v>69815</v>
      </c>
      <c r="S50">
        <v>15.52</v>
      </c>
    </row>
    <row r="51" spans="2:19" x14ac:dyDescent="0.35">
      <c r="B51" s="2">
        <v>45433</v>
      </c>
      <c r="C51">
        <v>44.53</v>
      </c>
      <c r="D51">
        <v>531.36</v>
      </c>
      <c r="E51">
        <v>224.23</v>
      </c>
      <c r="F51">
        <v>28.6</v>
      </c>
      <c r="G51">
        <v>455.8</v>
      </c>
      <c r="H51">
        <v>23.82</v>
      </c>
      <c r="I51">
        <v>76.16</v>
      </c>
      <c r="J51">
        <v>91.59</v>
      </c>
      <c r="K51">
        <v>70.05</v>
      </c>
      <c r="L51">
        <v>58.53</v>
      </c>
      <c r="M51">
        <v>68.819999999999993</v>
      </c>
      <c r="N51">
        <v>147.02000000000001</v>
      </c>
      <c r="O51">
        <v>53.21</v>
      </c>
      <c r="P51">
        <v>208.34</v>
      </c>
      <c r="Q51">
        <v>28.56</v>
      </c>
      <c r="R51">
        <v>69500</v>
      </c>
      <c r="S51">
        <v>15.57</v>
      </c>
    </row>
    <row r="52" spans="2:19" x14ac:dyDescent="0.35">
      <c r="B52" s="2">
        <v>45432</v>
      </c>
      <c r="C52">
        <v>44.79</v>
      </c>
      <c r="D52">
        <v>530.05999999999995</v>
      </c>
      <c r="E52">
        <v>224.56</v>
      </c>
      <c r="F52">
        <v>28.6</v>
      </c>
      <c r="G52">
        <v>454.91</v>
      </c>
      <c r="H52">
        <v>23.92</v>
      </c>
      <c r="I52">
        <v>76.73</v>
      </c>
      <c r="J52">
        <v>91.12</v>
      </c>
      <c r="K52">
        <v>70.06</v>
      </c>
      <c r="L52">
        <v>58.7</v>
      </c>
      <c r="M52">
        <v>69.22</v>
      </c>
      <c r="N52">
        <v>146.78</v>
      </c>
      <c r="O52">
        <v>53.12</v>
      </c>
      <c r="P52">
        <v>208.54</v>
      </c>
      <c r="Q52">
        <v>29.01</v>
      </c>
      <c r="R52">
        <v>70435</v>
      </c>
      <c r="S52">
        <v>15.55</v>
      </c>
    </row>
    <row r="53" spans="2:19" x14ac:dyDescent="0.35">
      <c r="B53" s="2">
        <v>45429</v>
      </c>
      <c r="C53">
        <v>44.89</v>
      </c>
      <c r="D53">
        <v>529.45000000000005</v>
      </c>
      <c r="E53">
        <v>223.66</v>
      </c>
      <c r="F53">
        <v>28.56</v>
      </c>
      <c r="G53">
        <v>451.76</v>
      </c>
      <c r="H53">
        <v>23.71</v>
      </c>
      <c r="I53">
        <v>76.97</v>
      </c>
      <c r="J53">
        <v>91.39</v>
      </c>
      <c r="K53">
        <v>70.09</v>
      </c>
      <c r="L53">
        <v>58.8</v>
      </c>
      <c r="M53">
        <v>68.73</v>
      </c>
      <c r="N53">
        <v>146.72999999999999</v>
      </c>
      <c r="O53">
        <v>52.97</v>
      </c>
      <c r="P53">
        <v>208.08</v>
      </c>
      <c r="Q53">
        <v>29.33</v>
      </c>
      <c r="R53">
        <v>67365</v>
      </c>
      <c r="S53">
        <v>15.53</v>
      </c>
    </row>
    <row r="54" spans="2:19" x14ac:dyDescent="0.35">
      <c r="B54" s="2">
        <v>45428</v>
      </c>
      <c r="C54">
        <v>44.57</v>
      </c>
      <c r="D54">
        <v>528.69000000000005</v>
      </c>
      <c r="E54">
        <v>220.03</v>
      </c>
      <c r="F54">
        <v>28.56</v>
      </c>
      <c r="G54">
        <v>451.98</v>
      </c>
      <c r="H54">
        <v>23.47</v>
      </c>
      <c r="I54">
        <v>76.25</v>
      </c>
      <c r="J54">
        <v>92.01</v>
      </c>
      <c r="K54">
        <v>69.900000000000006</v>
      </c>
      <c r="L54">
        <v>58.61</v>
      </c>
      <c r="M54">
        <v>68.27</v>
      </c>
      <c r="N54">
        <v>146.44</v>
      </c>
      <c r="O54">
        <v>52.53</v>
      </c>
      <c r="P54">
        <v>207.93</v>
      </c>
      <c r="Q54">
        <v>29.16</v>
      </c>
      <c r="R54">
        <v>65445</v>
      </c>
      <c r="S54">
        <v>15.53</v>
      </c>
    </row>
    <row r="55" spans="2:19" x14ac:dyDescent="0.35">
      <c r="B55" s="2">
        <v>45427</v>
      </c>
      <c r="C55">
        <v>44.4</v>
      </c>
      <c r="D55">
        <v>529.78</v>
      </c>
      <c r="E55">
        <v>220.89</v>
      </c>
      <c r="F55">
        <v>28.49</v>
      </c>
      <c r="G55">
        <v>452.9</v>
      </c>
      <c r="H55">
        <v>23.41</v>
      </c>
      <c r="I55">
        <v>75.88</v>
      </c>
      <c r="J55">
        <v>92.1</v>
      </c>
      <c r="K55">
        <v>70.31</v>
      </c>
      <c r="L55">
        <v>58.78</v>
      </c>
      <c r="M55">
        <v>68.97</v>
      </c>
      <c r="N55">
        <v>146.80000000000001</v>
      </c>
      <c r="O55">
        <v>52.33</v>
      </c>
      <c r="P55">
        <v>209.44</v>
      </c>
      <c r="Q55">
        <v>28.33</v>
      </c>
      <c r="R55">
        <v>66495</v>
      </c>
      <c r="S55">
        <v>15.57</v>
      </c>
    </row>
    <row r="56" spans="2:19" x14ac:dyDescent="0.35">
      <c r="B56" s="2">
        <v>45426</v>
      </c>
      <c r="C56">
        <v>44.02</v>
      </c>
      <c r="D56">
        <v>523.29999999999995</v>
      </c>
      <c r="E56">
        <v>218.09</v>
      </c>
      <c r="F56">
        <v>28.67</v>
      </c>
      <c r="G56">
        <v>445.93</v>
      </c>
      <c r="H56">
        <v>23.33</v>
      </c>
      <c r="I56">
        <v>75.209999999999994</v>
      </c>
      <c r="J56">
        <v>90.86</v>
      </c>
      <c r="K56">
        <v>69.55</v>
      </c>
      <c r="L56">
        <v>58.19</v>
      </c>
      <c r="M56">
        <v>68.209999999999994</v>
      </c>
      <c r="N56">
        <v>145.13999999999999</v>
      </c>
      <c r="O56">
        <v>52.15</v>
      </c>
      <c r="P56">
        <v>206.86</v>
      </c>
      <c r="Q56">
        <v>28.01</v>
      </c>
      <c r="R56">
        <v>61835</v>
      </c>
      <c r="S56">
        <v>15.4</v>
      </c>
    </row>
    <row r="57" spans="2:19" x14ac:dyDescent="0.35">
      <c r="B57" s="2">
        <v>45425</v>
      </c>
      <c r="C57">
        <v>43.8</v>
      </c>
      <c r="D57">
        <v>520.91</v>
      </c>
      <c r="E57">
        <v>216.26</v>
      </c>
      <c r="F57">
        <v>28.73</v>
      </c>
      <c r="G57">
        <v>443.08</v>
      </c>
      <c r="H57">
        <v>23.43</v>
      </c>
      <c r="I57">
        <v>76.13</v>
      </c>
      <c r="J57">
        <v>90.35</v>
      </c>
      <c r="K57">
        <v>68.97</v>
      </c>
      <c r="L57">
        <v>57.64</v>
      </c>
      <c r="M57">
        <v>67.680000000000007</v>
      </c>
      <c r="N57">
        <v>144.29</v>
      </c>
      <c r="O57">
        <v>51.72</v>
      </c>
      <c r="P57">
        <v>204.74</v>
      </c>
      <c r="Q57">
        <v>28.36</v>
      </c>
      <c r="R57">
        <v>63480</v>
      </c>
      <c r="S57">
        <v>15.34</v>
      </c>
    </row>
    <row r="58" spans="2:19" x14ac:dyDescent="0.35">
      <c r="B58" s="2">
        <v>45422</v>
      </c>
      <c r="C58">
        <v>43.46</v>
      </c>
      <c r="D58">
        <v>520.84</v>
      </c>
      <c r="E58">
        <v>218.71</v>
      </c>
      <c r="F58">
        <v>28.74</v>
      </c>
      <c r="G58">
        <v>442.06</v>
      </c>
      <c r="H58">
        <v>23.28</v>
      </c>
      <c r="I58">
        <v>75.3</v>
      </c>
      <c r="J58">
        <v>90.12</v>
      </c>
      <c r="K58">
        <v>68.930000000000007</v>
      </c>
      <c r="L58">
        <v>57.51</v>
      </c>
      <c r="M58">
        <v>67.95</v>
      </c>
      <c r="N58">
        <v>144.38</v>
      </c>
      <c r="O58">
        <v>51.37</v>
      </c>
      <c r="P58">
        <v>204.31</v>
      </c>
      <c r="Q58">
        <v>27.77</v>
      </c>
      <c r="R58">
        <v>60950</v>
      </c>
      <c r="S58">
        <v>15.33</v>
      </c>
    </row>
    <row r="59" spans="2:19" x14ac:dyDescent="0.35">
      <c r="B59" s="2">
        <v>45421</v>
      </c>
      <c r="C59">
        <v>43.37</v>
      </c>
      <c r="D59">
        <v>520.16999999999996</v>
      </c>
      <c r="E59">
        <v>216.95</v>
      </c>
      <c r="F59">
        <v>28.7</v>
      </c>
      <c r="G59">
        <v>441.02</v>
      </c>
      <c r="H59">
        <v>23.32</v>
      </c>
      <c r="I59">
        <v>76.52</v>
      </c>
      <c r="J59">
        <v>90.63</v>
      </c>
      <c r="K59">
        <v>68.62</v>
      </c>
      <c r="L59">
        <v>57.47</v>
      </c>
      <c r="M59">
        <v>68.34</v>
      </c>
      <c r="N59">
        <v>144.13999999999999</v>
      </c>
      <c r="O59">
        <v>51.57</v>
      </c>
      <c r="P59">
        <v>205.86</v>
      </c>
      <c r="Q59">
        <v>27.4</v>
      </c>
      <c r="R59">
        <v>62840</v>
      </c>
      <c r="S59">
        <v>15.33</v>
      </c>
    </row>
    <row r="60" spans="2:19" x14ac:dyDescent="0.35">
      <c r="B60" s="2">
        <v>45420</v>
      </c>
      <c r="C60">
        <v>43.2</v>
      </c>
      <c r="D60">
        <v>517.19000000000005</v>
      </c>
      <c r="E60">
        <v>213.58</v>
      </c>
      <c r="F60">
        <v>28.8</v>
      </c>
      <c r="G60">
        <v>440.06</v>
      </c>
      <c r="H60">
        <v>23.23</v>
      </c>
      <c r="I60">
        <v>76.11</v>
      </c>
      <c r="J60">
        <v>90.19</v>
      </c>
      <c r="K60">
        <v>68.02</v>
      </c>
      <c r="L60">
        <v>57.61</v>
      </c>
      <c r="M60">
        <v>68.040000000000006</v>
      </c>
      <c r="N60">
        <v>143.31</v>
      </c>
      <c r="O60">
        <v>52.02</v>
      </c>
      <c r="P60">
        <v>203.78</v>
      </c>
      <c r="Q60">
        <v>26.82</v>
      </c>
      <c r="R60">
        <v>62460</v>
      </c>
      <c r="S60">
        <v>15.27</v>
      </c>
    </row>
    <row r="61" spans="2:19" x14ac:dyDescent="0.35">
      <c r="B61" s="2">
        <v>45419</v>
      </c>
      <c r="C61">
        <v>43.24</v>
      </c>
      <c r="D61">
        <v>517.14</v>
      </c>
      <c r="E61">
        <v>214.21</v>
      </c>
      <c r="F61">
        <v>28.76</v>
      </c>
      <c r="G61">
        <v>440.32</v>
      </c>
      <c r="H61">
        <v>23.35</v>
      </c>
      <c r="I61">
        <v>75.5</v>
      </c>
      <c r="J61">
        <v>90.74</v>
      </c>
      <c r="K61">
        <v>67.77</v>
      </c>
      <c r="L61">
        <v>57.49</v>
      </c>
      <c r="M61">
        <v>68.91</v>
      </c>
      <c r="N61">
        <v>143.32</v>
      </c>
      <c r="O61">
        <v>51.91</v>
      </c>
      <c r="P61">
        <v>204.97</v>
      </c>
      <c r="Q61">
        <v>26.92</v>
      </c>
      <c r="R61">
        <v>63365</v>
      </c>
      <c r="S61">
        <v>15.28</v>
      </c>
    </row>
    <row r="62" spans="2:19" x14ac:dyDescent="0.35">
      <c r="B62" s="2">
        <v>45418</v>
      </c>
      <c r="C62">
        <v>43.55</v>
      </c>
      <c r="D62">
        <v>516.57000000000005</v>
      </c>
      <c r="E62">
        <v>215.2</v>
      </c>
      <c r="F62">
        <v>28.68</v>
      </c>
      <c r="G62">
        <v>440.25</v>
      </c>
      <c r="H62">
        <v>23.37</v>
      </c>
      <c r="I62">
        <v>75.66</v>
      </c>
      <c r="J62">
        <v>90.19</v>
      </c>
      <c r="K62">
        <v>67.33</v>
      </c>
      <c r="L62">
        <v>57.78</v>
      </c>
      <c r="M62">
        <v>69.67</v>
      </c>
      <c r="N62">
        <v>143.16999999999999</v>
      </c>
      <c r="O62">
        <v>52.37</v>
      </c>
      <c r="P62">
        <v>204.51</v>
      </c>
      <c r="Q62">
        <v>27.31</v>
      </c>
      <c r="R62">
        <v>63585</v>
      </c>
      <c r="S62">
        <v>15.26</v>
      </c>
    </row>
    <row r="63" spans="2:19" x14ac:dyDescent="0.35">
      <c r="B63" s="2">
        <v>45415</v>
      </c>
      <c r="C63">
        <v>43.63</v>
      </c>
      <c r="D63">
        <v>511.29</v>
      </c>
      <c r="E63">
        <v>212.96</v>
      </c>
      <c r="F63">
        <v>28.65</v>
      </c>
      <c r="G63">
        <v>435.48</v>
      </c>
      <c r="H63">
        <v>23.11</v>
      </c>
      <c r="I63">
        <v>75.13</v>
      </c>
      <c r="J63">
        <v>89.84</v>
      </c>
      <c r="K63">
        <v>66.790000000000006</v>
      </c>
      <c r="L63">
        <v>57.7</v>
      </c>
      <c r="M63">
        <v>69.260000000000005</v>
      </c>
      <c r="N63">
        <v>141.78</v>
      </c>
      <c r="O63">
        <v>52.73</v>
      </c>
      <c r="P63">
        <v>201.9</v>
      </c>
      <c r="Q63">
        <v>27.33</v>
      </c>
      <c r="R63">
        <v>62590</v>
      </c>
      <c r="S63">
        <v>15.15</v>
      </c>
    </row>
    <row r="64" spans="2:19" x14ac:dyDescent="0.35">
      <c r="B64" s="2">
        <v>45414</v>
      </c>
      <c r="C64">
        <v>43.25</v>
      </c>
      <c r="D64">
        <v>505.03</v>
      </c>
      <c r="E64">
        <v>213.13</v>
      </c>
      <c r="F64">
        <v>28.73</v>
      </c>
      <c r="G64">
        <v>426.9</v>
      </c>
      <c r="H64">
        <v>23.08</v>
      </c>
      <c r="I64">
        <v>75.930000000000007</v>
      </c>
      <c r="J64">
        <v>88.94</v>
      </c>
      <c r="K64">
        <v>66.19</v>
      </c>
      <c r="L64">
        <v>57.22</v>
      </c>
      <c r="M64">
        <v>68.47</v>
      </c>
      <c r="N64">
        <v>140.08000000000001</v>
      </c>
      <c r="O64">
        <v>52.98</v>
      </c>
      <c r="P64">
        <v>199.92</v>
      </c>
      <c r="Q64">
        <v>27.15</v>
      </c>
      <c r="R64">
        <v>59765</v>
      </c>
      <c r="S64">
        <v>15.01</v>
      </c>
    </row>
    <row r="65" spans="2:19" x14ac:dyDescent="0.35">
      <c r="B65" s="2">
        <v>45413</v>
      </c>
      <c r="C65">
        <v>42.22</v>
      </c>
      <c r="D65">
        <v>500.35</v>
      </c>
      <c r="E65">
        <v>213.79</v>
      </c>
      <c r="F65">
        <v>28.95</v>
      </c>
      <c r="G65">
        <v>421.52</v>
      </c>
      <c r="H65">
        <v>23</v>
      </c>
      <c r="I65">
        <v>75.930000000000007</v>
      </c>
      <c r="J65">
        <v>88.56</v>
      </c>
      <c r="K65">
        <v>65.540000000000006</v>
      </c>
      <c r="L65">
        <v>56.39</v>
      </c>
      <c r="M65">
        <v>67.11</v>
      </c>
      <c r="N65">
        <v>138.6</v>
      </c>
      <c r="O65">
        <v>52.41</v>
      </c>
      <c r="P65">
        <v>196.31</v>
      </c>
      <c r="Q65">
        <v>25.68</v>
      </c>
      <c r="R65">
        <v>57355</v>
      </c>
      <c r="S65">
        <v>14.89</v>
      </c>
    </row>
    <row r="66" spans="2:19" x14ac:dyDescent="0.35">
      <c r="B66" s="2">
        <v>45412</v>
      </c>
      <c r="C66">
        <v>42.17</v>
      </c>
      <c r="D66">
        <v>501.98</v>
      </c>
      <c r="E66">
        <v>211.87</v>
      </c>
      <c r="F66">
        <v>28.98</v>
      </c>
      <c r="G66">
        <v>424.59</v>
      </c>
      <c r="H66">
        <v>23.34</v>
      </c>
      <c r="I66">
        <v>78.38</v>
      </c>
      <c r="J66">
        <v>88.22</v>
      </c>
      <c r="K66">
        <v>65.62</v>
      </c>
      <c r="L66">
        <v>56.42</v>
      </c>
      <c r="M66">
        <v>67.27</v>
      </c>
      <c r="N66">
        <v>139.16999999999999</v>
      </c>
      <c r="O66">
        <v>52.35</v>
      </c>
      <c r="P66">
        <v>195.9</v>
      </c>
      <c r="Q66">
        <v>25.49</v>
      </c>
      <c r="R66">
        <v>59400</v>
      </c>
      <c r="S66">
        <v>14.91</v>
      </c>
    </row>
    <row r="67" spans="2:19" x14ac:dyDescent="0.35">
      <c r="B67" s="2">
        <v>45411</v>
      </c>
      <c r="C67">
        <v>42.74</v>
      </c>
      <c r="D67">
        <v>510.06</v>
      </c>
      <c r="E67">
        <v>216.18</v>
      </c>
      <c r="F67">
        <v>28.8</v>
      </c>
      <c r="G67">
        <v>432.75</v>
      </c>
      <c r="H67">
        <v>23.64</v>
      </c>
      <c r="I67">
        <v>79.5</v>
      </c>
      <c r="J67">
        <v>88.98</v>
      </c>
      <c r="K67">
        <v>66.599999999999994</v>
      </c>
      <c r="L67">
        <v>57.1</v>
      </c>
      <c r="M67">
        <v>67.739999999999995</v>
      </c>
      <c r="N67">
        <v>141.22999999999999</v>
      </c>
      <c r="O67">
        <v>52.53</v>
      </c>
      <c r="P67">
        <v>199.96</v>
      </c>
      <c r="Q67">
        <v>26.11</v>
      </c>
      <c r="R67">
        <v>63450</v>
      </c>
      <c r="S67">
        <v>15.08</v>
      </c>
    </row>
    <row r="68" spans="2:19" x14ac:dyDescent="0.35">
      <c r="B68" s="2">
        <v>45408</v>
      </c>
      <c r="C68">
        <v>42.32</v>
      </c>
      <c r="D68">
        <v>508.26</v>
      </c>
      <c r="E68">
        <v>216.62</v>
      </c>
      <c r="F68">
        <v>28.89</v>
      </c>
      <c r="G68">
        <v>431</v>
      </c>
      <c r="H68">
        <v>23.66</v>
      </c>
      <c r="I68">
        <v>80.39</v>
      </c>
      <c r="J68">
        <v>88.24</v>
      </c>
      <c r="K68">
        <v>66.39</v>
      </c>
      <c r="L68">
        <v>56.51</v>
      </c>
      <c r="M68">
        <v>67.13</v>
      </c>
      <c r="N68">
        <v>140.80000000000001</v>
      </c>
      <c r="O68">
        <v>52.32</v>
      </c>
      <c r="P68">
        <v>198.36</v>
      </c>
      <c r="Q68">
        <v>25.87</v>
      </c>
      <c r="R68">
        <v>64302.05</v>
      </c>
      <c r="S68">
        <v>15.03</v>
      </c>
    </row>
    <row r="69" spans="2:19" x14ac:dyDescent="0.35">
      <c r="B69" s="2">
        <v>45407</v>
      </c>
      <c r="C69">
        <v>41.84</v>
      </c>
      <c r="D69">
        <v>503.49</v>
      </c>
      <c r="E69">
        <v>215.92</v>
      </c>
      <c r="F69">
        <v>28.76</v>
      </c>
      <c r="G69">
        <v>424.45</v>
      </c>
      <c r="H69">
        <v>23.64</v>
      </c>
      <c r="I69">
        <v>80.44</v>
      </c>
      <c r="J69">
        <v>87.78</v>
      </c>
      <c r="K69">
        <v>65.89</v>
      </c>
      <c r="L69">
        <v>56.1</v>
      </c>
      <c r="M69">
        <v>66.56</v>
      </c>
      <c r="N69">
        <v>139.44999999999999</v>
      </c>
      <c r="O69">
        <v>52.29</v>
      </c>
      <c r="P69">
        <v>196.48</v>
      </c>
      <c r="Q69">
        <v>25.44</v>
      </c>
      <c r="R69">
        <v>64700</v>
      </c>
      <c r="S69">
        <v>14.92</v>
      </c>
    </row>
    <row r="70" spans="2:19" x14ac:dyDescent="0.35">
      <c r="B70" s="2">
        <v>45406</v>
      </c>
      <c r="C70">
        <v>41.71</v>
      </c>
      <c r="D70">
        <v>505.41</v>
      </c>
      <c r="E70">
        <v>214.64</v>
      </c>
      <c r="F70">
        <v>28.82</v>
      </c>
      <c r="G70">
        <v>426.51</v>
      </c>
      <c r="H70">
        <v>23.51</v>
      </c>
      <c r="I70">
        <v>79.64</v>
      </c>
      <c r="J70">
        <v>88.4</v>
      </c>
      <c r="K70">
        <v>66.010000000000005</v>
      </c>
      <c r="L70">
        <v>56.01</v>
      </c>
      <c r="M70">
        <v>67.61</v>
      </c>
      <c r="N70">
        <v>139.94999999999999</v>
      </c>
      <c r="O70">
        <v>52.01</v>
      </c>
      <c r="P70">
        <v>197.68</v>
      </c>
      <c r="Q70">
        <v>25.27</v>
      </c>
      <c r="R70">
        <v>63880</v>
      </c>
      <c r="S70">
        <v>14.98</v>
      </c>
    </row>
    <row r="71" spans="2:19" x14ac:dyDescent="0.35">
      <c r="B71" s="2">
        <v>45405</v>
      </c>
      <c r="C71">
        <v>41.58</v>
      </c>
      <c r="D71">
        <v>505.65</v>
      </c>
      <c r="E71">
        <v>215.04</v>
      </c>
      <c r="F71">
        <v>28.79</v>
      </c>
      <c r="G71">
        <v>425.07</v>
      </c>
      <c r="H71">
        <v>23.54</v>
      </c>
      <c r="I71">
        <v>79.98</v>
      </c>
      <c r="J71">
        <v>89.03</v>
      </c>
      <c r="K71">
        <v>66.319999999999993</v>
      </c>
      <c r="L71">
        <v>56.02</v>
      </c>
      <c r="M71">
        <v>67.319999999999993</v>
      </c>
      <c r="N71">
        <v>140.06</v>
      </c>
      <c r="O71">
        <v>52.01</v>
      </c>
      <c r="P71">
        <v>198.57</v>
      </c>
      <c r="Q71">
        <v>24.8</v>
      </c>
      <c r="R71">
        <v>66435</v>
      </c>
      <c r="S71">
        <v>15</v>
      </c>
    </row>
    <row r="72" spans="2:19" x14ac:dyDescent="0.35">
      <c r="B72" s="2">
        <v>45404</v>
      </c>
      <c r="C72">
        <v>41.24</v>
      </c>
      <c r="D72">
        <v>499.72</v>
      </c>
      <c r="E72">
        <v>215.57</v>
      </c>
      <c r="F72">
        <v>28.91</v>
      </c>
      <c r="G72">
        <v>418.82</v>
      </c>
      <c r="H72">
        <v>23.44</v>
      </c>
      <c r="I72">
        <v>78.78</v>
      </c>
      <c r="J72">
        <v>89</v>
      </c>
      <c r="K72">
        <v>65.400000000000006</v>
      </c>
      <c r="L72">
        <v>55.67</v>
      </c>
      <c r="M72">
        <v>67.17</v>
      </c>
      <c r="N72">
        <v>138.51</v>
      </c>
      <c r="O72">
        <v>51.89</v>
      </c>
      <c r="P72">
        <v>195.3</v>
      </c>
      <c r="Q72">
        <v>24.42</v>
      </c>
      <c r="R72">
        <v>66610</v>
      </c>
      <c r="S72">
        <v>14.88</v>
      </c>
    </row>
    <row r="73" spans="2:19" x14ac:dyDescent="0.35">
      <c r="B73" s="2">
        <v>45401</v>
      </c>
      <c r="C73">
        <v>40.89</v>
      </c>
      <c r="D73">
        <v>495.16</v>
      </c>
      <c r="E73">
        <v>221.03</v>
      </c>
      <c r="F73">
        <v>28.9</v>
      </c>
      <c r="G73">
        <v>414.65</v>
      </c>
      <c r="H73">
        <v>23.44</v>
      </c>
      <c r="I73">
        <v>78.849999999999994</v>
      </c>
      <c r="J73">
        <v>89.15</v>
      </c>
      <c r="K73">
        <v>64.680000000000007</v>
      </c>
      <c r="L73">
        <v>55.18</v>
      </c>
      <c r="M73">
        <v>66.489999999999995</v>
      </c>
      <c r="N73">
        <v>137.31</v>
      </c>
      <c r="O73">
        <v>51.33</v>
      </c>
      <c r="P73">
        <v>193.14</v>
      </c>
      <c r="Q73">
        <v>24.01</v>
      </c>
      <c r="R73">
        <v>64355</v>
      </c>
      <c r="S73">
        <v>14.79</v>
      </c>
    </row>
    <row r="74" spans="2:19" x14ac:dyDescent="0.35">
      <c r="B74" s="2">
        <v>45400</v>
      </c>
      <c r="C74">
        <v>41.01</v>
      </c>
      <c r="D74">
        <v>499.52</v>
      </c>
      <c r="E74">
        <v>220.34</v>
      </c>
      <c r="F74">
        <v>28.9</v>
      </c>
      <c r="G74">
        <v>423.41</v>
      </c>
      <c r="H74">
        <v>23.33</v>
      </c>
      <c r="I74">
        <v>78.78</v>
      </c>
      <c r="J74">
        <v>88.83</v>
      </c>
      <c r="K74">
        <v>64.52</v>
      </c>
      <c r="L74">
        <v>55.51</v>
      </c>
      <c r="M74">
        <v>66.89</v>
      </c>
      <c r="N74">
        <v>138.11000000000001</v>
      </c>
      <c r="O74">
        <v>51.07</v>
      </c>
      <c r="P74">
        <v>192.84</v>
      </c>
      <c r="Q74">
        <v>24.08</v>
      </c>
      <c r="R74">
        <v>63660</v>
      </c>
      <c r="S74">
        <v>14.86</v>
      </c>
    </row>
    <row r="75" spans="2:19" x14ac:dyDescent="0.35">
      <c r="B75" s="2">
        <v>45399</v>
      </c>
      <c r="C75">
        <v>40.9</v>
      </c>
      <c r="D75">
        <v>500.55</v>
      </c>
      <c r="E75">
        <v>219.59</v>
      </c>
      <c r="F75">
        <v>28.84</v>
      </c>
      <c r="G75">
        <v>425.84</v>
      </c>
      <c r="H75">
        <v>23.34</v>
      </c>
      <c r="I75">
        <v>78.91</v>
      </c>
      <c r="J75">
        <v>89.28</v>
      </c>
      <c r="K75">
        <v>64.67</v>
      </c>
      <c r="L75">
        <v>55.38</v>
      </c>
      <c r="M75">
        <v>67.09</v>
      </c>
      <c r="N75">
        <v>138.52000000000001</v>
      </c>
      <c r="O75">
        <v>50.97</v>
      </c>
      <c r="P75">
        <v>193</v>
      </c>
      <c r="Q75">
        <v>23.65</v>
      </c>
      <c r="R75">
        <v>61130</v>
      </c>
      <c r="S75">
        <v>14.9</v>
      </c>
    </row>
    <row r="76" spans="2:19" x14ac:dyDescent="0.35">
      <c r="B76" s="2">
        <v>45398</v>
      </c>
      <c r="C76">
        <v>40.83</v>
      </c>
      <c r="D76">
        <v>503.53</v>
      </c>
      <c r="E76">
        <v>221.22</v>
      </c>
      <c r="F76">
        <v>28.93</v>
      </c>
      <c r="G76">
        <v>431.1</v>
      </c>
      <c r="H76">
        <v>23.71</v>
      </c>
      <c r="I76">
        <v>81.33</v>
      </c>
      <c r="J76">
        <v>88.3</v>
      </c>
      <c r="K76">
        <v>64.45</v>
      </c>
      <c r="L76">
        <v>55.48</v>
      </c>
      <c r="M76">
        <v>67.81</v>
      </c>
      <c r="N76">
        <v>138.97999999999999</v>
      </c>
      <c r="O76">
        <v>51.15</v>
      </c>
      <c r="P76">
        <v>195.06</v>
      </c>
      <c r="Q76">
        <v>23.67</v>
      </c>
      <c r="R76">
        <v>62920</v>
      </c>
      <c r="S76">
        <v>14.93</v>
      </c>
    </row>
    <row r="77" spans="2:19" x14ac:dyDescent="0.35">
      <c r="B77" s="2">
        <v>45397</v>
      </c>
      <c r="C77">
        <v>41.34</v>
      </c>
      <c r="D77">
        <v>504.45</v>
      </c>
      <c r="E77">
        <v>220.95</v>
      </c>
      <c r="F77">
        <v>28.89</v>
      </c>
      <c r="G77">
        <v>431.06</v>
      </c>
      <c r="H77">
        <v>23.75</v>
      </c>
      <c r="I77">
        <v>81.650000000000006</v>
      </c>
      <c r="J77">
        <v>88.89</v>
      </c>
      <c r="K77">
        <v>64.97</v>
      </c>
      <c r="L77">
        <v>56.25</v>
      </c>
      <c r="M77">
        <v>68.77</v>
      </c>
      <c r="N77">
        <v>139.55000000000001</v>
      </c>
      <c r="O77">
        <v>51.26</v>
      </c>
      <c r="P77">
        <v>195.78</v>
      </c>
      <c r="Q77">
        <v>23.92</v>
      </c>
      <c r="R77">
        <v>63560</v>
      </c>
      <c r="S77">
        <v>14.98</v>
      </c>
    </row>
    <row r="78" spans="2:19" x14ac:dyDescent="0.35">
      <c r="B78" s="2">
        <v>45394</v>
      </c>
      <c r="C78">
        <v>41.6</v>
      </c>
      <c r="D78">
        <v>510.85</v>
      </c>
      <c r="E78">
        <v>216.89</v>
      </c>
      <c r="F78">
        <v>28.84</v>
      </c>
      <c r="G78">
        <v>438.27</v>
      </c>
      <c r="H78">
        <v>23.72</v>
      </c>
      <c r="I78">
        <v>81.53</v>
      </c>
      <c r="J78">
        <v>90.29</v>
      </c>
      <c r="K78">
        <v>65.069999999999993</v>
      </c>
      <c r="L78">
        <v>56.82</v>
      </c>
      <c r="M78">
        <v>69.06</v>
      </c>
      <c r="N78">
        <v>140.99</v>
      </c>
      <c r="O78">
        <v>51.67</v>
      </c>
      <c r="P78">
        <v>198.69</v>
      </c>
      <c r="Q78">
        <v>23.84</v>
      </c>
      <c r="R78">
        <v>67170</v>
      </c>
      <c r="S78">
        <v>15.12</v>
      </c>
    </row>
    <row r="79" spans="2:19" x14ac:dyDescent="0.35">
      <c r="B79" s="2">
        <v>45393</v>
      </c>
      <c r="C79">
        <v>42.42</v>
      </c>
      <c r="D79">
        <v>518</v>
      </c>
      <c r="E79">
        <v>219.8</v>
      </c>
      <c r="F79">
        <v>28.61</v>
      </c>
      <c r="G79">
        <v>445.37</v>
      </c>
      <c r="H79">
        <v>23.69</v>
      </c>
      <c r="I79">
        <v>81.55</v>
      </c>
      <c r="J79">
        <v>89.81</v>
      </c>
      <c r="K79">
        <v>66.209999999999994</v>
      </c>
      <c r="L79">
        <v>58</v>
      </c>
      <c r="M79">
        <v>69.989999999999995</v>
      </c>
      <c r="N79">
        <v>143.22</v>
      </c>
      <c r="O79">
        <v>52.35</v>
      </c>
      <c r="P79">
        <v>202.29</v>
      </c>
      <c r="Q79">
        <v>24.7</v>
      </c>
      <c r="R79">
        <v>70800</v>
      </c>
      <c r="S79">
        <v>15.25</v>
      </c>
    </row>
    <row r="80" spans="2:19" x14ac:dyDescent="0.35">
      <c r="B80" s="2">
        <v>45392</v>
      </c>
      <c r="C80">
        <v>42.28</v>
      </c>
      <c r="D80">
        <v>514.12</v>
      </c>
      <c r="E80">
        <v>215.61</v>
      </c>
      <c r="F80">
        <v>28.59</v>
      </c>
      <c r="G80">
        <v>438.37</v>
      </c>
      <c r="H80">
        <v>23.73</v>
      </c>
      <c r="I80">
        <v>82.09</v>
      </c>
      <c r="J80">
        <v>90.22</v>
      </c>
      <c r="K80">
        <v>66.17</v>
      </c>
      <c r="L80">
        <v>57.59</v>
      </c>
      <c r="M80">
        <v>69.38</v>
      </c>
      <c r="N80">
        <v>142.24</v>
      </c>
      <c r="O80">
        <v>52.22</v>
      </c>
      <c r="P80">
        <v>200.93</v>
      </c>
      <c r="Q80">
        <v>24.47</v>
      </c>
      <c r="R80">
        <v>70410</v>
      </c>
      <c r="S80">
        <v>15.19</v>
      </c>
    </row>
    <row r="81" spans="2:19" x14ac:dyDescent="0.35">
      <c r="B81" s="2">
        <v>45391</v>
      </c>
      <c r="C81">
        <v>42.75</v>
      </c>
      <c r="D81">
        <v>519.32000000000005</v>
      </c>
      <c r="E81">
        <v>217.67</v>
      </c>
      <c r="F81">
        <v>28.29</v>
      </c>
      <c r="G81">
        <v>442.23</v>
      </c>
      <c r="H81">
        <v>23.61</v>
      </c>
      <c r="I81">
        <v>81.150000000000006</v>
      </c>
      <c r="J81">
        <v>92.23</v>
      </c>
      <c r="K81">
        <v>66.959999999999994</v>
      </c>
      <c r="L81">
        <v>58.58</v>
      </c>
      <c r="M81">
        <v>70.48</v>
      </c>
      <c r="N81">
        <v>143.83000000000001</v>
      </c>
      <c r="O81">
        <v>52.42</v>
      </c>
      <c r="P81">
        <v>206.38</v>
      </c>
      <c r="Q81">
        <v>24.59</v>
      </c>
      <c r="R81">
        <v>69355</v>
      </c>
      <c r="S81">
        <v>15.35</v>
      </c>
    </row>
    <row r="82" spans="2:19" x14ac:dyDescent="0.35">
      <c r="B82" s="2">
        <v>45390</v>
      </c>
      <c r="C82">
        <v>42.38</v>
      </c>
      <c r="D82">
        <v>518.72</v>
      </c>
      <c r="E82">
        <v>216.48</v>
      </c>
      <c r="F82">
        <v>28.3</v>
      </c>
      <c r="G82">
        <v>440.6</v>
      </c>
      <c r="H82">
        <v>23.74</v>
      </c>
      <c r="I82">
        <v>82.2</v>
      </c>
      <c r="J82">
        <v>91.38</v>
      </c>
      <c r="K82">
        <v>67.099999999999994</v>
      </c>
      <c r="L82">
        <v>58.24</v>
      </c>
      <c r="M82">
        <v>70.22</v>
      </c>
      <c r="N82">
        <v>143.72</v>
      </c>
      <c r="O82">
        <v>52.38</v>
      </c>
      <c r="P82">
        <v>205.57</v>
      </c>
      <c r="Q82">
        <v>24.36</v>
      </c>
      <c r="R82">
        <v>72110</v>
      </c>
      <c r="S82">
        <v>15.32</v>
      </c>
    </row>
    <row r="83" spans="2:19" x14ac:dyDescent="0.35">
      <c r="B83" s="2">
        <v>45387</v>
      </c>
      <c r="C83">
        <v>42.12</v>
      </c>
      <c r="D83">
        <v>518.42999999999995</v>
      </c>
      <c r="E83">
        <v>215.14</v>
      </c>
      <c r="F83">
        <v>28.34</v>
      </c>
      <c r="G83">
        <v>440.47</v>
      </c>
      <c r="H83">
        <v>23.75</v>
      </c>
      <c r="I83">
        <v>82.4</v>
      </c>
      <c r="J83">
        <v>91.39</v>
      </c>
      <c r="K83">
        <v>66.760000000000005</v>
      </c>
      <c r="L83">
        <v>57.84</v>
      </c>
      <c r="M83">
        <v>69.87</v>
      </c>
      <c r="N83">
        <v>143.56</v>
      </c>
      <c r="O83">
        <v>52.02</v>
      </c>
      <c r="P83">
        <v>204.45</v>
      </c>
      <c r="Q83">
        <v>24.19</v>
      </c>
      <c r="R83">
        <v>67755</v>
      </c>
      <c r="S83">
        <v>15.32</v>
      </c>
    </row>
    <row r="84" spans="2:19" x14ac:dyDescent="0.35">
      <c r="B84" s="2">
        <v>45386</v>
      </c>
      <c r="C84">
        <v>41.99</v>
      </c>
      <c r="D84">
        <v>513.07000000000005</v>
      </c>
      <c r="E84">
        <v>211.52</v>
      </c>
      <c r="F84">
        <v>28.31</v>
      </c>
      <c r="G84">
        <v>435.34</v>
      </c>
      <c r="H84">
        <v>23.63</v>
      </c>
      <c r="I84">
        <v>82.27</v>
      </c>
      <c r="J84">
        <v>92.68</v>
      </c>
      <c r="K84">
        <v>66.59</v>
      </c>
      <c r="L84">
        <v>57.58</v>
      </c>
      <c r="M84">
        <v>69.67</v>
      </c>
      <c r="N84">
        <v>142.30000000000001</v>
      </c>
      <c r="O84">
        <v>51.57</v>
      </c>
      <c r="P84">
        <v>203.77</v>
      </c>
      <c r="Q84">
        <v>24.32</v>
      </c>
      <c r="R84">
        <v>68840</v>
      </c>
      <c r="S84">
        <v>15.25</v>
      </c>
    </row>
    <row r="85" spans="2:19" x14ac:dyDescent="0.35">
      <c r="B85" s="2">
        <v>45385</v>
      </c>
      <c r="C85">
        <v>42.14</v>
      </c>
      <c r="D85">
        <v>519.41</v>
      </c>
      <c r="E85">
        <v>212.74</v>
      </c>
      <c r="F85">
        <v>28.31</v>
      </c>
      <c r="G85">
        <v>442.1</v>
      </c>
      <c r="H85">
        <v>23.57</v>
      </c>
      <c r="I85">
        <v>81.25</v>
      </c>
      <c r="J85">
        <v>92.02</v>
      </c>
      <c r="K85">
        <v>67.11</v>
      </c>
      <c r="L85">
        <v>57.76</v>
      </c>
      <c r="M85">
        <v>70.400000000000006</v>
      </c>
      <c r="N85">
        <v>143.93</v>
      </c>
      <c r="O85">
        <v>51.68</v>
      </c>
      <c r="P85">
        <v>205.83</v>
      </c>
      <c r="Q85">
        <v>24.45</v>
      </c>
      <c r="R85">
        <v>66305</v>
      </c>
      <c r="S85">
        <v>15.35</v>
      </c>
    </row>
    <row r="86" spans="2:19" x14ac:dyDescent="0.35">
      <c r="B86" s="2">
        <v>45384</v>
      </c>
      <c r="C86">
        <v>42.08</v>
      </c>
      <c r="D86">
        <v>518.84</v>
      </c>
      <c r="E86">
        <v>210.89</v>
      </c>
      <c r="F86">
        <v>28.44</v>
      </c>
      <c r="G86">
        <v>441.11</v>
      </c>
      <c r="H86">
        <v>23.29</v>
      </c>
      <c r="I86">
        <v>80.790000000000006</v>
      </c>
      <c r="J86">
        <v>92.04</v>
      </c>
      <c r="K86">
        <v>66.64</v>
      </c>
      <c r="L86">
        <v>57.64</v>
      </c>
      <c r="M86">
        <v>69.92</v>
      </c>
      <c r="N86">
        <v>143.5</v>
      </c>
      <c r="O86">
        <v>51.57</v>
      </c>
      <c r="P86">
        <v>204.49</v>
      </c>
      <c r="Q86">
        <v>24.6</v>
      </c>
      <c r="R86">
        <v>66550</v>
      </c>
      <c r="S86">
        <v>15.32</v>
      </c>
    </row>
    <row r="87" spans="2:19" x14ac:dyDescent="0.35">
      <c r="B87" s="2">
        <v>45383</v>
      </c>
      <c r="C87">
        <v>41.94</v>
      </c>
      <c r="D87">
        <v>522.16</v>
      </c>
      <c r="E87">
        <v>207.82</v>
      </c>
      <c r="F87">
        <v>28.48</v>
      </c>
      <c r="G87">
        <v>444.95</v>
      </c>
      <c r="H87">
        <v>23.08</v>
      </c>
      <c r="I87">
        <v>79.67</v>
      </c>
      <c r="J87">
        <v>92.55</v>
      </c>
      <c r="K87">
        <v>67.22</v>
      </c>
      <c r="L87">
        <v>57.42</v>
      </c>
      <c r="M87">
        <v>70.28</v>
      </c>
      <c r="N87">
        <v>144.5</v>
      </c>
      <c r="O87">
        <v>51.49</v>
      </c>
      <c r="P87">
        <v>208.32</v>
      </c>
      <c r="Q87">
        <v>24.4</v>
      </c>
      <c r="R87">
        <v>70380</v>
      </c>
      <c r="S87">
        <v>15.38</v>
      </c>
    </row>
    <row r="88" spans="2:19" x14ac:dyDescent="0.35">
      <c r="B88" s="2">
        <v>45379</v>
      </c>
      <c r="C88">
        <v>41.77</v>
      </c>
      <c r="D88">
        <v>523.07000000000005</v>
      </c>
      <c r="E88">
        <v>205.72</v>
      </c>
      <c r="F88">
        <v>28.37</v>
      </c>
      <c r="G88">
        <v>444.01</v>
      </c>
      <c r="H88">
        <v>22.97</v>
      </c>
      <c r="I88">
        <v>78.73</v>
      </c>
      <c r="J88">
        <v>94.62</v>
      </c>
      <c r="K88">
        <v>67.34</v>
      </c>
      <c r="L88">
        <v>57.57</v>
      </c>
      <c r="M88">
        <v>71.349999999999994</v>
      </c>
      <c r="N88">
        <v>144.91</v>
      </c>
      <c r="O88">
        <v>51.59</v>
      </c>
      <c r="P88">
        <v>210.3</v>
      </c>
      <c r="Q88">
        <v>24.07</v>
      </c>
      <c r="R88">
        <v>71530</v>
      </c>
      <c r="S88">
        <v>15.44</v>
      </c>
    </row>
    <row r="89" spans="2:19" x14ac:dyDescent="0.35">
      <c r="B89" s="2">
        <v>45378</v>
      </c>
      <c r="C89">
        <v>41.63</v>
      </c>
      <c r="D89">
        <v>523.16999999999996</v>
      </c>
      <c r="E89">
        <v>203.1</v>
      </c>
      <c r="F89">
        <v>28.29</v>
      </c>
      <c r="G89">
        <v>444.83</v>
      </c>
      <c r="H89">
        <v>22.7</v>
      </c>
      <c r="I89">
        <v>77.510000000000005</v>
      </c>
      <c r="J89">
        <v>94.7</v>
      </c>
      <c r="K89">
        <v>67.459999999999994</v>
      </c>
      <c r="L89">
        <v>57.45</v>
      </c>
      <c r="M89">
        <v>71.61</v>
      </c>
      <c r="N89">
        <v>144.91</v>
      </c>
      <c r="O89">
        <v>51.09</v>
      </c>
      <c r="P89">
        <v>209.64</v>
      </c>
      <c r="Q89">
        <v>23.81</v>
      </c>
      <c r="R89">
        <v>68635</v>
      </c>
      <c r="S89">
        <v>15.44</v>
      </c>
    </row>
    <row r="90" spans="2:19" x14ac:dyDescent="0.35">
      <c r="B90" s="2">
        <v>45377</v>
      </c>
      <c r="C90">
        <v>41.52</v>
      </c>
      <c r="D90">
        <v>518.80999999999995</v>
      </c>
      <c r="E90">
        <v>201.64</v>
      </c>
      <c r="F90">
        <v>28.27</v>
      </c>
      <c r="G90">
        <v>443.32</v>
      </c>
      <c r="H90">
        <v>22.72</v>
      </c>
      <c r="I90">
        <v>77.290000000000006</v>
      </c>
      <c r="J90">
        <v>93.77</v>
      </c>
      <c r="K90">
        <v>67.05</v>
      </c>
      <c r="L90">
        <v>57.23</v>
      </c>
      <c r="M90">
        <v>71.3</v>
      </c>
      <c r="N90">
        <v>143.81</v>
      </c>
      <c r="O90">
        <v>50.76</v>
      </c>
      <c r="P90">
        <v>205.17</v>
      </c>
      <c r="Q90">
        <v>23.84</v>
      </c>
      <c r="R90">
        <v>69440</v>
      </c>
      <c r="S90">
        <v>15.36</v>
      </c>
    </row>
    <row r="91" spans="2:19" x14ac:dyDescent="0.35">
      <c r="B91" s="2">
        <v>45376</v>
      </c>
      <c r="C91">
        <v>41.61</v>
      </c>
      <c r="D91">
        <v>519.77</v>
      </c>
      <c r="E91">
        <v>200.99</v>
      </c>
      <c r="F91">
        <v>28.25</v>
      </c>
      <c r="G91">
        <v>444.76</v>
      </c>
      <c r="H91">
        <v>22.9</v>
      </c>
      <c r="I91">
        <v>77.760000000000005</v>
      </c>
      <c r="J91">
        <v>93.51</v>
      </c>
      <c r="K91">
        <v>66.95</v>
      </c>
      <c r="L91">
        <v>57.37</v>
      </c>
      <c r="M91">
        <v>70.989999999999995</v>
      </c>
      <c r="N91">
        <v>144</v>
      </c>
      <c r="O91">
        <v>50.54</v>
      </c>
      <c r="P91">
        <v>205.54</v>
      </c>
      <c r="Q91">
        <v>23.71</v>
      </c>
      <c r="R91">
        <v>71130</v>
      </c>
      <c r="S91">
        <v>15.4</v>
      </c>
    </row>
    <row r="92" spans="2:19" x14ac:dyDescent="0.35">
      <c r="B92" s="2">
        <v>45373</v>
      </c>
      <c r="C92">
        <v>41.61</v>
      </c>
      <c r="D92">
        <v>521.21</v>
      </c>
      <c r="E92">
        <v>200.35</v>
      </c>
      <c r="F92">
        <v>28.32</v>
      </c>
      <c r="G92">
        <v>446.38</v>
      </c>
      <c r="H92">
        <v>22.71</v>
      </c>
      <c r="I92">
        <v>76.680000000000007</v>
      </c>
      <c r="J92">
        <v>93.98</v>
      </c>
      <c r="K92">
        <v>66.88</v>
      </c>
      <c r="L92">
        <v>57.23</v>
      </c>
      <c r="M92">
        <v>71.819999999999993</v>
      </c>
      <c r="N92">
        <v>144.4</v>
      </c>
      <c r="O92">
        <v>50.49</v>
      </c>
      <c r="P92">
        <v>205.07</v>
      </c>
      <c r="Q92">
        <v>23.68</v>
      </c>
      <c r="R92">
        <v>63975</v>
      </c>
      <c r="S92">
        <v>15.4</v>
      </c>
    </row>
    <row r="93" spans="2:19" x14ac:dyDescent="0.35">
      <c r="B93" s="2">
        <v>45372</v>
      </c>
      <c r="C93">
        <v>41.88</v>
      </c>
      <c r="D93">
        <v>522.20000000000005</v>
      </c>
      <c r="E93">
        <v>201.97</v>
      </c>
      <c r="F93">
        <v>28.17</v>
      </c>
      <c r="G93">
        <v>445.87</v>
      </c>
      <c r="H93">
        <v>22.87</v>
      </c>
      <c r="I93">
        <v>76.819999999999993</v>
      </c>
      <c r="J93">
        <v>93.09</v>
      </c>
      <c r="K93">
        <v>67.040000000000006</v>
      </c>
      <c r="L93">
        <v>57.47</v>
      </c>
      <c r="M93">
        <v>71.83</v>
      </c>
      <c r="N93">
        <v>144.66999999999999</v>
      </c>
      <c r="O93">
        <v>50.53</v>
      </c>
      <c r="P93">
        <v>207.94</v>
      </c>
      <c r="Q93">
        <v>24.02</v>
      </c>
      <c r="R93">
        <v>65415</v>
      </c>
      <c r="S93">
        <v>15.4</v>
      </c>
    </row>
    <row r="94" spans="2:19" x14ac:dyDescent="0.35">
      <c r="B94" s="2">
        <v>45371</v>
      </c>
      <c r="C94">
        <v>41.85</v>
      </c>
      <c r="D94">
        <v>520.48</v>
      </c>
      <c r="E94">
        <v>202.18</v>
      </c>
      <c r="F94">
        <v>27.98</v>
      </c>
      <c r="G94">
        <v>443.77</v>
      </c>
      <c r="H94">
        <v>22.9</v>
      </c>
      <c r="I94">
        <v>77.25</v>
      </c>
      <c r="J94">
        <v>92.89</v>
      </c>
      <c r="K94">
        <v>67.209999999999994</v>
      </c>
      <c r="L94">
        <v>57.24</v>
      </c>
      <c r="M94">
        <v>71.47</v>
      </c>
      <c r="N94">
        <v>144.21</v>
      </c>
      <c r="O94">
        <v>50.42</v>
      </c>
      <c r="P94">
        <v>206.1</v>
      </c>
      <c r="Q94">
        <v>24.13</v>
      </c>
      <c r="R94">
        <v>65990</v>
      </c>
      <c r="S94">
        <v>15.37</v>
      </c>
    </row>
    <row r="95" spans="2:19" x14ac:dyDescent="0.35">
      <c r="B95" s="2">
        <v>45370</v>
      </c>
      <c r="C95">
        <v>41.52</v>
      </c>
      <c r="D95">
        <v>515.71</v>
      </c>
      <c r="E95">
        <v>199.8</v>
      </c>
      <c r="F95">
        <v>28.11</v>
      </c>
      <c r="G95">
        <v>438.57</v>
      </c>
      <c r="H95">
        <v>22.96</v>
      </c>
      <c r="I95">
        <v>78.430000000000007</v>
      </c>
      <c r="J95">
        <v>92.92</v>
      </c>
      <c r="K95">
        <v>66.41</v>
      </c>
      <c r="L95">
        <v>56.6</v>
      </c>
      <c r="M95">
        <v>70.92</v>
      </c>
      <c r="N95">
        <v>142.87</v>
      </c>
      <c r="O95">
        <v>50.14</v>
      </c>
      <c r="P95">
        <v>202.1</v>
      </c>
      <c r="Q95">
        <v>23.91</v>
      </c>
      <c r="R95">
        <v>64595</v>
      </c>
      <c r="S95">
        <v>15.27</v>
      </c>
    </row>
    <row r="96" spans="2:19" x14ac:dyDescent="0.35">
      <c r="B96" s="2">
        <v>45369</v>
      </c>
      <c r="C96">
        <v>41.69</v>
      </c>
      <c r="D96">
        <v>512.86</v>
      </c>
      <c r="E96">
        <v>200.03</v>
      </c>
      <c r="F96">
        <v>28.04</v>
      </c>
      <c r="G96">
        <v>437.48</v>
      </c>
      <c r="H96">
        <v>22.97</v>
      </c>
      <c r="I96">
        <v>77.98</v>
      </c>
      <c r="J96">
        <v>92.66</v>
      </c>
      <c r="K96">
        <v>66.3</v>
      </c>
      <c r="L96">
        <v>56.81</v>
      </c>
      <c r="M96">
        <v>70.650000000000006</v>
      </c>
      <c r="N96">
        <v>142.16999999999999</v>
      </c>
      <c r="O96">
        <v>50.7</v>
      </c>
      <c r="P96">
        <v>201.25</v>
      </c>
      <c r="Q96">
        <v>24.03</v>
      </c>
      <c r="R96">
        <v>67180</v>
      </c>
      <c r="S96">
        <v>15.21</v>
      </c>
    </row>
    <row r="97" spans="2:19" x14ac:dyDescent="0.35">
      <c r="B97" s="2">
        <v>45366</v>
      </c>
      <c r="C97">
        <v>41.6</v>
      </c>
      <c r="D97">
        <v>509.83</v>
      </c>
      <c r="E97">
        <v>199.71</v>
      </c>
      <c r="F97">
        <v>27.98</v>
      </c>
      <c r="G97">
        <v>433.92</v>
      </c>
      <c r="H97">
        <v>22.76</v>
      </c>
      <c r="I97">
        <v>76.33</v>
      </c>
      <c r="J97">
        <v>92.94</v>
      </c>
      <c r="K97">
        <v>66.69</v>
      </c>
      <c r="L97">
        <v>56.76</v>
      </c>
      <c r="M97">
        <v>69.569999999999993</v>
      </c>
      <c r="N97">
        <v>141.74</v>
      </c>
      <c r="O97">
        <v>50.52</v>
      </c>
      <c r="P97">
        <v>202.41</v>
      </c>
      <c r="Q97">
        <v>23.99</v>
      </c>
      <c r="R97">
        <v>69165</v>
      </c>
      <c r="S97">
        <v>15.16</v>
      </c>
    </row>
    <row r="98" spans="2:19" x14ac:dyDescent="0.35">
      <c r="B98" s="2">
        <v>45365</v>
      </c>
      <c r="C98">
        <v>41.76</v>
      </c>
      <c r="D98">
        <v>514.95000000000005</v>
      </c>
      <c r="E98">
        <v>200.35</v>
      </c>
      <c r="F98">
        <v>27.95</v>
      </c>
      <c r="G98">
        <v>439.14</v>
      </c>
      <c r="H98">
        <v>22.68</v>
      </c>
      <c r="I98">
        <v>76.3</v>
      </c>
      <c r="J98">
        <v>92.97</v>
      </c>
      <c r="K98">
        <v>67.12</v>
      </c>
      <c r="L98">
        <v>57.23</v>
      </c>
      <c r="M98">
        <v>69.06</v>
      </c>
      <c r="N98">
        <v>142.4</v>
      </c>
      <c r="O98">
        <v>50.71</v>
      </c>
      <c r="P98">
        <v>202.03</v>
      </c>
      <c r="Q98">
        <v>24.14</v>
      </c>
      <c r="R98">
        <v>69600</v>
      </c>
      <c r="S98">
        <v>15.24</v>
      </c>
    </row>
    <row r="99" spans="2:19" x14ac:dyDescent="0.35">
      <c r="B99" s="2">
        <v>45364</v>
      </c>
      <c r="C99">
        <v>41.99</v>
      </c>
      <c r="D99">
        <v>515.97</v>
      </c>
      <c r="E99">
        <v>201.19</v>
      </c>
      <c r="F99">
        <v>27.8</v>
      </c>
      <c r="G99">
        <v>440.25</v>
      </c>
      <c r="H99">
        <v>22.61</v>
      </c>
      <c r="I99">
        <v>75.09</v>
      </c>
      <c r="J99">
        <v>94.42</v>
      </c>
      <c r="K99">
        <v>67.62</v>
      </c>
      <c r="L99">
        <v>57.29</v>
      </c>
      <c r="M99">
        <v>69.37</v>
      </c>
      <c r="N99">
        <v>143.03</v>
      </c>
      <c r="O99">
        <v>50.43</v>
      </c>
      <c r="P99">
        <v>205.71</v>
      </c>
      <c r="Q99">
        <v>24.64</v>
      </c>
      <c r="R99">
        <v>73915</v>
      </c>
      <c r="S99">
        <v>15.31</v>
      </c>
    </row>
    <row r="100" spans="2:19" x14ac:dyDescent="0.35">
      <c r="B100" s="2">
        <v>45363</v>
      </c>
      <c r="C100">
        <v>42.23</v>
      </c>
      <c r="D100">
        <v>516.78</v>
      </c>
      <c r="E100">
        <v>199.79</v>
      </c>
      <c r="F100">
        <v>27.83</v>
      </c>
      <c r="G100">
        <v>443.66</v>
      </c>
      <c r="H100">
        <v>22.3</v>
      </c>
      <c r="I100">
        <v>73.349999999999994</v>
      </c>
      <c r="J100">
        <v>94.88</v>
      </c>
      <c r="K100">
        <v>67.5</v>
      </c>
      <c r="L100">
        <v>57.65</v>
      </c>
      <c r="M100">
        <v>69.98</v>
      </c>
      <c r="N100">
        <v>143.16</v>
      </c>
      <c r="O100">
        <v>51.69</v>
      </c>
      <c r="P100">
        <v>204.91</v>
      </c>
      <c r="Q100">
        <v>24.56</v>
      </c>
      <c r="R100">
        <v>71800</v>
      </c>
      <c r="S100">
        <v>15.33</v>
      </c>
    </row>
    <row r="101" spans="2:19" x14ac:dyDescent="0.35">
      <c r="B101" s="2">
        <v>45362</v>
      </c>
      <c r="C101">
        <v>41.87</v>
      </c>
      <c r="D101">
        <v>511.28</v>
      </c>
      <c r="E101">
        <v>202</v>
      </c>
      <c r="F101">
        <v>27.81</v>
      </c>
      <c r="G101">
        <v>437.39</v>
      </c>
      <c r="H101">
        <v>22.36</v>
      </c>
      <c r="I101">
        <v>73.62</v>
      </c>
      <c r="J101">
        <v>95.68</v>
      </c>
      <c r="K101">
        <v>66.849999999999994</v>
      </c>
      <c r="L101">
        <v>57.2</v>
      </c>
      <c r="M101">
        <v>69.599999999999994</v>
      </c>
      <c r="N101">
        <v>141.66999999999999</v>
      </c>
      <c r="O101">
        <v>51.9</v>
      </c>
      <c r="P101">
        <v>205.19</v>
      </c>
      <c r="Q101">
        <v>24.04</v>
      </c>
      <c r="R101">
        <v>72660</v>
      </c>
      <c r="S101">
        <v>15.27</v>
      </c>
    </row>
    <row r="102" spans="2:19" x14ac:dyDescent="0.35">
      <c r="B102" s="2">
        <v>45359</v>
      </c>
      <c r="C102">
        <v>41.76</v>
      </c>
      <c r="D102">
        <v>511.72</v>
      </c>
      <c r="E102">
        <v>201.63</v>
      </c>
      <c r="F102">
        <v>27.78</v>
      </c>
      <c r="G102">
        <v>439.02</v>
      </c>
      <c r="H102">
        <v>22.17</v>
      </c>
      <c r="I102">
        <v>73.36</v>
      </c>
      <c r="J102">
        <v>95.73</v>
      </c>
      <c r="K102">
        <v>66.84</v>
      </c>
      <c r="L102">
        <v>57.39</v>
      </c>
      <c r="M102">
        <v>71.180000000000007</v>
      </c>
      <c r="N102">
        <v>142.08000000000001</v>
      </c>
      <c r="O102">
        <v>52.28</v>
      </c>
      <c r="P102">
        <v>206.83</v>
      </c>
      <c r="Q102">
        <v>23.47</v>
      </c>
      <c r="R102">
        <v>69805</v>
      </c>
      <c r="S102">
        <v>15.27</v>
      </c>
    </row>
    <row r="103" spans="2:19" x14ac:dyDescent="0.35">
      <c r="B103" s="2">
        <v>45358</v>
      </c>
      <c r="C103">
        <v>41.83</v>
      </c>
      <c r="D103">
        <v>514.80999999999995</v>
      </c>
      <c r="E103">
        <v>199.94</v>
      </c>
      <c r="F103">
        <v>27.77</v>
      </c>
      <c r="G103">
        <v>445.45</v>
      </c>
      <c r="H103">
        <v>22.24</v>
      </c>
      <c r="I103">
        <v>74.23</v>
      </c>
      <c r="J103">
        <v>95.9</v>
      </c>
      <c r="K103">
        <v>67.14</v>
      </c>
      <c r="L103">
        <v>57.57</v>
      </c>
      <c r="M103">
        <v>71.34</v>
      </c>
      <c r="N103">
        <v>142.84</v>
      </c>
      <c r="O103">
        <v>52.29</v>
      </c>
      <c r="P103">
        <v>206.96</v>
      </c>
      <c r="Q103">
        <v>23.33</v>
      </c>
      <c r="R103">
        <v>68365</v>
      </c>
      <c r="S103">
        <v>15.31</v>
      </c>
    </row>
    <row r="104" spans="2:19" x14ac:dyDescent="0.35">
      <c r="B104" s="2">
        <v>45357</v>
      </c>
      <c r="C104">
        <v>41.63</v>
      </c>
      <c r="D104">
        <v>509.75</v>
      </c>
      <c r="E104">
        <v>198.81</v>
      </c>
      <c r="F104">
        <v>27.91</v>
      </c>
      <c r="G104">
        <v>438.79</v>
      </c>
      <c r="H104">
        <v>22.18</v>
      </c>
      <c r="I104">
        <v>74.34</v>
      </c>
      <c r="J104">
        <v>95.99</v>
      </c>
      <c r="K104">
        <v>66.11</v>
      </c>
      <c r="L104">
        <v>56.98</v>
      </c>
      <c r="M104">
        <v>71.37</v>
      </c>
      <c r="N104">
        <v>141.32</v>
      </c>
      <c r="O104">
        <v>52.11</v>
      </c>
      <c r="P104">
        <v>205.25</v>
      </c>
      <c r="Q104">
        <v>23.53</v>
      </c>
      <c r="R104">
        <v>67760</v>
      </c>
      <c r="S104">
        <v>15.21</v>
      </c>
    </row>
    <row r="105" spans="2:19" x14ac:dyDescent="0.35">
      <c r="B105" s="2">
        <v>45356</v>
      </c>
      <c r="C105">
        <v>41.12</v>
      </c>
      <c r="D105">
        <v>507.18</v>
      </c>
      <c r="E105">
        <v>197.19</v>
      </c>
      <c r="F105">
        <v>28.01</v>
      </c>
      <c r="G105">
        <v>436.05</v>
      </c>
      <c r="H105">
        <v>22</v>
      </c>
      <c r="I105">
        <v>73.45</v>
      </c>
      <c r="J105">
        <v>95.43</v>
      </c>
      <c r="K105">
        <v>65.41</v>
      </c>
      <c r="L105">
        <v>56.17</v>
      </c>
      <c r="M105">
        <v>70.3</v>
      </c>
      <c r="N105">
        <v>140.27000000000001</v>
      </c>
      <c r="O105">
        <v>51.72</v>
      </c>
      <c r="P105">
        <v>203.73</v>
      </c>
      <c r="Q105">
        <v>23.03</v>
      </c>
      <c r="R105">
        <v>62425</v>
      </c>
      <c r="S105">
        <v>15.12</v>
      </c>
    </row>
    <row r="106" spans="2:19" x14ac:dyDescent="0.35">
      <c r="B106" s="2">
        <v>45355</v>
      </c>
      <c r="C106">
        <v>41.4</v>
      </c>
      <c r="D106">
        <v>512.29999999999995</v>
      </c>
      <c r="E106">
        <v>196.01</v>
      </c>
      <c r="F106">
        <v>28.04</v>
      </c>
      <c r="G106">
        <v>444.02</v>
      </c>
      <c r="H106">
        <v>22.17</v>
      </c>
      <c r="I106">
        <v>74.010000000000005</v>
      </c>
      <c r="J106">
        <v>94.09</v>
      </c>
      <c r="K106">
        <v>65.680000000000007</v>
      </c>
      <c r="L106">
        <v>56.64</v>
      </c>
      <c r="M106">
        <v>69.92</v>
      </c>
      <c r="N106">
        <v>141.37</v>
      </c>
      <c r="O106">
        <v>51.91</v>
      </c>
      <c r="P106">
        <v>205.7</v>
      </c>
      <c r="Q106">
        <v>23.39</v>
      </c>
      <c r="R106">
        <v>68480</v>
      </c>
      <c r="S106">
        <v>15.18</v>
      </c>
    </row>
    <row r="107" spans="2:19" x14ac:dyDescent="0.35">
      <c r="B107" s="2">
        <v>45352</v>
      </c>
      <c r="C107">
        <v>41.57</v>
      </c>
      <c r="D107">
        <v>512.85</v>
      </c>
      <c r="E107">
        <v>192.89</v>
      </c>
      <c r="F107">
        <v>28.04</v>
      </c>
      <c r="G107">
        <v>445.61</v>
      </c>
      <c r="H107">
        <v>22.1</v>
      </c>
      <c r="I107">
        <v>74.959999999999994</v>
      </c>
      <c r="J107">
        <v>94.47</v>
      </c>
      <c r="K107">
        <v>65.77</v>
      </c>
      <c r="L107">
        <v>56.48</v>
      </c>
      <c r="M107">
        <v>70.33</v>
      </c>
      <c r="N107">
        <v>141.54</v>
      </c>
      <c r="O107">
        <v>51.92</v>
      </c>
      <c r="P107">
        <v>205.89</v>
      </c>
      <c r="Q107">
        <v>23.92</v>
      </c>
      <c r="R107">
        <v>63825</v>
      </c>
      <c r="S107">
        <v>15.2</v>
      </c>
    </row>
    <row r="108" spans="2:19" x14ac:dyDescent="0.35">
      <c r="B108" s="2">
        <v>45351</v>
      </c>
      <c r="C108">
        <v>41.02</v>
      </c>
      <c r="D108">
        <v>508.08</v>
      </c>
      <c r="E108">
        <v>189.31</v>
      </c>
      <c r="F108">
        <v>28.09</v>
      </c>
      <c r="G108">
        <v>439</v>
      </c>
      <c r="H108">
        <v>21.99</v>
      </c>
      <c r="I108">
        <v>73.36</v>
      </c>
      <c r="J108">
        <v>94.18</v>
      </c>
      <c r="K108">
        <v>65.22</v>
      </c>
      <c r="L108">
        <v>55.84</v>
      </c>
      <c r="M108">
        <v>69.12</v>
      </c>
      <c r="N108">
        <v>140.28</v>
      </c>
      <c r="O108">
        <v>51.16</v>
      </c>
      <c r="P108">
        <v>203.73</v>
      </c>
      <c r="Q108">
        <v>23.42</v>
      </c>
      <c r="R108">
        <v>62760</v>
      </c>
      <c r="S108">
        <v>15.09</v>
      </c>
    </row>
    <row r="109" spans="2:19" x14ac:dyDescent="0.35">
      <c r="B109" s="2">
        <v>45350</v>
      </c>
      <c r="C109">
        <v>40.93</v>
      </c>
      <c r="D109">
        <v>506.26</v>
      </c>
      <c r="E109">
        <v>188.34</v>
      </c>
      <c r="F109">
        <v>28.03</v>
      </c>
      <c r="G109">
        <v>435.27</v>
      </c>
      <c r="H109">
        <v>22.02</v>
      </c>
      <c r="I109">
        <v>73.62</v>
      </c>
      <c r="J109">
        <v>93.52</v>
      </c>
      <c r="K109">
        <v>65.19</v>
      </c>
      <c r="L109">
        <v>55.76</v>
      </c>
      <c r="M109">
        <v>68.67</v>
      </c>
      <c r="N109">
        <v>139.71</v>
      </c>
      <c r="O109">
        <v>51.06</v>
      </c>
      <c r="P109">
        <v>202.32</v>
      </c>
      <c r="Q109">
        <v>23.46</v>
      </c>
      <c r="R109">
        <v>60870</v>
      </c>
      <c r="S109">
        <v>15.04</v>
      </c>
    </row>
    <row r="110" spans="2:19" x14ac:dyDescent="0.35">
      <c r="B110" s="2">
        <v>45349</v>
      </c>
      <c r="C110">
        <v>41.57</v>
      </c>
      <c r="D110">
        <v>506.93</v>
      </c>
      <c r="E110">
        <v>188</v>
      </c>
      <c r="F110">
        <v>28.01</v>
      </c>
      <c r="G110">
        <v>437.6</v>
      </c>
      <c r="H110">
        <v>22.11</v>
      </c>
      <c r="I110">
        <v>73.849999999999994</v>
      </c>
      <c r="J110">
        <v>92.93</v>
      </c>
      <c r="K110">
        <v>65.52</v>
      </c>
      <c r="L110">
        <v>56.17</v>
      </c>
      <c r="M110">
        <v>69.180000000000007</v>
      </c>
      <c r="N110">
        <v>140.15</v>
      </c>
      <c r="O110">
        <v>51.625</v>
      </c>
      <c r="P110">
        <v>204</v>
      </c>
      <c r="Q110">
        <v>24.32</v>
      </c>
      <c r="R110">
        <v>57620</v>
      </c>
      <c r="S110">
        <v>15.05</v>
      </c>
    </row>
    <row r="111" spans="2:19" x14ac:dyDescent="0.35">
      <c r="B111" s="2">
        <v>45348</v>
      </c>
      <c r="C111">
        <v>41.44</v>
      </c>
      <c r="D111">
        <v>505.99</v>
      </c>
      <c r="E111">
        <v>188.2</v>
      </c>
      <c r="F111">
        <v>27.99</v>
      </c>
      <c r="G111">
        <v>436.55</v>
      </c>
      <c r="H111">
        <v>21.94</v>
      </c>
      <c r="I111">
        <v>72.790000000000006</v>
      </c>
      <c r="J111">
        <v>93.59</v>
      </c>
      <c r="K111">
        <v>65.41</v>
      </c>
      <c r="L111">
        <v>56.23</v>
      </c>
      <c r="M111">
        <v>69</v>
      </c>
      <c r="N111">
        <v>139.79</v>
      </c>
      <c r="O111">
        <v>51.56</v>
      </c>
      <c r="P111">
        <v>201.15</v>
      </c>
      <c r="Q111">
        <v>23.91</v>
      </c>
      <c r="R111">
        <v>55290</v>
      </c>
      <c r="S111">
        <v>15.04</v>
      </c>
    </row>
    <row r="112" spans="2:19" x14ac:dyDescent="0.35">
      <c r="B112" s="2">
        <v>45345</v>
      </c>
      <c r="C112">
        <v>41.58</v>
      </c>
      <c r="D112">
        <v>507.85</v>
      </c>
      <c r="E112">
        <v>188.62</v>
      </c>
      <c r="F112">
        <v>28.04</v>
      </c>
      <c r="G112">
        <v>436.78</v>
      </c>
      <c r="H112">
        <v>21.74</v>
      </c>
      <c r="I112">
        <v>71.92</v>
      </c>
      <c r="J112">
        <v>93.87</v>
      </c>
      <c r="K112">
        <v>65.48</v>
      </c>
      <c r="L112">
        <v>56.43</v>
      </c>
      <c r="M112">
        <v>69.010000000000005</v>
      </c>
      <c r="N112">
        <v>140.33000000000001</v>
      </c>
      <c r="O112">
        <v>51.8</v>
      </c>
      <c r="P112">
        <v>199.89</v>
      </c>
      <c r="Q112">
        <v>24.12</v>
      </c>
      <c r="R112">
        <v>51750</v>
      </c>
      <c r="S112">
        <v>15.09</v>
      </c>
    </row>
    <row r="113" spans="2:19" x14ac:dyDescent="0.35">
      <c r="B113" s="2">
        <v>45344</v>
      </c>
      <c r="C113">
        <v>41.57</v>
      </c>
      <c r="D113">
        <v>507.5</v>
      </c>
      <c r="E113">
        <v>187.56</v>
      </c>
      <c r="F113">
        <v>28.02</v>
      </c>
      <c r="G113">
        <v>438.07</v>
      </c>
      <c r="H113">
        <v>22.06</v>
      </c>
      <c r="I113">
        <v>73.599999999999994</v>
      </c>
      <c r="J113">
        <v>92.63</v>
      </c>
      <c r="K113">
        <v>65.400000000000006</v>
      </c>
      <c r="L113">
        <v>56.56</v>
      </c>
      <c r="M113">
        <v>68.900000000000006</v>
      </c>
      <c r="N113">
        <v>140.18</v>
      </c>
      <c r="O113">
        <v>51.73</v>
      </c>
      <c r="P113">
        <v>199.44</v>
      </c>
      <c r="Q113">
        <v>23.95</v>
      </c>
      <c r="R113">
        <v>52040</v>
      </c>
      <c r="S113">
        <v>15.05</v>
      </c>
    </row>
    <row r="114" spans="2:19" x14ac:dyDescent="0.35">
      <c r="B114" s="2">
        <v>45343</v>
      </c>
      <c r="C114">
        <v>41.21</v>
      </c>
      <c r="D114">
        <v>497.21</v>
      </c>
      <c r="E114">
        <v>187.48</v>
      </c>
      <c r="F114">
        <v>28.02</v>
      </c>
      <c r="G114">
        <v>425.61</v>
      </c>
      <c r="H114">
        <v>22</v>
      </c>
      <c r="I114">
        <v>73.2</v>
      </c>
      <c r="J114">
        <v>92.18</v>
      </c>
      <c r="K114">
        <v>64.75</v>
      </c>
      <c r="L114">
        <v>56.09</v>
      </c>
      <c r="M114">
        <v>67.790000000000006</v>
      </c>
      <c r="N114">
        <v>137.69999999999999</v>
      </c>
      <c r="O114">
        <v>51.18</v>
      </c>
      <c r="P114">
        <v>197.94</v>
      </c>
      <c r="Q114">
        <v>23.59</v>
      </c>
      <c r="R114">
        <v>50955</v>
      </c>
      <c r="S114">
        <v>14.88</v>
      </c>
    </row>
    <row r="115" spans="2:19" x14ac:dyDescent="0.35">
      <c r="B115" s="2">
        <v>45342</v>
      </c>
      <c r="C115">
        <v>41.17</v>
      </c>
      <c r="D115">
        <v>496.76</v>
      </c>
      <c r="E115">
        <v>187.47</v>
      </c>
      <c r="F115">
        <v>28.05</v>
      </c>
      <c r="G115">
        <v>427.32</v>
      </c>
      <c r="H115">
        <v>21.91</v>
      </c>
      <c r="I115">
        <v>72.42</v>
      </c>
      <c r="J115">
        <v>92.84</v>
      </c>
      <c r="K115">
        <v>64.67</v>
      </c>
      <c r="L115">
        <v>56.31</v>
      </c>
      <c r="M115">
        <v>67.930000000000007</v>
      </c>
      <c r="N115">
        <v>137.61000000000001</v>
      </c>
      <c r="O115">
        <v>51.56</v>
      </c>
      <c r="P115">
        <v>198.88</v>
      </c>
      <c r="Q115">
        <v>22.92</v>
      </c>
      <c r="R115">
        <v>52090</v>
      </c>
      <c r="S115">
        <v>14.88</v>
      </c>
    </row>
    <row r="116" spans="2:19" x14ac:dyDescent="0.35">
      <c r="B116" s="2">
        <v>45338</v>
      </c>
      <c r="C116">
        <v>41.09</v>
      </c>
      <c r="D116">
        <v>499.51</v>
      </c>
      <c r="E116">
        <v>186.34</v>
      </c>
      <c r="F116">
        <v>28.09</v>
      </c>
      <c r="G116">
        <v>430.57</v>
      </c>
      <c r="H116">
        <v>22.03</v>
      </c>
      <c r="I116">
        <v>73.41</v>
      </c>
      <c r="J116">
        <v>92.76</v>
      </c>
      <c r="K116">
        <v>64.34</v>
      </c>
      <c r="L116">
        <v>56.01</v>
      </c>
      <c r="M116">
        <v>67.63</v>
      </c>
      <c r="N116">
        <v>138.04</v>
      </c>
      <c r="O116">
        <v>51.2</v>
      </c>
      <c r="P116">
        <v>201.66</v>
      </c>
      <c r="Q116">
        <v>23.07</v>
      </c>
      <c r="R116">
        <v>52025</v>
      </c>
      <c r="S116">
        <v>14.91</v>
      </c>
    </row>
    <row r="117" spans="2:19" x14ac:dyDescent="0.35">
      <c r="B117" s="2">
        <v>45337</v>
      </c>
      <c r="C117">
        <v>40.89</v>
      </c>
      <c r="D117">
        <v>502.01</v>
      </c>
      <c r="E117">
        <v>185.66</v>
      </c>
      <c r="F117">
        <v>28.08</v>
      </c>
      <c r="G117">
        <v>434.51</v>
      </c>
      <c r="H117">
        <v>21.98</v>
      </c>
      <c r="I117">
        <v>72.84</v>
      </c>
      <c r="J117">
        <v>93.3</v>
      </c>
      <c r="K117">
        <v>64.239999999999995</v>
      </c>
      <c r="L117">
        <v>56.01</v>
      </c>
      <c r="M117">
        <v>67.64</v>
      </c>
      <c r="N117">
        <v>138.55000000000001</v>
      </c>
      <c r="O117">
        <v>51.08</v>
      </c>
      <c r="P117">
        <v>204.44</v>
      </c>
      <c r="Q117">
        <v>22.76</v>
      </c>
      <c r="R117">
        <v>51955</v>
      </c>
      <c r="S117">
        <v>14.97</v>
      </c>
    </row>
    <row r="118" spans="2:19" x14ac:dyDescent="0.35">
      <c r="B118" s="2">
        <v>45336</v>
      </c>
      <c r="C118">
        <v>40.64</v>
      </c>
      <c r="D118">
        <v>498.57</v>
      </c>
      <c r="E118">
        <v>184.42</v>
      </c>
      <c r="F118">
        <v>28.19</v>
      </c>
      <c r="G118">
        <v>433.22</v>
      </c>
      <c r="H118">
        <v>21.93</v>
      </c>
      <c r="I118">
        <v>71.55</v>
      </c>
      <c r="J118">
        <v>92.82</v>
      </c>
      <c r="K118">
        <v>63.54</v>
      </c>
      <c r="L118">
        <v>55.79</v>
      </c>
      <c r="M118">
        <v>67</v>
      </c>
      <c r="N118">
        <v>137.38</v>
      </c>
      <c r="O118">
        <v>50.81</v>
      </c>
      <c r="P118">
        <v>199.13</v>
      </c>
      <c r="Q118">
        <v>22.67</v>
      </c>
      <c r="R118">
        <v>51990</v>
      </c>
      <c r="S118">
        <v>14.88</v>
      </c>
    </row>
    <row r="119" spans="2:19" x14ac:dyDescent="0.35">
      <c r="B119" s="2">
        <v>45335</v>
      </c>
      <c r="C119">
        <v>40.06</v>
      </c>
      <c r="D119">
        <v>494.08</v>
      </c>
      <c r="E119">
        <v>184.53</v>
      </c>
      <c r="F119">
        <v>28.24</v>
      </c>
      <c r="G119">
        <v>428.55</v>
      </c>
      <c r="H119">
        <v>22.14</v>
      </c>
      <c r="I119">
        <v>72.650000000000006</v>
      </c>
      <c r="J119">
        <v>92.35</v>
      </c>
      <c r="K119">
        <v>62.66</v>
      </c>
      <c r="L119">
        <v>54.93</v>
      </c>
      <c r="M119">
        <v>66.739999999999995</v>
      </c>
      <c r="N119">
        <v>135.93</v>
      </c>
      <c r="O119">
        <v>49.97</v>
      </c>
      <c r="P119">
        <v>194.61</v>
      </c>
      <c r="Q119">
        <v>22.2</v>
      </c>
      <c r="R119">
        <v>49640</v>
      </c>
      <c r="S119">
        <v>14.78</v>
      </c>
    </row>
    <row r="120" spans="2:19" x14ac:dyDescent="0.35">
      <c r="B120" s="2">
        <v>45334</v>
      </c>
      <c r="C120">
        <v>40.81</v>
      </c>
      <c r="D120">
        <v>500.98</v>
      </c>
      <c r="E120">
        <v>187.11</v>
      </c>
      <c r="F120">
        <v>28.02</v>
      </c>
      <c r="G120">
        <v>435.34</v>
      </c>
      <c r="H120">
        <v>22.27</v>
      </c>
      <c r="I120">
        <v>72.11</v>
      </c>
      <c r="J120">
        <v>93.96</v>
      </c>
      <c r="K120">
        <v>63.9</v>
      </c>
      <c r="L120">
        <v>55.98</v>
      </c>
      <c r="M120">
        <v>66.97</v>
      </c>
      <c r="N120">
        <v>138</v>
      </c>
      <c r="O120">
        <v>50.28</v>
      </c>
      <c r="P120">
        <v>202.96</v>
      </c>
      <c r="Q120">
        <v>22.72</v>
      </c>
      <c r="R120">
        <v>50465</v>
      </c>
      <c r="S120">
        <v>14.96</v>
      </c>
    </row>
    <row r="121" spans="2:19" x14ac:dyDescent="0.35">
      <c r="B121" s="2">
        <v>45331</v>
      </c>
      <c r="C121">
        <v>40.630000000000003</v>
      </c>
      <c r="D121">
        <v>501.2</v>
      </c>
      <c r="E121">
        <v>187.6</v>
      </c>
      <c r="F121">
        <v>27.99</v>
      </c>
      <c r="G121">
        <v>437.05</v>
      </c>
      <c r="H121">
        <v>22.26</v>
      </c>
      <c r="I121">
        <v>71.67</v>
      </c>
      <c r="J121">
        <v>93.85</v>
      </c>
      <c r="K121">
        <v>63.85</v>
      </c>
      <c r="L121">
        <v>55.79</v>
      </c>
      <c r="M121">
        <v>66.63</v>
      </c>
      <c r="N121">
        <v>137.9</v>
      </c>
      <c r="O121">
        <v>50.72</v>
      </c>
      <c r="P121">
        <v>199.34</v>
      </c>
      <c r="Q121">
        <v>22.36</v>
      </c>
      <c r="R121">
        <v>47770</v>
      </c>
      <c r="S121">
        <v>14.96</v>
      </c>
    </row>
    <row r="122" spans="2:19" x14ac:dyDescent="0.35">
      <c r="B122" s="2">
        <v>45330</v>
      </c>
      <c r="C122">
        <v>40.47</v>
      </c>
      <c r="D122">
        <v>498.32</v>
      </c>
      <c r="E122">
        <v>188.33</v>
      </c>
      <c r="F122">
        <v>28.01</v>
      </c>
      <c r="G122">
        <v>432.79</v>
      </c>
      <c r="H122">
        <v>22.2</v>
      </c>
      <c r="I122">
        <v>71.52</v>
      </c>
      <c r="J122">
        <v>94.04</v>
      </c>
      <c r="K122">
        <v>63.63</v>
      </c>
      <c r="L122">
        <v>55.52</v>
      </c>
      <c r="M122">
        <v>66.39</v>
      </c>
      <c r="N122">
        <v>137.22999999999999</v>
      </c>
      <c r="O122">
        <v>50.5</v>
      </c>
      <c r="P122">
        <v>196.15</v>
      </c>
      <c r="Q122">
        <v>22.1</v>
      </c>
      <c r="R122">
        <v>45750</v>
      </c>
      <c r="S122">
        <v>14.91</v>
      </c>
    </row>
    <row r="123" spans="2:19" x14ac:dyDescent="0.35">
      <c r="B123" s="2">
        <v>45329</v>
      </c>
      <c r="C123">
        <v>40.68</v>
      </c>
      <c r="D123">
        <v>498.1</v>
      </c>
      <c r="E123">
        <v>188.5</v>
      </c>
      <c r="F123">
        <v>27.98</v>
      </c>
      <c r="G123">
        <v>431.99</v>
      </c>
      <c r="H123">
        <v>22.08</v>
      </c>
      <c r="I123">
        <v>69.42</v>
      </c>
      <c r="J123">
        <v>94.59</v>
      </c>
      <c r="K123">
        <v>63.63</v>
      </c>
      <c r="L123">
        <v>55.68</v>
      </c>
      <c r="M123">
        <v>66.56</v>
      </c>
      <c r="N123">
        <v>137.15</v>
      </c>
      <c r="O123">
        <v>50.89</v>
      </c>
      <c r="P123">
        <v>193.22</v>
      </c>
      <c r="Q123">
        <v>22.62</v>
      </c>
      <c r="R123">
        <v>44410</v>
      </c>
      <c r="S123">
        <v>14.92</v>
      </c>
    </row>
    <row r="124" spans="2:19" x14ac:dyDescent="0.35">
      <c r="B124" s="2">
        <v>45328</v>
      </c>
      <c r="C124">
        <v>40.71</v>
      </c>
      <c r="D124">
        <v>493.98</v>
      </c>
      <c r="E124">
        <v>188.55</v>
      </c>
      <c r="F124">
        <v>28.01</v>
      </c>
      <c r="G124">
        <v>427.59</v>
      </c>
      <c r="H124">
        <v>21.98</v>
      </c>
      <c r="I124">
        <v>68.81</v>
      </c>
      <c r="J124">
        <v>95.05</v>
      </c>
      <c r="K124">
        <v>63.84</v>
      </c>
      <c r="L124">
        <v>55.36</v>
      </c>
      <c r="M124">
        <v>66.180000000000007</v>
      </c>
      <c r="N124">
        <v>136.37</v>
      </c>
      <c r="O124">
        <v>50.78</v>
      </c>
      <c r="P124">
        <v>193.67</v>
      </c>
      <c r="Q124">
        <v>23.13</v>
      </c>
      <c r="R124">
        <v>43305</v>
      </c>
      <c r="S124">
        <v>14.88</v>
      </c>
    </row>
    <row r="125" spans="2:19" x14ac:dyDescent="0.35">
      <c r="B125" s="2">
        <v>45327</v>
      </c>
      <c r="C125">
        <v>39.729999999999997</v>
      </c>
      <c r="D125">
        <v>492.55</v>
      </c>
      <c r="E125">
        <v>187.57</v>
      </c>
      <c r="F125">
        <v>28.09</v>
      </c>
      <c r="G125">
        <v>428.45</v>
      </c>
      <c r="H125">
        <v>21.9</v>
      </c>
      <c r="I125">
        <v>68.180000000000007</v>
      </c>
      <c r="J125">
        <v>94.13</v>
      </c>
      <c r="K125">
        <v>63.33</v>
      </c>
      <c r="L125">
        <v>54.69</v>
      </c>
      <c r="M125">
        <v>66.19</v>
      </c>
      <c r="N125">
        <v>135.84</v>
      </c>
      <c r="O125">
        <v>50.11</v>
      </c>
      <c r="P125">
        <v>191.94</v>
      </c>
      <c r="Q125">
        <v>21.88</v>
      </c>
      <c r="R125">
        <v>42555</v>
      </c>
      <c r="S125">
        <v>14.81</v>
      </c>
    </row>
    <row r="126" spans="2:19" x14ac:dyDescent="0.35">
      <c r="B126" s="2">
        <v>45324</v>
      </c>
      <c r="C126">
        <v>39.630000000000003</v>
      </c>
      <c r="D126">
        <v>494.35</v>
      </c>
      <c r="E126">
        <v>188.61</v>
      </c>
      <c r="F126">
        <v>27.94</v>
      </c>
      <c r="G126">
        <v>429.01</v>
      </c>
      <c r="H126">
        <v>21.81</v>
      </c>
      <c r="I126">
        <v>67.510000000000005</v>
      </c>
      <c r="J126">
        <v>96.07</v>
      </c>
      <c r="K126">
        <v>63.7</v>
      </c>
      <c r="L126">
        <v>54.8</v>
      </c>
      <c r="M126">
        <v>66.510000000000005</v>
      </c>
      <c r="N126">
        <v>136.44999999999999</v>
      </c>
      <c r="O126">
        <v>50.375</v>
      </c>
      <c r="P126">
        <v>194.41</v>
      </c>
      <c r="Q126">
        <v>21.41</v>
      </c>
      <c r="R126">
        <v>43185</v>
      </c>
      <c r="S126">
        <v>14.89</v>
      </c>
    </row>
    <row r="127" spans="2:19" x14ac:dyDescent="0.35">
      <c r="B127" s="2">
        <v>45323</v>
      </c>
      <c r="C127">
        <v>39.909999999999997</v>
      </c>
      <c r="D127">
        <v>489.2</v>
      </c>
      <c r="E127">
        <v>190.41</v>
      </c>
      <c r="F127">
        <v>27.69</v>
      </c>
      <c r="G127">
        <v>421.88</v>
      </c>
      <c r="H127">
        <v>22.06</v>
      </c>
      <c r="I127">
        <v>69.069999999999993</v>
      </c>
      <c r="J127">
        <v>98.24</v>
      </c>
      <c r="K127">
        <v>64.319999999999993</v>
      </c>
      <c r="L127">
        <v>54.68</v>
      </c>
      <c r="M127">
        <v>66.92</v>
      </c>
      <c r="N127">
        <v>135.75</v>
      </c>
      <c r="O127">
        <v>50.23</v>
      </c>
      <c r="P127">
        <v>195.44</v>
      </c>
      <c r="Q127">
        <v>21.86</v>
      </c>
      <c r="R127">
        <v>43275</v>
      </c>
      <c r="S127">
        <v>14.75</v>
      </c>
    </row>
    <row r="128" spans="2:19" x14ac:dyDescent="0.35">
      <c r="B128" s="2">
        <v>45322</v>
      </c>
      <c r="C128">
        <v>39.64</v>
      </c>
      <c r="D128">
        <v>482.88</v>
      </c>
      <c r="E128">
        <v>188.45</v>
      </c>
      <c r="F128">
        <v>27.83</v>
      </c>
      <c r="G128">
        <v>416.97</v>
      </c>
      <c r="H128">
        <v>22.33</v>
      </c>
      <c r="I128">
        <v>70.92</v>
      </c>
      <c r="J128">
        <v>96.66</v>
      </c>
      <c r="K128">
        <v>63.69</v>
      </c>
      <c r="L128">
        <v>54.06</v>
      </c>
      <c r="M128">
        <v>66.209999999999994</v>
      </c>
      <c r="N128">
        <v>134.19999999999999</v>
      </c>
      <c r="O128">
        <v>49.89</v>
      </c>
      <c r="P128">
        <v>192.88</v>
      </c>
      <c r="Q128">
        <v>21.76</v>
      </c>
      <c r="R128">
        <v>42815</v>
      </c>
      <c r="S128">
        <v>14.75</v>
      </c>
    </row>
    <row r="129" spans="2:19" x14ac:dyDescent="0.35">
      <c r="B129" s="2">
        <v>45321</v>
      </c>
      <c r="C129">
        <v>39.79</v>
      </c>
      <c r="D129">
        <v>490.89</v>
      </c>
      <c r="E129">
        <v>188.59</v>
      </c>
      <c r="F129">
        <v>27.76</v>
      </c>
      <c r="G129">
        <v>425.3</v>
      </c>
      <c r="H129">
        <v>22.57</v>
      </c>
      <c r="I129">
        <v>72.81</v>
      </c>
      <c r="J129">
        <v>95.72</v>
      </c>
      <c r="K129">
        <v>64.17</v>
      </c>
      <c r="L129">
        <v>54.38</v>
      </c>
      <c r="M129">
        <v>65.930000000000007</v>
      </c>
      <c r="N129">
        <v>135.99</v>
      </c>
      <c r="O129">
        <v>49.52</v>
      </c>
      <c r="P129">
        <v>197.71</v>
      </c>
      <c r="Q129">
        <v>21.93</v>
      </c>
      <c r="R129">
        <v>43890</v>
      </c>
      <c r="S129">
        <v>14.84</v>
      </c>
    </row>
    <row r="130" spans="2:19" x14ac:dyDescent="0.35">
      <c r="B130" s="2">
        <v>45320</v>
      </c>
      <c r="C130">
        <v>40.17</v>
      </c>
      <c r="D130">
        <v>491.27</v>
      </c>
      <c r="E130">
        <v>188.33</v>
      </c>
      <c r="F130">
        <v>27.78</v>
      </c>
      <c r="G130">
        <v>428.15</v>
      </c>
      <c r="H130">
        <v>22.42</v>
      </c>
      <c r="I130">
        <v>72.05</v>
      </c>
      <c r="J130">
        <v>94.86</v>
      </c>
      <c r="K130">
        <v>64.14</v>
      </c>
      <c r="L130">
        <v>54.68</v>
      </c>
      <c r="M130">
        <v>66.17</v>
      </c>
      <c r="N130">
        <v>136.11000000000001</v>
      </c>
      <c r="O130">
        <v>49.98</v>
      </c>
      <c r="P130">
        <v>199.41</v>
      </c>
      <c r="Q130">
        <v>22.29</v>
      </c>
      <c r="R130">
        <v>43530</v>
      </c>
      <c r="S130">
        <v>14.84</v>
      </c>
    </row>
    <row r="131" spans="2:19" x14ac:dyDescent="0.35">
      <c r="B131" s="2">
        <v>45317</v>
      </c>
      <c r="C131">
        <v>40.159999999999997</v>
      </c>
      <c r="D131">
        <v>487.41</v>
      </c>
      <c r="E131">
        <v>187.01</v>
      </c>
      <c r="F131">
        <v>27.78</v>
      </c>
      <c r="G131">
        <v>423.81</v>
      </c>
      <c r="H131">
        <v>22.61</v>
      </c>
      <c r="I131">
        <v>73.099999999999994</v>
      </c>
      <c r="J131">
        <v>93.78</v>
      </c>
      <c r="K131">
        <v>63.93</v>
      </c>
      <c r="L131">
        <v>54.27</v>
      </c>
      <c r="M131">
        <v>65.39</v>
      </c>
      <c r="N131">
        <v>135.07</v>
      </c>
      <c r="O131">
        <v>49.19</v>
      </c>
      <c r="P131">
        <v>195.98</v>
      </c>
      <c r="Q131">
        <v>22.6</v>
      </c>
      <c r="R131">
        <v>42390</v>
      </c>
      <c r="S131">
        <v>14.76</v>
      </c>
    </row>
    <row r="132" spans="2:19" x14ac:dyDescent="0.35">
      <c r="B132" s="2">
        <v>45316</v>
      </c>
      <c r="C132">
        <v>40.15</v>
      </c>
      <c r="D132">
        <v>488.03</v>
      </c>
      <c r="E132">
        <v>187.14</v>
      </c>
      <c r="F132">
        <v>27.78</v>
      </c>
      <c r="G132">
        <v>426.35</v>
      </c>
      <c r="H132">
        <v>22.51</v>
      </c>
      <c r="I132">
        <v>72.23</v>
      </c>
      <c r="J132">
        <v>93.96</v>
      </c>
      <c r="K132">
        <v>63.36</v>
      </c>
      <c r="L132">
        <v>54.06</v>
      </c>
      <c r="M132">
        <v>65.92</v>
      </c>
      <c r="N132">
        <v>134.94999999999999</v>
      </c>
      <c r="O132">
        <v>49.11</v>
      </c>
      <c r="P132">
        <v>195.97</v>
      </c>
      <c r="Q132">
        <v>22.75</v>
      </c>
      <c r="R132">
        <v>39750</v>
      </c>
      <c r="S132">
        <v>14.76</v>
      </c>
    </row>
    <row r="133" spans="2:19" x14ac:dyDescent="0.35">
      <c r="B133" s="2">
        <v>45315</v>
      </c>
      <c r="C133">
        <v>40.049999999999997</v>
      </c>
      <c r="D133">
        <v>485.39</v>
      </c>
      <c r="E133">
        <v>186.4</v>
      </c>
      <c r="F133">
        <v>27.7</v>
      </c>
      <c r="G133">
        <v>425.83</v>
      </c>
      <c r="H133">
        <v>22.34</v>
      </c>
      <c r="I133">
        <v>70.540000000000006</v>
      </c>
      <c r="J133">
        <v>93.35</v>
      </c>
      <c r="K133">
        <v>63.07</v>
      </c>
      <c r="L133">
        <v>54.04</v>
      </c>
      <c r="M133">
        <v>66.17</v>
      </c>
      <c r="N133">
        <v>134.41999999999999</v>
      </c>
      <c r="O133">
        <v>49.2</v>
      </c>
      <c r="P133">
        <v>194.36</v>
      </c>
      <c r="Q133">
        <v>22.77</v>
      </c>
      <c r="R133">
        <v>39700</v>
      </c>
      <c r="S133">
        <v>14.69</v>
      </c>
    </row>
    <row r="134" spans="2:19" x14ac:dyDescent="0.35">
      <c r="B134" s="2">
        <v>45314</v>
      </c>
      <c r="C134">
        <v>39.54</v>
      </c>
      <c r="D134">
        <v>484.86</v>
      </c>
      <c r="E134">
        <v>187.95</v>
      </c>
      <c r="F134">
        <v>27.78</v>
      </c>
      <c r="G134">
        <v>423.48</v>
      </c>
      <c r="H134">
        <v>22.15</v>
      </c>
      <c r="I134">
        <v>69.66</v>
      </c>
      <c r="J134">
        <v>93.9</v>
      </c>
      <c r="K134">
        <v>62.45</v>
      </c>
      <c r="L134">
        <v>53.74</v>
      </c>
      <c r="M134">
        <v>66.09</v>
      </c>
      <c r="N134">
        <v>134.11000000000001</v>
      </c>
      <c r="O134">
        <v>48.68</v>
      </c>
      <c r="P134">
        <v>195.97</v>
      </c>
      <c r="Q134">
        <v>22.11</v>
      </c>
      <c r="R134">
        <v>39235</v>
      </c>
      <c r="S134">
        <v>14.67</v>
      </c>
    </row>
    <row r="135" spans="2:19" x14ac:dyDescent="0.35">
      <c r="B135" s="2">
        <v>45313</v>
      </c>
      <c r="C135">
        <v>39.32</v>
      </c>
      <c r="D135">
        <v>483.45</v>
      </c>
      <c r="E135">
        <v>187.22</v>
      </c>
      <c r="F135">
        <v>27.71</v>
      </c>
      <c r="G135">
        <v>421.73</v>
      </c>
      <c r="H135">
        <v>22.03</v>
      </c>
      <c r="I135">
        <v>69.69</v>
      </c>
      <c r="J135">
        <v>94.65</v>
      </c>
      <c r="K135">
        <v>62.6</v>
      </c>
      <c r="L135">
        <v>53.74</v>
      </c>
      <c r="M135">
        <v>66.680000000000007</v>
      </c>
      <c r="N135">
        <v>133.94</v>
      </c>
      <c r="O135">
        <v>49.77</v>
      </c>
      <c r="P135">
        <v>196.54</v>
      </c>
      <c r="Q135">
        <v>21.14</v>
      </c>
      <c r="R135">
        <v>40180</v>
      </c>
      <c r="S135">
        <v>14.67</v>
      </c>
    </row>
    <row r="136" spans="2:19" x14ac:dyDescent="0.35">
      <c r="B136" s="2">
        <v>45310</v>
      </c>
      <c r="C136">
        <v>39.630000000000003</v>
      </c>
      <c r="D136">
        <v>482.43</v>
      </c>
      <c r="E136">
        <v>187.93</v>
      </c>
      <c r="F136">
        <v>27.7</v>
      </c>
      <c r="G136">
        <v>421.18</v>
      </c>
      <c r="H136">
        <v>21.94</v>
      </c>
      <c r="I136">
        <v>68.819999999999993</v>
      </c>
      <c r="J136">
        <v>94.09</v>
      </c>
      <c r="K136">
        <v>62.49</v>
      </c>
      <c r="L136">
        <v>53.95</v>
      </c>
      <c r="M136">
        <v>65.900000000000006</v>
      </c>
      <c r="N136">
        <v>133.63</v>
      </c>
      <c r="O136">
        <v>49.59</v>
      </c>
      <c r="P136">
        <v>192.43</v>
      </c>
      <c r="Q136">
        <v>21.68</v>
      </c>
      <c r="R136">
        <v>41585</v>
      </c>
      <c r="S136">
        <v>14.65</v>
      </c>
    </row>
    <row r="137" spans="2:19" x14ac:dyDescent="0.35">
      <c r="B137" s="2">
        <v>45309</v>
      </c>
      <c r="C137">
        <v>39.270000000000003</v>
      </c>
      <c r="D137">
        <v>476.49</v>
      </c>
      <c r="E137">
        <v>187.37</v>
      </c>
      <c r="F137">
        <v>27.74</v>
      </c>
      <c r="G137">
        <v>412.99</v>
      </c>
      <c r="H137">
        <v>21.98</v>
      </c>
      <c r="I137">
        <v>69.06</v>
      </c>
      <c r="J137">
        <v>93.79</v>
      </c>
      <c r="K137">
        <v>62.47</v>
      </c>
      <c r="L137">
        <v>53.29</v>
      </c>
      <c r="M137">
        <v>65.73</v>
      </c>
      <c r="N137">
        <v>132.25</v>
      </c>
      <c r="O137">
        <v>49.08</v>
      </c>
      <c r="P137">
        <v>190.6</v>
      </c>
      <c r="Q137">
        <v>21.53</v>
      </c>
      <c r="R137">
        <v>40880</v>
      </c>
      <c r="S137">
        <v>14.54</v>
      </c>
    </row>
    <row r="138" spans="2:19" x14ac:dyDescent="0.35">
      <c r="B138" s="2">
        <v>45308</v>
      </c>
      <c r="C138">
        <v>39.04</v>
      </c>
      <c r="D138">
        <v>472.29</v>
      </c>
      <c r="E138">
        <v>185.84</v>
      </c>
      <c r="F138">
        <v>27.71</v>
      </c>
      <c r="G138">
        <v>407.21</v>
      </c>
      <c r="H138">
        <v>21.84</v>
      </c>
      <c r="I138">
        <v>67.94</v>
      </c>
      <c r="J138">
        <v>94.67</v>
      </c>
      <c r="K138">
        <v>61.92</v>
      </c>
      <c r="L138">
        <v>52.7</v>
      </c>
      <c r="M138">
        <v>65.12</v>
      </c>
      <c r="N138">
        <v>131.15</v>
      </c>
      <c r="O138">
        <v>48.83</v>
      </c>
      <c r="P138">
        <v>189.48</v>
      </c>
      <c r="Q138">
        <v>21.45</v>
      </c>
      <c r="R138">
        <v>42810</v>
      </c>
      <c r="S138">
        <v>14.46</v>
      </c>
    </row>
    <row r="139" spans="2:19" x14ac:dyDescent="0.35">
      <c r="B139" s="2">
        <v>45307</v>
      </c>
      <c r="C139">
        <v>39.57</v>
      </c>
      <c r="D139">
        <v>474.93</v>
      </c>
      <c r="E139">
        <v>187.91</v>
      </c>
      <c r="F139">
        <v>27.69</v>
      </c>
      <c r="G139">
        <v>409.52</v>
      </c>
      <c r="H139">
        <v>21.87</v>
      </c>
      <c r="I139">
        <v>67.25</v>
      </c>
      <c r="J139">
        <v>94.82</v>
      </c>
      <c r="K139">
        <v>62.41</v>
      </c>
      <c r="L139">
        <v>53.34</v>
      </c>
      <c r="M139">
        <v>65.94</v>
      </c>
      <c r="N139">
        <v>132.01</v>
      </c>
      <c r="O139">
        <v>49.4</v>
      </c>
      <c r="P139">
        <v>190.84</v>
      </c>
      <c r="Q139">
        <v>22.02</v>
      </c>
      <c r="R139">
        <v>43295</v>
      </c>
      <c r="S139">
        <v>14.54</v>
      </c>
    </row>
    <row r="140" spans="2:19" x14ac:dyDescent="0.35">
      <c r="B140" s="2">
        <v>45303</v>
      </c>
      <c r="C140">
        <v>40.409999999999997</v>
      </c>
      <c r="D140">
        <v>476.68</v>
      </c>
      <c r="E140">
        <v>189.71</v>
      </c>
      <c r="F140">
        <v>27.45</v>
      </c>
      <c r="G140">
        <v>409.56</v>
      </c>
      <c r="H140">
        <v>22.06</v>
      </c>
      <c r="I140">
        <v>68.02</v>
      </c>
      <c r="J140">
        <v>96.52</v>
      </c>
      <c r="K140">
        <v>63.62</v>
      </c>
      <c r="L140">
        <v>54.55</v>
      </c>
      <c r="M140">
        <v>66.430000000000007</v>
      </c>
      <c r="N140">
        <v>132.93</v>
      </c>
      <c r="O140">
        <v>49.96</v>
      </c>
      <c r="P140">
        <v>193.23</v>
      </c>
      <c r="Q140">
        <v>22.73</v>
      </c>
      <c r="R140">
        <v>43690</v>
      </c>
      <c r="S140">
        <v>14.64</v>
      </c>
    </row>
    <row r="141" spans="2:19" x14ac:dyDescent="0.35">
      <c r="B141" s="2">
        <v>45302</v>
      </c>
      <c r="C141">
        <v>40.22</v>
      </c>
      <c r="D141">
        <v>476.35</v>
      </c>
      <c r="E141">
        <v>187.87</v>
      </c>
      <c r="F141">
        <v>27.42</v>
      </c>
      <c r="G141">
        <v>409.35</v>
      </c>
      <c r="H141">
        <v>21.98</v>
      </c>
      <c r="I141">
        <v>67.650000000000006</v>
      </c>
      <c r="J141">
        <v>96.71</v>
      </c>
      <c r="K141">
        <v>63.44</v>
      </c>
      <c r="L141">
        <v>54.24</v>
      </c>
      <c r="M141">
        <v>65.8</v>
      </c>
      <c r="N141">
        <v>132.82</v>
      </c>
      <c r="O141">
        <v>49.19</v>
      </c>
      <c r="P141">
        <v>193.55</v>
      </c>
      <c r="Q141">
        <v>22.83</v>
      </c>
      <c r="R141">
        <v>46350</v>
      </c>
      <c r="S141">
        <v>14.61</v>
      </c>
    </row>
    <row r="142" spans="2:19" x14ac:dyDescent="0.35">
      <c r="B142" s="2">
        <v>45301</v>
      </c>
      <c r="C142">
        <v>40.049999999999997</v>
      </c>
      <c r="D142">
        <v>476.56</v>
      </c>
      <c r="E142">
        <v>187.5</v>
      </c>
      <c r="F142">
        <v>27.4</v>
      </c>
      <c r="G142">
        <v>408.5</v>
      </c>
      <c r="H142">
        <v>21.82</v>
      </c>
      <c r="I142">
        <v>66.56</v>
      </c>
      <c r="J142">
        <v>96.17</v>
      </c>
      <c r="K142">
        <v>63.72</v>
      </c>
      <c r="L142">
        <v>54.12</v>
      </c>
      <c r="M142">
        <v>65.22</v>
      </c>
      <c r="N142">
        <v>132.83000000000001</v>
      </c>
      <c r="O142">
        <v>49.15</v>
      </c>
      <c r="P142">
        <v>195.08</v>
      </c>
      <c r="Q142">
        <v>22.49</v>
      </c>
      <c r="R142">
        <v>46325</v>
      </c>
      <c r="S142">
        <v>14.59</v>
      </c>
    </row>
    <row r="143" spans="2:19" x14ac:dyDescent="0.35">
      <c r="B143" s="2">
        <v>45300</v>
      </c>
      <c r="C143">
        <v>40.090000000000003</v>
      </c>
      <c r="D143">
        <v>473.88</v>
      </c>
      <c r="E143">
        <v>187.93</v>
      </c>
      <c r="F143">
        <v>27.45</v>
      </c>
      <c r="G143">
        <v>405.75</v>
      </c>
      <c r="H143">
        <v>21.97</v>
      </c>
      <c r="I143">
        <v>67.39</v>
      </c>
      <c r="J143">
        <v>96.62</v>
      </c>
      <c r="K143">
        <v>63.45</v>
      </c>
      <c r="L143">
        <v>54.23</v>
      </c>
      <c r="M143">
        <v>64.069999999999993</v>
      </c>
      <c r="N143">
        <v>132.06</v>
      </c>
      <c r="O143">
        <v>48.85</v>
      </c>
      <c r="P143">
        <v>194.97</v>
      </c>
      <c r="Q143">
        <v>22.48</v>
      </c>
      <c r="R143">
        <v>47045</v>
      </c>
      <c r="S143">
        <v>14.54</v>
      </c>
    </row>
    <row r="144" spans="2:19" x14ac:dyDescent="0.35">
      <c r="B144" s="2">
        <v>45299</v>
      </c>
      <c r="C144">
        <v>40.56</v>
      </c>
      <c r="D144">
        <v>474.6</v>
      </c>
      <c r="E144">
        <v>187.87</v>
      </c>
      <c r="F144">
        <v>27.36</v>
      </c>
      <c r="G144">
        <v>404.95</v>
      </c>
      <c r="H144">
        <v>21.81</v>
      </c>
      <c r="I144">
        <v>66.400000000000006</v>
      </c>
      <c r="J144">
        <v>97.24</v>
      </c>
      <c r="K144">
        <v>64.09</v>
      </c>
      <c r="L144">
        <v>54.99</v>
      </c>
      <c r="M144">
        <v>64.459999999999994</v>
      </c>
      <c r="N144">
        <v>132.59</v>
      </c>
      <c r="O144">
        <v>49.09</v>
      </c>
      <c r="P144">
        <v>196.73</v>
      </c>
      <c r="Q144">
        <v>22.94</v>
      </c>
      <c r="R144">
        <v>47305</v>
      </c>
      <c r="S144">
        <v>14.58</v>
      </c>
    </row>
    <row r="145" spans="2:19" x14ac:dyDescent="0.35">
      <c r="B145" s="2">
        <v>45296</v>
      </c>
      <c r="C145">
        <v>40.49</v>
      </c>
      <c r="D145">
        <v>467.92</v>
      </c>
      <c r="E145">
        <v>189.35</v>
      </c>
      <c r="F145">
        <v>27.41</v>
      </c>
      <c r="G145">
        <v>396.75</v>
      </c>
      <c r="H145">
        <v>22.13</v>
      </c>
      <c r="I145">
        <v>69.03</v>
      </c>
      <c r="J145">
        <v>96.29</v>
      </c>
      <c r="K145">
        <v>63.37</v>
      </c>
      <c r="L145">
        <v>54.54</v>
      </c>
      <c r="M145">
        <v>63.53</v>
      </c>
      <c r="N145">
        <v>130.86000000000001</v>
      </c>
      <c r="O145">
        <v>49.09</v>
      </c>
      <c r="P145">
        <v>193.25</v>
      </c>
      <c r="Q145">
        <v>23.23</v>
      </c>
      <c r="R145">
        <v>44385</v>
      </c>
      <c r="S145">
        <v>14.44</v>
      </c>
    </row>
    <row r="146" spans="2:19" x14ac:dyDescent="0.35">
      <c r="B146" s="2">
        <v>45295</v>
      </c>
      <c r="C146">
        <v>40.43</v>
      </c>
      <c r="D146">
        <v>467.28</v>
      </c>
      <c r="E146">
        <v>189.32</v>
      </c>
      <c r="F146">
        <v>27.41</v>
      </c>
      <c r="G146">
        <v>396.28</v>
      </c>
      <c r="H146">
        <v>22.02</v>
      </c>
      <c r="I146">
        <v>67.569999999999993</v>
      </c>
      <c r="J146">
        <v>97.22</v>
      </c>
      <c r="K146">
        <v>63.49</v>
      </c>
      <c r="L146">
        <v>54.34</v>
      </c>
      <c r="M146">
        <v>63.06</v>
      </c>
      <c r="N146">
        <v>130.69999999999999</v>
      </c>
      <c r="O146">
        <v>49.01</v>
      </c>
      <c r="P146">
        <v>193.82</v>
      </c>
      <c r="Q146">
        <v>23.36</v>
      </c>
      <c r="R146">
        <v>44630</v>
      </c>
      <c r="S146">
        <v>14.44</v>
      </c>
    </row>
    <row r="147" spans="2:19" x14ac:dyDescent="0.35">
      <c r="B147" s="2">
        <v>45294</v>
      </c>
      <c r="C147">
        <v>40.5</v>
      </c>
      <c r="D147">
        <v>468.79</v>
      </c>
      <c r="E147">
        <v>189.13</v>
      </c>
      <c r="F147">
        <v>27.41</v>
      </c>
      <c r="G147">
        <v>398.33</v>
      </c>
      <c r="H147">
        <v>22.14</v>
      </c>
      <c r="I147">
        <v>68.19</v>
      </c>
      <c r="J147">
        <v>98.72</v>
      </c>
      <c r="K147">
        <v>63.13</v>
      </c>
      <c r="L147">
        <v>54.3</v>
      </c>
      <c r="M147">
        <v>63.21</v>
      </c>
      <c r="N147">
        <v>130.85</v>
      </c>
      <c r="O147">
        <v>48.59</v>
      </c>
      <c r="P147">
        <v>194.2</v>
      </c>
      <c r="Q147">
        <v>23.67</v>
      </c>
      <c r="R147">
        <v>43080</v>
      </c>
      <c r="S147">
        <v>14.49</v>
      </c>
    </row>
    <row r="148" spans="2:19" x14ac:dyDescent="0.35">
      <c r="B148" s="2">
        <v>45293</v>
      </c>
      <c r="C148">
        <v>40.619999999999997</v>
      </c>
      <c r="D148">
        <v>472.65</v>
      </c>
      <c r="E148">
        <v>190.72</v>
      </c>
      <c r="F148">
        <v>27.32</v>
      </c>
      <c r="G148">
        <v>402.59</v>
      </c>
      <c r="H148">
        <v>21.86</v>
      </c>
      <c r="I148">
        <v>65.77</v>
      </c>
      <c r="J148">
        <v>98.31</v>
      </c>
      <c r="K148">
        <v>63.67</v>
      </c>
      <c r="L148">
        <v>54.92</v>
      </c>
      <c r="M148">
        <v>63.56</v>
      </c>
      <c r="N148">
        <v>131.91</v>
      </c>
      <c r="O148">
        <v>48.67</v>
      </c>
      <c r="P148">
        <v>199.52</v>
      </c>
      <c r="Q148">
        <v>23.24</v>
      </c>
      <c r="R148">
        <v>45330</v>
      </c>
      <c r="S148">
        <v>14.55</v>
      </c>
    </row>
    <row r="149" spans="2:19" x14ac:dyDescent="0.35">
      <c r="B149" s="2">
        <v>45289</v>
      </c>
      <c r="C149">
        <v>41.1</v>
      </c>
      <c r="D149">
        <v>475.31</v>
      </c>
      <c r="E149">
        <v>191.17</v>
      </c>
      <c r="F149">
        <v>27.09</v>
      </c>
      <c r="G149">
        <v>409.52</v>
      </c>
      <c r="H149">
        <v>22.04</v>
      </c>
      <c r="I149">
        <v>66.650000000000006</v>
      </c>
      <c r="J149">
        <v>98.88</v>
      </c>
      <c r="K149">
        <v>64.48</v>
      </c>
      <c r="L149">
        <v>55.41</v>
      </c>
      <c r="M149">
        <v>64.14</v>
      </c>
      <c r="N149">
        <v>133.02000000000001</v>
      </c>
      <c r="O149">
        <v>48.81</v>
      </c>
      <c r="P149">
        <v>200.71</v>
      </c>
      <c r="Q149">
        <v>24.03</v>
      </c>
      <c r="R149">
        <v>42485</v>
      </c>
      <c r="S149">
        <v>14.65</v>
      </c>
    </row>
    <row r="150" spans="2:19" x14ac:dyDescent="0.35">
      <c r="B150" s="2">
        <v>45288</v>
      </c>
      <c r="C150">
        <v>40.99</v>
      </c>
      <c r="D150">
        <v>476.69</v>
      </c>
      <c r="E150">
        <v>191.47</v>
      </c>
      <c r="F150">
        <v>27.04</v>
      </c>
      <c r="G150">
        <v>411.3</v>
      </c>
      <c r="H150">
        <v>22.16</v>
      </c>
      <c r="I150">
        <v>67.180000000000007</v>
      </c>
      <c r="J150">
        <v>99.78</v>
      </c>
      <c r="K150">
        <v>64.42</v>
      </c>
      <c r="L150">
        <v>55.5</v>
      </c>
      <c r="M150">
        <v>64.040000000000006</v>
      </c>
      <c r="N150">
        <v>133.28</v>
      </c>
      <c r="O150">
        <v>49.02</v>
      </c>
      <c r="P150">
        <v>204.04</v>
      </c>
      <c r="Q150">
        <v>23.88</v>
      </c>
      <c r="R150">
        <v>42515</v>
      </c>
      <c r="S150">
        <v>14.68</v>
      </c>
    </row>
    <row r="151" spans="2:19" x14ac:dyDescent="0.35">
      <c r="B151" s="2">
        <v>45287</v>
      </c>
      <c r="C151">
        <v>40.74</v>
      </c>
      <c r="D151">
        <v>476.51</v>
      </c>
      <c r="E151">
        <v>192.59</v>
      </c>
      <c r="F151">
        <v>26.95</v>
      </c>
      <c r="G151">
        <v>411.5</v>
      </c>
      <c r="H151">
        <v>22.35</v>
      </c>
      <c r="I151">
        <v>68.92</v>
      </c>
      <c r="J151">
        <v>100.51</v>
      </c>
      <c r="K151">
        <v>64.86</v>
      </c>
      <c r="L151">
        <v>55.35</v>
      </c>
      <c r="M151">
        <v>63.66</v>
      </c>
      <c r="N151">
        <v>133.36000000000001</v>
      </c>
      <c r="O151">
        <v>48.84</v>
      </c>
      <c r="P151">
        <v>204.82</v>
      </c>
      <c r="Q151">
        <v>23.25</v>
      </c>
      <c r="R151">
        <v>43565</v>
      </c>
      <c r="S151">
        <v>14.7</v>
      </c>
    </row>
    <row r="152" spans="2:19" x14ac:dyDescent="0.35">
      <c r="B152" s="2">
        <v>45286</v>
      </c>
      <c r="C152">
        <v>40.520000000000003</v>
      </c>
      <c r="D152">
        <v>475.65</v>
      </c>
      <c r="E152">
        <v>191.72</v>
      </c>
      <c r="F152">
        <v>27.09</v>
      </c>
      <c r="G152">
        <v>410.88</v>
      </c>
      <c r="H152">
        <v>22.45</v>
      </c>
      <c r="I152">
        <v>70.209999999999994</v>
      </c>
      <c r="J152">
        <v>98.76</v>
      </c>
      <c r="K152">
        <v>64.5</v>
      </c>
      <c r="L152">
        <v>54.93</v>
      </c>
      <c r="M152">
        <v>63.31</v>
      </c>
      <c r="N152">
        <v>132.97999999999999</v>
      </c>
      <c r="O152">
        <v>48.53</v>
      </c>
      <c r="P152">
        <v>204.1</v>
      </c>
      <c r="Q152">
        <v>23.22</v>
      </c>
      <c r="R152">
        <v>42150</v>
      </c>
      <c r="S152">
        <v>14.64</v>
      </c>
    </row>
    <row r="153" spans="2:19" x14ac:dyDescent="0.35">
      <c r="B153" s="2">
        <v>45282</v>
      </c>
      <c r="C153">
        <v>40.26</v>
      </c>
      <c r="D153">
        <v>473.65</v>
      </c>
      <c r="E153">
        <v>190.27</v>
      </c>
      <c r="F153">
        <v>27.15</v>
      </c>
      <c r="G153">
        <v>408.38</v>
      </c>
      <c r="H153">
        <v>22.23</v>
      </c>
      <c r="I153">
        <v>68.69</v>
      </c>
      <c r="J153">
        <v>98.474999999999994</v>
      </c>
      <c r="K153">
        <v>64.099999999999994</v>
      </c>
      <c r="L153">
        <v>54.45</v>
      </c>
      <c r="M153">
        <v>63.33</v>
      </c>
      <c r="N153">
        <v>132.43</v>
      </c>
      <c r="O153">
        <v>48.36</v>
      </c>
      <c r="P153">
        <v>201.48</v>
      </c>
      <c r="Q153">
        <v>23.05</v>
      </c>
      <c r="R153">
        <v>43765</v>
      </c>
      <c r="S153">
        <v>15.02</v>
      </c>
    </row>
    <row r="154" spans="2:19" x14ac:dyDescent="0.35">
      <c r="B154" s="2">
        <v>45281</v>
      </c>
      <c r="C154">
        <v>40.4</v>
      </c>
      <c r="D154">
        <v>472.7</v>
      </c>
      <c r="E154">
        <v>189.43</v>
      </c>
      <c r="F154">
        <v>27.16</v>
      </c>
      <c r="G154">
        <v>407.77</v>
      </c>
      <c r="H154">
        <v>22.27</v>
      </c>
      <c r="I154">
        <v>69.03</v>
      </c>
      <c r="J154">
        <v>98.93</v>
      </c>
      <c r="K154">
        <v>64.06</v>
      </c>
      <c r="L154">
        <v>54.31</v>
      </c>
      <c r="M154">
        <v>63.13</v>
      </c>
      <c r="N154">
        <v>132.16</v>
      </c>
      <c r="O154">
        <v>48.16</v>
      </c>
      <c r="P154">
        <v>199.62</v>
      </c>
      <c r="Q154">
        <v>23.71</v>
      </c>
      <c r="R154">
        <v>43860</v>
      </c>
      <c r="S154">
        <v>15.02</v>
      </c>
    </row>
    <row r="155" spans="2:19" x14ac:dyDescent="0.35">
      <c r="B155" s="2">
        <v>45280</v>
      </c>
      <c r="C155">
        <v>39.630000000000003</v>
      </c>
      <c r="D155">
        <v>468.26</v>
      </c>
      <c r="E155">
        <v>188.1</v>
      </c>
      <c r="F155">
        <v>27.34</v>
      </c>
      <c r="G155">
        <v>403.08</v>
      </c>
      <c r="H155">
        <v>22.23</v>
      </c>
      <c r="I155">
        <v>68.790000000000006</v>
      </c>
      <c r="J155">
        <v>99.56</v>
      </c>
      <c r="K155">
        <v>63.12</v>
      </c>
      <c r="L155">
        <v>53.42</v>
      </c>
      <c r="M155">
        <v>62.05</v>
      </c>
      <c r="N155">
        <v>130.63</v>
      </c>
      <c r="O155">
        <v>47.4</v>
      </c>
      <c r="P155">
        <v>196.28</v>
      </c>
      <c r="Q155">
        <v>22.91</v>
      </c>
      <c r="R155">
        <v>43630</v>
      </c>
      <c r="S155">
        <v>14.92</v>
      </c>
    </row>
    <row r="156" spans="2:19" x14ac:dyDescent="0.35">
      <c r="B156" s="2">
        <v>45279</v>
      </c>
      <c r="C156">
        <v>40.479999999999997</v>
      </c>
      <c r="D156">
        <v>474.84</v>
      </c>
      <c r="E156">
        <v>189.13</v>
      </c>
      <c r="F156">
        <v>27.22</v>
      </c>
      <c r="G156">
        <v>409.16</v>
      </c>
      <c r="H156">
        <v>22.49</v>
      </c>
      <c r="I156">
        <v>69.36</v>
      </c>
      <c r="J156">
        <v>98.89</v>
      </c>
      <c r="K156">
        <v>63.87</v>
      </c>
      <c r="L156">
        <v>54.89</v>
      </c>
      <c r="M156">
        <v>63.24</v>
      </c>
      <c r="N156">
        <v>133.47999999999999</v>
      </c>
      <c r="O156">
        <v>48.72</v>
      </c>
      <c r="P156">
        <v>200.93</v>
      </c>
      <c r="Q156">
        <v>24.2</v>
      </c>
      <c r="R156">
        <v>42360</v>
      </c>
      <c r="S156">
        <v>15.03</v>
      </c>
    </row>
    <row r="157" spans="2:19" x14ac:dyDescent="0.35">
      <c r="B157" s="2">
        <v>45278</v>
      </c>
      <c r="C157">
        <v>40.200000000000003</v>
      </c>
      <c r="D157">
        <v>471.97</v>
      </c>
      <c r="E157">
        <v>187.85</v>
      </c>
      <c r="F157">
        <v>27.34</v>
      </c>
      <c r="G157">
        <v>407.08</v>
      </c>
      <c r="H157">
        <v>22.32</v>
      </c>
      <c r="I157">
        <v>68.09</v>
      </c>
      <c r="J157">
        <v>98.36</v>
      </c>
      <c r="K157">
        <v>63.21</v>
      </c>
      <c r="L157">
        <v>54.52</v>
      </c>
      <c r="M157">
        <v>63.05</v>
      </c>
      <c r="N157">
        <v>132.56</v>
      </c>
      <c r="O157">
        <v>48.454999999999998</v>
      </c>
      <c r="P157">
        <v>197.11</v>
      </c>
      <c r="Q157">
        <v>23.88</v>
      </c>
      <c r="R157">
        <v>42105</v>
      </c>
      <c r="S157">
        <v>14.96</v>
      </c>
    </row>
    <row r="158" spans="2:19" x14ac:dyDescent="0.35">
      <c r="B158" s="2">
        <v>45275</v>
      </c>
      <c r="C158">
        <v>41.07</v>
      </c>
      <c r="D158">
        <v>469.33</v>
      </c>
      <c r="E158">
        <v>187</v>
      </c>
      <c r="F158">
        <v>29.09</v>
      </c>
      <c r="G158">
        <v>405.34</v>
      </c>
      <c r="H158">
        <v>23.25</v>
      </c>
      <c r="I158">
        <v>67.150000000000006</v>
      </c>
      <c r="J158">
        <v>99.15</v>
      </c>
      <c r="K158">
        <v>63.48</v>
      </c>
      <c r="L158">
        <v>54.37</v>
      </c>
      <c r="M158">
        <v>63.17</v>
      </c>
      <c r="N158">
        <v>131.94999999999999</v>
      </c>
      <c r="O158">
        <v>48.3</v>
      </c>
      <c r="P158">
        <v>197.04</v>
      </c>
      <c r="Q158">
        <v>24.13</v>
      </c>
      <c r="R158">
        <v>42440</v>
      </c>
      <c r="S158">
        <v>14.92</v>
      </c>
    </row>
    <row r="159" spans="2:19" x14ac:dyDescent="0.35">
      <c r="B159" s="2">
        <v>45274</v>
      </c>
      <c r="C159">
        <v>41.31</v>
      </c>
      <c r="D159">
        <v>472.01</v>
      </c>
      <c r="E159">
        <v>188.73</v>
      </c>
      <c r="F159">
        <v>28.9</v>
      </c>
      <c r="G159">
        <v>403.39</v>
      </c>
      <c r="H159">
        <v>23.21</v>
      </c>
      <c r="I159">
        <v>67.16</v>
      </c>
      <c r="J159">
        <v>99.04</v>
      </c>
      <c r="K159">
        <v>64.19</v>
      </c>
      <c r="L159">
        <v>54.69</v>
      </c>
      <c r="M159">
        <v>63.72</v>
      </c>
      <c r="N159">
        <v>132.36000000000001</v>
      </c>
      <c r="O159">
        <v>48.35</v>
      </c>
      <c r="P159">
        <v>198.71</v>
      </c>
      <c r="Q159">
        <v>24.18</v>
      </c>
      <c r="R159">
        <v>43140</v>
      </c>
      <c r="S159">
        <v>14.96</v>
      </c>
    </row>
    <row r="160" spans="2:19" x14ac:dyDescent="0.35">
      <c r="B160" s="2">
        <v>45273</v>
      </c>
      <c r="C160">
        <v>40.770000000000003</v>
      </c>
      <c r="D160">
        <v>470.5</v>
      </c>
      <c r="E160">
        <v>187.63</v>
      </c>
      <c r="F160">
        <v>29.17</v>
      </c>
      <c r="G160">
        <v>403.74</v>
      </c>
      <c r="H160">
        <v>22.83</v>
      </c>
      <c r="I160">
        <v>65.33</v>
      </c>
      <c r="J160">
        <v>96.84</v>
      </c>
      <c r="K160">
        <v>63.46</v>
      </c>
      <c r="L160">
        <v>53.93</v>
      </c>
      <c r="M160">
        <v>64.010000000000005</v>
      </c>
      <c r="N160">
        <v>131.66999999999999</v>
      </c>
      <c r="O160">
        <v>47.96</v>
      </c>
      <c r="P160">
        <v>193.33</v>
      </c>
      <c r="Q160">
        <v>23.87</v>
      </c>
      <c r="R160">
        <v>43210</v>
      </c>
      <c r="S160">
        <v>14.87</v>
      </c>
    </row>
    <row r="161" spans="2:19" x14ac:dyDescent="0.35">
      <c r="B161" s="2">
        <v>45272</v>
      </c>
      <c r="C161">
        <v>40.39</v>
      </c>
      <c r="D161">
        <v>464.1</v>
      </c>
      <c r="E161">
        <v>183.49</v>
      </c>
      <c r="F161">
        <v>29.42</v>
      </c>
      <c r="G161">
        <v>398.67</v>
      </c>
      <c r="H161">
        <v>22.57</v>
      </c>
      <c r="I161">
        <v>64.25</v>
      </c>
      <c r="J161">
        <v>94.62</v>
      </c>
      <c r="K161">
        <v>62.58</v>
      </c>
      <c r="L161">
        <v>53.14</v>
      </c>
      <c r="M161">
        <v>63.05</v>
      </c>
      <c r="N161">
        <v>129.75</v>
      </c>
      <c r="O161">
        <v>47.38</v>
      </c>
      <c r="P161">
        <v>187</v>
      </c>
      <c r="Q161">
        <v>23.95</v>
      </c>
      <c r="R161">
        <v>41455</v>
      </c>
      <c r="S161">
        <v>14.68</v>
      </c>
    </row>
    <row r="162" spans="2:19" x14ac:dyDescent="0.35">
      <c r="B162" s="2">
        <v>45271</v>
      </c>
      <c r="C162">
        <v>40.39</v>
      </c>
      <c r="D162">
        <v>461.99</v>
      </c>
      <c r="E162">
        <v>183.59</v>
      </c>
      <c r="F162">
        <v>29.5</v>
      </c>
      <c r="G162">
        <v>395.52</v>
      </c>
      <c r="H162">
        <v>22.92</v>
      </c>
      <c r="I162">
        <v>66.8</v>
      </c>
      <c r="J162">
        <v>94.34</v>
      </c>
      <c r="K162">
        <v>62.47</v>
      </c>
      <c r="L162">
        <v>53.21</v>
      </c>
      <c r="M162">
        <v>63.14</v>
      </c>
      <c r="N162">
        <v>129.41</v>
      </c>
      <c r="O162">
        <v>47.56</v>
      </c>
      <c r="P162">
        <v>187.19</v>
      </c>
      <c r="Q162">
        <v>23.79</v>
      </c>
      <c r="R162">
        <v>41035</v>
      </c>
      <c r="S162">
        <v>14.63</v>
      </c>
    </row>
    <row r="163" spans="2:19" x14ac:dyDescent="0.35">
      <c r="B163" s="2">
        <v>45268</v>
      </c>
      <c r="C163">
        <v>40.21</v>
      </c>
      <c r="D163">
        <v>460.2</v>
      </c>
      <c r="E163">
        <v>185.64</v>
      </c>
      <c r="F163">
        <v>29.46</v>
      </c>
      <c r="G163">
        <v>392.17</v>
      </c>
      <c r="H163">
        <v>23</v>
      </c>
      <c r="I163">
        <v>66.53</v>
      </c>
      <c r="J163">
        <v>94.54</v>
      </c>
      <c r="K163">
        <v>62.38</v>
      </c>
      <c r="L163">
        <v>52.99</v>
      </c>
      <c r="M163">
        <v>62.78</v>
      </c>
      <c r="N163">
        <v>128.91999999999999</v>
      </c>
      <c r="O163">
        <v>47.31</v>
      </c>
      <c r="P163">
        <v>186.8</v>
      </c>
      <c r="Q163">
        <v>23.7</v>
      </c>
      <c r="R163">
        <v>44910</v>
      </c>
      <c r="S163">
        <v>14.6</v>
      </c>
    </row>
    <row r="164" spans="2:19" x14ac:dyDescent="0.35">
      <c r="B164" s="2">
        <v>45267</v>
      </c>
      <c r="C164">
        <v>40.409999999999997</v>
      </c>
      <c r="D164">
        <v>458.23</v>
      </c>
      <c r="E164">
        <v>188.15</v>
      </c>
      <c r="F164">
        <v>29.35</v>
      </c>
      <c r="G164">
        <v>390.43</v>
      </c>
      <c r="H164">
        <v>22.9</v>
      </c>
      <c r="I164">
        <v>65.11</v>
      </c>
      <c r="J164">
        <v>95.32</v>
      </c>
      <c r="K164">
        <v>62.04</v>
      </c>
      <c r="L164">
        <v>53.01</v>
      </c>
      <c r="M164">
        <v>63.15</v>
      </c>
      <c r="N164">
        <v>128.46</v>
      </c>
      <c r="O164">
        <v>47.46</v>
      </c>
      <c r="P164">
        <v>185.39</v>
      </c>
      <c r="Q164">
        <v>24.03</v>
      </c>
      <c r="R164">
        <v>43700</v>
      </c>
      <c r="S164">
        <v>14.59</v>
      </c>
    </row>
    <row r="165" spans="2:19" x14ac:dyDescent="0.35">
      <c r="B165" s="2">
        <v>45266</v>
      </c>
      <c r="C165">
        <v>40.25</v>
      </c>
      <c r="D165">
        <v>454.76</v>
      </c>
      <c r="E165">
        <v>187.84</v>
      </c>
      <c r="F165">
        <v>29.51</v>
      </c>
      <c r="G165">
        <v>385.05</v>
      </c>
      <c r="H165">
        <v>22.86</v>
      </c>
      <c r="I165">
        <v>64.760000000000005</v>
      </c>
      <c r="J165">
        <v>95.87</v>
      </c>
      <c r="K165">
        <v>61.82</v>
      </c>
      <c r="L165">
        <v>52.72</v>
      </c>
      <c r="M165">
        <v>62.67</v>
      </c>
      <c r="N165">
        <v>127.54</v>
      </c>
      <c r="O165">
        <v>47.34</v>
      </c>
      <c r="P165">
        <v>184.06</v>
      </c>
      <c r="Q165">
        <v>23.95</v>
      </c>
      <c r="R165">
        <v>44215</v>
      </c>
      <c r="S165">
        <v>14.52</v>
      </c>
    </row>
    <row r="166" spans="2:19" x14ac:dyDescent="0.35">
      <c r="B166" s="2">
        <v>45265</v>
      </c>
      <c r="C166">
        <v>40.299999999999997</v>
      </c>
      <c r="D166">
        <v>456.6</v>
      </c>
      <c r="E166">
        <v>187.15</v>
      </c>
      <c r="F166">
        <v>29.44</v>
      </c>
      <c r="G166">
        <v>387.29</v>
      </c>
      <c r="H166">
        <v>23.43</v>
      </c>
      <c r="I166">
        <v>67.58</v>
      </c>
      <c r="J166">
        <v>94.61</v>
      </c>
      <c r="K166">
        <v>61.81</v>
      </c>
      <c r="L166">
        <v>52.78</v>
      </c>
      <c r="M166">
        <v>62.02</v>
      </c>
      <c r="N166">
        <v>127.84</v>
      </c>
      <c r="O166">
        <v>47.27</v>
      </c>
      <c r="P166">
        <v>184.39</v>
      </c>
      <c r="Q166">
        <v>23.94</v>
      </c>
      <c r="R166">
        <v>44290</v>
      </c>
      <c r="S166">
        <v>14.53</v>
      </c>
    </row>
    <row r="167" spans="2:19" x14ac:dyDescent="0.35">
      <c r="B167" s="2">
        <v>45264</v>
      </c>
      <c r="C167">
        <v>40.44</v>
      </c>
      <c r="D167">
        <v>456.69</v>
      </c>
      <c r="E167">
        <v>187.86</v>
      </c>
      <c r="F167">
        <v>29.33</v>
      </c>
      <c r="G167">
        <v>386.32</v>
      </c>
      <c r="H167">
        <v>23.64</v>
      </c>
      <c r="I167">
        <v>68.47</v>
      </c>
      <c r="J167">
        <v>92.614999999999995</v>
      </c>
      <c r="K167">
        <v>61.87</v>
      </c>
      <c r="L167">
        <v>52.88</v>
      </c>
      <c r="M167">
        <v>62.25</v>
      </c>
      <c r="N167">
        <v>128.04</v>
      </c>
      <c r="O167">
        <v>46.84</v>
      </c>
      <c r="P167">
        <v>186.89</v>
      </c>
      <c r="Q167">
        <v>24.31</v>
      </c>
      <c r="R167">
        <v>42280</v>
      </c>
      <c r="S167">
        <v>14.5</v>
      </c>
    </row>
    <row r="168" spans="2:19" x14ac:dyDescent="0.35">
      <c r="B168" s="2">
        <v>45261</v>
      </c>
      <c r="C168">
        <v>40.799999999999997</v>
      </c>
      <c r="D168">
        <v>459.1</v>
      </c>
      <c r="E168">
        <v>192.01</v>
      </c>
      <c r="F168">
        <v>29.2</v>
      </c>
      <c r="G168">
        <v>389.94</v>
      </c>
      <c r="H168">
        <v>23.8</v>
      </c>
      <c r="I168">
        <v>69.239999999999995</v>
      </c>
      <c r="J168">
        <v>92.99</v>
      </c>
      <c r="K168">
        <v>62.21</v>
      </c>
      <c r="L168">
        <v>53.35</v>
      </c>
      <c r="M168">
        <v>63.21</v>
      </c>
      <c r="N168">
        <v>128.76</v>
      </c>
      <c r="O168">
        <v>46.4</v>
      </c>
      <c r="P168">
        <v>184.91</v>
      </c>
      <c r="Q168">
        <v>24.89</v>
      </c>
      <c r="R168">
        <v>39225</v>
      </c>
      <c r="S168">
        <v>14.57</v>
      </c>
    </row>
    <row r="169" spans="2:19" x14ac:dyDescent="0.35">
      <c r="B169" s="2">
        <v>45260</v>
      </c>
      <c r="C169">
        <v>40.630000000000003</v>
      </c>
      <c r="D169">
        <v>456.4</v>
      </c>
      <c r="E169">
        <v>188.75</v>
      </c>
      <c r="F169">
        <v>29.29</v>
      </c>
      <c r="G169">
        <v>388.83</v>
      </c>
      <c r="H169">
        <v>23.91</v>
      </c>
      <c r="I169">
        <v>70.14</v>
      </c>
      <c r="J169">
        <v>91.56</v>
      </c>
      <c r="K169">
        <v>61.62</v>
      </c>
      <c r="L169">
        <v>52.88</v>
      </c>
      <c r="M169">
        <v>62.61</v>
      </c>
      <c r="N169">
        <v>127.78</v>
      </c>
      <c r="O169">
        <v>46.02</v>
      </c>
      <c r="P169">
        <v>179.66</v>
      </c>
      <c r="Q169">
        <v>25.16</v>
      </c>
      <c r="R169">
        <v>38190</v>
      </c>
      <c r="S169">
        <v>14.47</v>
      </c>
    </row>
    <row r="170" spans="2:19" x14ac:dyDescent="0.35">
      <c r="B170" s="2">
        <v>45259</v>
      </c>
      <c r="C170">
        <v>40.51</v>
      </c>
      <c r="D170">
        <v>454.61</v>
      </c>
      <c r="E170">
        <v>189.54</v>
      </c>
      <c r="F170">
        <v>29.08</v>
      </c>
      <c r="G170">
        <v>389.81</v>
      </c>
      <c r="H170">
        <v>24.32</v>
      </c>
      <c r="I170">
        <v>72.52</v>
      </c>
      <c r="J170">
        <v>92.63</v>
      </c>
      <c r="K170">
        <v>61.76</v>
      </c>
      <c r="L170">
        <v>52.84</v>
      </c>
      <c r="M170">
        <v>62.49</v>
      </c>
      <c r="N170">
        <v>127.43</v>
      </c>
      <c r="O170">
        <v>45.63</v>
      </c>
      <c r="P170">
        <v>178.98</v>
      </c>
      <c r="Q170">
        <v>25.06</v>
      </c>
      <c r="R170">
        <v>38065</v>
      </c>
      <c r="S170">
        <v>14.46</v>
      </c>
    </row>
    <row r="171" spans="2:19" x14ac:dyDescent="0.35">
      <c r="B171" s="2">
        <v>45258</v>
      </c>
      <c r="C171">
        <v>40.74</v>
      </c>
      <c r="D171">
        <v>454.93</v>
      </c>
      <c r="E171">
        <v>189.26</v>
      </c>
      <c r="F171">
        <v>29.05</v>
      </c>
      <c r="G171">
        <v>390.19</v>
      </c>
      <c r="H171">
        <v>24.15</v>
      </c>
      <c r="I171">
        <v>71.260000000000005</v>
      </c>
      <c r="J171">
        <v>91.48</v>
      </c>
      <c r="K171">
        <v>61.48</v>
      </c>
      <c r="L171">
        <v>52.91</v>
      </c>
      <c r="M171">
        <v>62.55</v>
      </c>
      <c r="N171">
        <v>127.41</v>
      </c>
      <c r="O171">
        <v>45.49</v>
      </c>
      <c r="P171">
        <v>178.04</v>
      </c>
      <c r="Q171">
        <v>25.71</v>
      </c>
      <c r="R171">
        <v>38885</v>
      </c>
      <c r="S171">
        <v>14.44</v>
      </c>
    </row>
    <row r="172" spans="2:19" x14ac:dyDescent="0.35">
      <c r="B172" s="2">
        <v>45257</v>
      </c>
      <c r="C172">
        <v>40.409999999999997</v>
      </c>
      <c r="D172">
        <v>454.48</v>
      </c>
      <c r="E172">
        <v>186.77</v>
      </c>
      <c r="F172">
        <v>29.15</v>
      </c>
      <c r="G172">
        <v>389.17</v>
      </c>
      <c r="H172">
        <v>23.86</v>
      </c>
      <c r="I172">
        <v>69.959999999999994</v>
      </c>
      <c r="J172">
        <v>91.3</v>
      </c>
      <c r="K172">
        <v>61.48</v>
      </c>
      <c r="L172">
        <v>52.33</v>
      </c>
      <c r="M172">
        <v>62.56</v>
      </c>
      <c r="N172">
        <v>127.31</v>
      </c>
      <c r="O172">
        <v>45.09</v>
      </c>
      <c r="P172">
        <v>178.73</v>
      </c>
      <c r="Q172">
        <v>26.02</v>
      </c>
      <c r="R172">
        <v>37210</v>
      </c>
      <c r="S172">
        <v>14.41</v>
      </c>
    </row>
    <row r="173" spans="2:19" x14ac:dyDescent="0.35">
      <c r="B173" s="2">
        <v>45254</v>
      </c>
      <c r="C173">
        <v>40.6</v>
      </c>
      <c r="D173">
        <v>455.3</v>
      </c>
      <c r="E173">
        <v>185.52</v>
      </c>
      <c r="F173">
        <v>29.21</v>
      </c>
      <c r="G173">
        <v>389.51</v>
      </c>
      <c r="H173">
        <v>24.02</v>
      </c>
      <c r="I173">
        <v>70.819999999999993</v>
      </c>
      <c r="J173">
        <v>89.8</v>
      </c>
      <c r="K173">
        <v>61.67</v>
      </c>
      <c r="L173">
        <v>52.38</v>
      </c>
      <c r="M173">
        <v>62.61</v>
      </c>
      <c r="N173">
        <v>127.52</v>
      </c>
      <c r="O173">
        <v>45.19</v>
      </c>
      <c r="P173">
        <v>179.33</v>
      </c>
      <c r="Q173">
        <v>26.36</v>
      </c>
      <c r="R173">
        <v>38122.839999999997</v>
      </c>
      <c r="S173">
        <v>14.4</v>
      </c>
    </row>
    <row r="174" spans="2:19" x14ac:dyDescent="0.35">
      <c r="B174" s="2">
        <v>45252</v>
      </c>
      <c r="C174">
        <v>40.47</v>
      </c>
      <c r="D174">
        <v>455.02</v>
      </c>
      <c r="E174">
        <v>184.56</v>
      </c>
      <c r="F174">
        <v>29.34</v>
      </c>
      <c r="G174">
        <v>390.06</v>
      </c>
      <c r="H174">
        <v>24.18</v>
      </c>
      <c r="I174">
        <v>71.61</v>
      </c>
      <c r="J174">
        <v>90.87</v>
      </c>
      <c r="K174">
        <v>61.02</v>
      </c>
      <c r="L174">
        <v>52.45</v>
      </c>
      <c r="M174">
        <v>62.49</v>
      </c>
      <c r="N174">
        <v>127.23</v>
      </c>
      <c r="O174">
        <v>45.21</v>
      </c>
      <c r="P174">
        <v>178.13</v>
      </c>
      <c r="Q174">
        <v>26.29</v>
      </c>
      <c r="R174">
        <v>37655</v>
      </c>
      <c r="S174">
        <v>14.4</v>
      </c>
    </row>
    <row r="175" spans="2:19" x14ac:dyDescent="0.35">
      <c r="B175" s="2">
        <v>45251</v>
      </c>
      <c r="C175">
        <v>40.58</v>
      </c>
      <c r="D175">
        <v>453.27</v>
      </c>
      <c r="E175">
        <v>185.35</v>
      </c>
      <c r="F175">
        <v>29.24</v>
      </c>
      <c r="G175">
        <v>388.47</v>
      </c>
      <c r="H175">
        <v>24.39</v>
      </c>
      <c r="I175">
        <v>72.53</v>
      </c>
      <c r="J175">
        <v>90.55</v>
      </c>
      <c r="K175">
        <v>60.92</v>
      </c>
      <c r="L175">
        <v>52.57</v>
      </c>
      <c r="M175">
        <v>62.1</v>
      </c>
      <c r="N175">
        <v>126.8</v>
      </c>
      <c r="O175">
        <v>45.06</v>
      </c>
      <c r="P175">
        <v>177.02</v>
      </c>
      <c r="Q175">
        <v>26.16</v>
      </c>
      <c r="R175">
        <v>36920</v>
      </c>
      <c r="S175">
        <v>14.37</v>
      </c>
    </row>
    <row r="176" spans="2:19" x14ac:dyDescent="0.35">
      <c r="B176" s="2">
        <v>45250</v>
      </c>
      <c r="C176">
        <v>40.82</v>
      </c>
      <c r="D176">
        <v>454.26</v>
      </c>
      <c r="E176">
        <v>183.37</v>
      </c>
      <c r="F176">
        <v>29.21</v>
      </c>
      <c r="G176">
        <v>390.74</v>
      </c>
      <c r="H176">
        <v>24.25</v>
      </c>
      <c r="I176">
        <v>72.3</v>
      </c>
      <c r="J176">
        <v>90.59</v>
      </c>
      <c r="K176">
        <v>61.18</v>
      </c>
      <c r="L176">
        <v>52.76</v>
      </c>
      <c r="M176">
        <v>62.36</v>
      </c>
      <c r="N176">
        <v>127.07</v>
      </c>
      <c r="O176">
        <v>45.05</v>
      </c>
      <c r="P176">
        <v>179.33</v>
      </c>
      <c r="Q176">
        <v>26.69</v>
      </c>
      <c r="R176">
        <v>37615</v>
      </c>
      <c r="S176">
        <v>14.39</v>
      </c>
    </row>
    <row r="177" spans="2:19" x14ac:dyDescent="0.35">
      <c r="B177" s="2">
        <v>45247</v>
      </c>
      <c r="C177">
        <v>40.39</v>
      </c>
      <c r="D177">
        <v>450.79</v>
      </c>
      <c r="E177">
        <v>183.67</v>
      </c>
      <c r="F177">
        <v>29.3</v>
      </c>
      <c r="G177">
        <v>386.04</v>
      </c>
      <c r="H177">
        <v>23.95</v>
      </c>
      <c r="I177">
        <v>70.75</v>
      </c>
      <c r="J177">
        <v>90.04</v>
      </c>
      <c r="K177">
        <v>60.9</v>
      </c>
      <c r="L177">
        <v>52.31</v>
      </c>
      <c r="M177">
        <v>62.35</v>
      </c>
      <c r="N177">
        <v>126.3</v>
      </c>
      <c r="O177">
        <v>45.045000000000002</v>
      </c>
      <c r="P177">
        <v>178.29</v>
      </c>
      <c r="Q177">
        <v>26.12</v>
      </c>
      <c r="R177">
        <v>36565</v>
      </c>
      <c r="S177">
        <v>14.31</v>
      </c>
    </row>
    <row r="178" spans="2:19" x14ac:dyDescent="0.35">
      <c r="B178" s="2">
        <v>45246</v>
      </c>
      <c r="C178">
        <v>40.229999999999997</v>
      </c>
      <c r="D178">
        <v>450.23</v>
      </c>
      <c r="E178">
        <v>183.69</v>
      </c>
      <c r="F178">
        <v>29.46</v>
      </c>
      <c r="G178">
        <v>385.95</v>
      </c>
      <c r="H178">
        <v>23.61</v>
      </c>
      <c r="I178">
        <v>68.05</v>
      </c>
      <c r="J178">
        <v>89.62</v>
      </c>
      <c r="K178">
        <v>60.07</v>
      </c>
      <c r="L178">
        <v>52.24</v>
      </c>
      <c r="M178">
        <v>61.39</v>
      </c>
      <c r="N178">
        <v>125.66</v>
      </c>
      <c r="O178">
        <v>44.98</v>
      </c>
      <c r="P178">
        <v>175.88</v>
      </c>
      <c r="Q178">
        <v>26.1</v>
      </c>
      <c r="R178">
        <v>36040</v>
      </c>
      <c r="S178">
        <v>14.27</v>
      </c>
    </row>
    <row r="179" spans="2:19" x14ac:dyDescent="0.35">
      <c r="B179" s="2">
        <v>45245</v>
      </c>
      <c r="C179">
        <v>40.65</v>
      </c>
      <c r="D179">
        <v>449.68</v>
      </c>
      <c r="E179">
        <v>181.64</v>
      </c>
      <c r="F179">
        <v>29.44</v>
      </c>
      <c r="G179">
        <v>385.62</v>
      </c>
      <c r="H179">
        <v>24.19</v>
      </c>
      <c r="I179">
        <v>71.34</v>
      </c>
      <c r="J179">
        <v>88.52</v>
      </c>
      <c r="K179">
        <v>60.2</v>
      </c>
      <c r="L179">
        <v>52.18</v>
      </c>
      <c r="M179">
        <v>61.18</v>
      </c>
      <c r="N179">
        <v>125.66</v>
      </c>
      <c r="O179">
        <v>44.94</v>
      </c>
      <c r="P179">
        <v>178.77</v>
      </c>
      <c r="Q179">
        <v>27.21</v>
      </c>
      <c r="R179">
        <v>37820</v>
      </c>
      <c r="S179">
        <v>14.24</v>
      </c>
    </row>
    <row r="180" spans="2:19" x14ac:dyDescent="0.35">
      <c r="B180" s="2">
        <v>45244</v>
      </c>
      <c r="C180">
        <v>40.369999999999997</v>
      </c>
      <c r="D180">
        <v>448.73</v>
      </c>
      <c r="E180">
        <v>182.12</v>
      </c>
      <c r="F180">
        <v>29.33</v>
      </c>
      <c r="G180">
        <v>385.33</v>
      </c>
      <c r="H180">
        <v>24.35</v>
      </c>
      <c r="I180">
        <v>72.69</v>
      </c>
      <c r="J180">
        <v>89.78</v>
      </c>
      <c r="K180">
        <v>60.21</v>
      </c>
      <c r="L180">
        <v>51.98</v>
      </c>
      <c r="M180">
        <v>61.64</v>
      </c>
      <c r="N180">
        <v>125.46</v>
      </c>
      <c r="O180">
        <v>45.08</v>
      </c>
      <c r="P180">
        <v>178.46</v>
      </c>
      <c r="Q180">
        <v>26.58</v>
      </c>
      <c r="R180">
        <v>35365</v>
      </c>
      <c r="S180">
        <v>14.26</v>
      </c>
    </row>
    <row r="181" spans="2:19" x14ac:dyDescent="0.35">
      <c r="B181" s="2">
        <v>45243</v>
      </c>
      <c r="C181">
        <v>39.450000000000003</v>
      </c>
      <c r="D181">
        <v>440.19</v>
      </c>
      <c r="E181">
        <v>180.51</v>
      </c>
      <c r="F181">
        <v>29.8</v>
      </c>
      <c r="G181">
        <v>377.21</v>
      </c>
      <c r="H181">
        <v>24.39</v>
      </c>
      <c r="I181">
        <v>72.92</v>
      </c>
      <c r="J181">
        <v>87.79</v>
      </c>
      <c r="K181">
        <v>58.48</v>
      </c>
      <c r="L181">
        <v>50.64</v>
      </c>
      <c r="M181">
        <v>60.44</v>
      </c>
      <c r="N181">
        <v>122.88</v>
      </c>
      <c r="O181">
        <v>44.42</v>
      </c>
      <c r="P181">
        <v>169.17</v>
      </c>
      <c r="Q181">
        <v>26.02</v>
      </c>
      <c r="R181">
        <v>36915</v>
      </c>
      <c r="S181">
        <v>14.02</v>
      </c>
    </row>
    <row r="182" spans="2:19" x14ac:dyDescent="0.35">
      <c r="B182" s="2">
        <v>45240</v>
      </c>
      <c r="C182">
        <v>39.380000000000003</v>
      </c>
      <c r="D182">
        <v>440.61</v>
      </c>
      <c r="E182">
        <v>179.51</v>
      </c>
      <c r="F182">
        <v>29.84</v>
      </c>
      <c r="G182">
        <v>378.39</v>
      </c>
      <c r="H182">
        <v>24.04</v>
      </c>
      <c r="I182">
        <v>71.790000000000006</v>
      </c>
      <c r="J182">
        <v>87.99</v>
      </c>
      <c r="K182">
        <v>58.33</v>
      </c>
      <c r="L182">
        <v>50.84</v>
      </c>
      <c r="M182">
        <v>60.47</v>
      </c>
      <c r="N182">
        <v>122.84</v>
      </c>
      <c r="O182">
        <v>44.49</v>
      </c>
      <c r="P182">
        <v>169.11</v>
      </c>
      <c r="Q182">
        <v>25.68</v>
      </c>
      <c r="R182">
        <v>37555</v>
      </c>
      <c r="S182">
        <v>14.02</v>
      </c>
    </row>
    <row r="183" spans="2:19" x14ac:dyDescent="0.35">
      <c r="B183" s="2">
        <v>45239</v>
      </c>
      <c r="C183">
        <v>39.11</v>
      </c>
      <c r="D183">
        <v>433.84</v>
      </c>
      <c r="E183">
        <v>181.49</v>
      </c>
      <c r="F183">
        <v>29.86</v>
      </c>
      <c r="G183">
        <v>370.07</v>
      </c>
      <c r="H183">
        <v>23.92</v>
      </c>
      <c r="I183">
        <v>70.25</v>
      </c>
      <c r="J183">
        <v>87.5</v>
      </c>
      <c r="K183">
        <v>58.06</v>
      </c>
      <c r="L183">
        <v>50.32</v>
      </c>
      <c r="M183">
        <v>59.89</v>
      </c>
      <c r="N183">
        <v>121.31</v>
      </c>
      <c r="O183">
        <v>44.04</v>
      </c>
      <c r="P183">
        <v>167.24</v>
      </c>
      <c r="Q183">
        <v>25.76</v>
      </c>
      <c r="R183">
        <v>36805</v>
      </c>
      <c r="S183">
        <v>13.89</v>
      </c>
    </row>
    <row r="184" spans="2:19" x14ac:dyDescent="0.35">
      <c r="B184" s="2">
        <v>45238</v>
      </c>
      <c r="C184">
        <v>39.46</v>
      </c>
      <c r="D184">
        <v>437.25</v>
      </c>
      <c r="E184">
        <v>180.77</v>
      </c>
      <c r="F184">
        <v>29.73</v>
      </c>
      <c r="G184">
        <v>372.94</v>
      </c>
      <c r="H184">
        <v>23.98</v>
      </c>
      <c r="I184">
        <v>70.19</v>
      </c>
      <c r="J184">
        <v>89.56</v>
      </c>
      <c r="K184">
        <v>58.07</v>
      </c>
      <c r="L184">
        <v>50.69</v>
      </c>
      <c r="M184">
        <v>59.64</v>
      </c>
      <c r="N184">
        <v>122.02</v>
      </c>
      <c r="O184">
        <v>44.33</v>
      </c>
      <c r="P184">
        <v>169.87</v>
      </c>
      <c r="Q184">
        <v>26.12</v>
      </c>
      <c r="R184">
        <v>35895</v>
      </c>
      <c r="S184">
        <v>13.99</v>
      </c>
    </row>
    <row r="185" spans="2:19" x14ac:dyDescent="0.35">
      <c r="B185" s="2">
        <v>45237</v>
      </c>
      <c r="C185">
        <v>39.64</v>
      </c>
      <c r="D185">
        <v>436.93</v>
      </c>
      <c r="E185">
        <v>182.59</v>
      </c>
      <c r="F185">
        <v>29.74</v>
      </c>
      <c r="G185">
        <v>372.7</v>
      </c>
      <c r="H185">
        <v>24.25</v>
      </c>
      <c r="I185">
        <v>71.8</v>
      </c>
      <c r="J185">
        <v>88.06</v>
      </c>
      <c r="K185">
        <v>57.79</v>
      </c>
      <c r="L185">
        <v>51.02</v>
      </c>
      <c r="M185">
        <v>60.64</v>
      </c>
      <c r="N185">
        <v>121.99</v>
      </c>
      <c r="O185">
        <v>44.21</v>
      </c>
      <c r="P185">
        <v>171.7</v>
      </c>
      <c r="Q185">
        <v>26.31</v>
      </c>
      <c r="R185">
        <v>36145</v>
      </c>
      <c r="S185">
        <v>13.97</v>
      </c>
    </row>
    <row r="186" spans="2:19" x14ac:dyDescent="0.35">
      <c r="B186" s="2">
        <v>45236</v>
      </c>
      <c r="C186">
        <v>39.630000000000003</v>
      </c>
      <c r="D186">
        <v>435.69</v>
      </c>
      <c r="E186">
        <v>183.35</v>
      </c>
      <c r="F186">
        <v>29.64</v>
      </c>
      <c r="G186">
        <v>369.21</v>
      </c>
      <c r="H186">
        <v>24.78</v>
      </c>
      <c r="I186">
        <v>74.91</v>
      </c>
      <c r="J186">
        <v>86.78</v>
      </c>
      <c r="K186">
        <v>58.05</v>
      </c>
      <c r="L186">
        <v>51.16</v>
      </c>
      <c r="M186">
        <v>61.2</v>
      </c>
      <c r="N186">
        <v>121.89</v>
      </c>
      <c r="O186">
        <v>44.19</v>
      </c>
      <c r="P186">
        <v>172.31</v>
      </c>
      <c r="Q186">
        <v>26.43</v>
      </c>
      <c r="R186">
        <v>35320</v>
      </c>
      <c r="S186">
        <v>13.93</v>
      </c>
    </row>
    <row r="187" spans="2:19" x14ac:dyDescent="0.35">
      <c r="B187" s="2">
        <v>45233</v>
      </c>
      <c r="C187">
        <v>39.51</v>
      </c>
      <c r="D187">
        <v>434.69</v>
      </c>
      <c r="E187">
        <v>184.79</v>
      </c>
      <c r="F187">
        <v>29.61</v>
      </c>
      <c r="G187">
        <v>367.71</v>
      </c>
      <c r="H187">
        <v>24.68</v>
      </c>
      <c r="I187">
        <v>74.849999999999994</v>
      </c>
      <c r="J187">
        <v>87.63</v>
      </c>
      <c r="K187">
        <v>58.24</v>
      </c>
      <c r="L187">
        <v>50.68</v>
      </c>
      <c r="M187">
        <v>62</v>
      </c>
      <c r="N187">
        <v>121.93</v>
      </c>
      <c r="O187">
        <v>44.15</v>
      </c>
      <c r="P187">
        <v>174.49</v>
      </c>
      <c r="Q187">
        <v>26.35</v>
      </c>
      <c r="R187">
        <v>34805</v>
      </c>
      <c r="S187">
        <v>13.94</v>
      </c>
    </row>
    <row r="188" spans="2:19" x14ac:dyDescent="0.35">
      <c r="B188" s="2">
        <v>45232</v>
      </c>
      <c r="C188">
        <v>38.799999999999997</v>
      </c>
      <c r="D188">
        <v>430.76</v>
      </c>
      <c r="E188">
        <v>184.12</v>
      </c>
      <c r="F188">
        <v>29.89</v>
      </c>
      <c r="G188">
        <v>363.44</v>
      </c>
      <c r="H188">
        <v>24.81</v>
      </c>
      <c r="I188">
        <v>76.180000000000007</v>
      </c>
      <c r="J188">
        <v>87.04</v>
      </c>
      <c r="K188">
        <v>57.76</v>
      </c>
      <c r="L188">
        <v>49.89</v>
      </c>
      <c r="M188">
        <v>60.95</v>
      </c>
      <c r="N188">
        <v>120.72</v>
      </c>
      <c r="O188">
        <v>43.83</v>
      </c>
      <c r="P188">
        <v>169.87</v>
      </c>
      <c r="Q188">
        <v>25.75</v>
      </c>
      <c r="R188">
        <v>35300</v>
      </c>
      <c r="S188">
        <v>13.82</v>
      </c>
    </row>
    <row r="189" spans="2:19" x14ac:dyDescent="0.35">
      <c r="B189" s="2">
        <v>45231</v>
      </c>
      <c r="C189">
        <v>38.21</v>
      </c>
      <c r="D189">
        <v>422.66</v>
      </c>
      <c r="E189">
        <v>183.51</v>
      </c>
      <c r="F189">
        <v>30.04</v>
      </c>
      <c r="G189">
        <v>356.96</v>
      </c>
      <c r="H189">
        <v>24.55</v>
      </c>
      <c r="I189">
        <v>74.75</v>
      </c>
      <c r="J189">
        <v>85.1</v>
      </c>
      <c r="K189">
        <v>56.52</v>
      </c>
      <c r="L189">
        <v>48.87</v>
      </c>
      <c r="M189">
        <v>59.97</v>
      </c>
      <c r="N189">
        <v>118.32</v>
      </c>
      <c r="O189">
        <v>43.4</v>
      </c>
      <c r="P189">
        <v>165.46</v>
      </c>
      <c r="Q189">
        <v>25.48</v>
      </c>
      <c r="R189">
        <v>34965</v>
      </c>
      <c r="S189">
        <v>13.63</v>
      </c>
    </row>
    <row r="190" spans="2:19" x14ac:dyDescent="0.35">
      <c r="B190" s="2">
        <v>45230</v>
      </c>
      <c r="C190">
        <v>37.94</v>
      </c>
      <c r="D190">
        <v>418.2</v>
      </c>
      <c r="E190">
        <v>184.09</v>
      </c>
      <c r="F190">
        <v>30.03</v>
      </c>
      <c r="G190">
        <v>350.87</v>
      </c>
      <c r="H190">
        <v>24.51</v>
      </c>
      <c r="I190">
        <v>75.02</v>
      </c>
      <c r="J190">
        <v>83.58</v>
      </c>
      <c r="K190">
        <v>56.14</v>
      </c>
      <c r="L190">
        <v>48.21</v>
      </c>
      <c r="M190">
        <v>58.96</v>
      </c>
      <c r="N190">
        <v>117.11</v>
      </c>
      <c r="O190">
        <v>43.24</v>
      </c>
      <c r="P190">
        <v>164.52</v>
      </c>
      <c r="Q190">
        <v>25.52</v>
      </c>
      <c r="R190">
        <v>34905</v>
      </c>
      <c r="S190">
        <v>13.48</v>
      </c>
    </row>
    <row r="191" spans="2:19" x14ac:dyDescent="0.35">
      <c r="B191" s="2">
        <v>45229</v>
      </c>
      <c r="C191">
        <v>38.119999999999997</v>
      </c>
      <c r="D191">
        <v>415.59</v>
      </c>
      <c r="E191">
        <v>185.1</v>
      </c>
      <c r="F191">
        <v>29.85</v>
      </c>
      <c r="G191">
        <v>349.2</v>
      </c>
      <c r="H191">
        <v>24.6</v>
      </c>
      <c r="I191">
        <v>76.05</v>
      </c>
      <c r="J191">
        <v>83.99</v>
      </c>
      <c r="K191">
        <v>56.04</v>
      </c>
      <c r="L191">
        <v>48.37</v>
      </c>
      <c r="M191">
        <v>58.25</v>
      </c>
      <c r="N191">
        <v>116.43</v>
      </c>
      <c r="O191">
        <v>43.33</v>
      </c>
      <c r="P191">
        <v>163.11000000000001</v>
      </c>
      <c r="Q191">
        <v>25.94</v>
      </c>
      <c r="R191">
        <v>34765</v>
      </c>
      <c r="S191">
        <v>13.45</v>
      </c>
    </row>
    <row r="192" spans="2:19" x14ac:dyDescent="0.35">
      <c r="B192" s="2">
        <v>45226</v>
      </c>
      <c r="C192">
        <v>37.78</v>
      </c>
      <c r="D192">
        <v>410.68</v>
      </c>
      <c r="E192">
        <v>186.15</v>
      </c>
      <c r="F192">
        <v>29.97</v>
      </c>
      <c r="G192">
        <v>345.31</v>
      </c>
      <c r="H192">
        <v>25</v>
      </c>
      <c r="I192">
        <v>78.36</v>
      </c>
      <c r="J192">
        <v>84.37</v>
      </c>
      <c r="K192">
        <v>55.18</v>
      </c>
      <c r="L192">
        <v>47.86</v>
      </c>
      <c r="M192">
        <v>57.82</v>
      </c>
      <c r="N192">
        <v>115.01</v>
      </c>
      <c r="O192">
        <v>42.96</v>
      </c>
      <c r="P192">
        <v>162.21</v>
      </c>
      <c r="Q192">
        <v>25.67</v>
      </c>
      <c r="R192">
        <v>33955</v>
      </c>
      <c r="S192">
        <v>13.37</v>
      </c>
    </row>
    <row r="193" spans="2:19" x14ac:dyDescent="0.35">
      <c r="B193" s="2">
        <v>45225</v>
      </c>
      <c r="C193">
        <v>37.74</v>
      </c>
      <c r="D193">
        <v>412.55</v>
      </c>
      <c r="E193">
        <v>184.01</v>
      </c>
      <c r="F193">
        <v>30.01</v>
      </c>
      <c r="G193">
        <v>343.66</v>
      </c>
      <c r="H193">
        <v>24.67</v>
      </c>
      <c r="I193">
        <v>76.89</v>
      </c>
      <c r="J193">
        <v>84.73</v>
      </c>
      <c r="K193">
        <v>55.57</v>
      </c>
      <c r="L193">
        <v>48.02</v>
      </c>
      <c r="M193">
        <v>57.34</v>
      </c>
      <c r="N193">
        <v>115.58</v>
      </c>
      <c r="O193">
        <v>42.73</v>
      </c>
      <c r="P193">
        <v>164.14</v>
      </c>
      <c r="Q193">
        <v>25.58</v>
      </c>
      <c r="R193">
        <v>34065</v>
      </c>
      <c r="S193">
        <v>13.4</v>
      </c>
    </row>
    <row r="194" spans="2:19" x14ac:dyDescent="0.35">
      <c r="B194" s="2">
        <v>45224</v>
      </c>
      <c r="C194">
        <v>37.880000000000003</v>
      </c>
      <c r="D194">
        <v>417.55</v>
      </c>
      <c r="E194">
        <v>183.72</v>
      </c>
      <c r="F194">
        <v>29.94</v>
      </c>
      <c r="G194">
        <v>350.34</v>
      </c>
      <c r="H194">
        <v>24.88</v>
      </c>
      <c r="I194">
        <v>78.459999999999994</v>
      </c>
      <c r="J194">
        <v>83.45</v>
      </c>
      <c r="K194">
        <v>55.81</v>
      </c>
      <c r="L194">
        <v>48.41</v>
      </c>
      <c r="M194">
        <v>58.13</v>
      </c>
      <c r="N194">
        <v>116.77</v>
      </c>
      <c r="O194">
        <v>43.25</v>
      </c>
      <c r="P194">
        <v>163.72</v>
      </c>
      <c r="Q194">
        <v>25.53</v>
      </c>
      <c r="R194">
        <v>34840</v>
      </c>
      <c r="S194">
        <v>13.46</v>
      </c>
    </row>
    <row r="195" spans="2:19" x14ac:dyDescent="0.35">
      <c r="B195" s="2">
        <v>45223</v>
      </c>
      <c r="C195">
        <v>38.29</v>
      </c>
      <c r="D195">
        <v>423.63</v>
      </c>
      <c r="E195">
        <v>182.95</v>
      </c>
      <c r="F195">
        <v>29.86</v>
      </c>
      <c r="G195">
        <v>359.13</v>
      </c>
      <c r="H195">
        <v>24.7</v>
      </c>
      <c r="I195">
        <v>76.930000000000007</v>
      </c>
      <c r="J195">
        <v>85.35</v>
      </c>
      <c r="K195">
        <v>56.31</v>
      </c>
      <c r="L195">
        <v>49</v>
      </c>
      <c r="M195">
        <v>58.36</v>
      </c>
      <c r="N195">
        <v>118.3</v>
      </c>
      <c r="O195">
        <v>43.75</v>
      </c>
      <c r="P195">
        <v>166.47</v>
      </c>
      <c r="Q195">
        <v>26.06</v>
      </c>
      <c r="R195">
        <v>33845</v>
      </c>
      <c r="S195">
        <v>13.61</v>
      </c>
    </row>
    <row r="196" spans="2:19" x14ac:dyDescent="0.35">
      <c r="B196" s="2">
        <v>45222</v>
      </c>
      <c r="C196">
        <v>37.82</v>
      </c>
      <c r="D196">
        <v>420.46</v>
      </c>
      <c r="E196">
        <v>182.97</v>
      </c>
      <c r="F196">
        <v>29.69</v>
      </c>
      <c r="G196">
        <v>355.67</v>
      </c>
      <c r="H196">
        <v>24.97</v>
      </c>
      <c r="I196">
        <v>78.89</v>
      </c>
      <c r="J196">
        <v>84.24</v>
      </c>
      <c r="K196">
        <v>56.1</v>
      </c>
      <c r="L196">
        <v>48.66</v>
      </c>
      <c r="M196">
        <v>57.99</v>
      </c>
      <c r="N196">
        <v>117.5</v>
      </c>
      <c r="O196">
        <v>43.62</v>
      </c>
      <c r="P196">
        <v>165.03</v>
      </c>
      <c r="Q196">
        <v>25.25</v>
      </c>
      <c r="R196">
        <v>31485</v>
      </c>
      <c r="S196">
        <v>13.53</v>
      </c>
    </row>
    <row r="197" spans="2:19" x14ac:dyDescent="0.35">
      <c r="B197" s="2">
        <v>45219</v>
      </c>
      <c r="C197">
        <v>37.9</v>
      </c>
      <c r="D197">
        <v>421.19</v>
      </c>
      <c r="E197">
        <v>183.59</v>
      </c>
      <c r="F197">
        <v>29.84</v>
      </c>
      <c r="G197">
        <v>354.6</v>
      </c>
      <c r="H197">
        <v>25.13</v>
      </c>
      <c r="I197">
        <v>80.7</v>
      </c>
      <c r="J197">
        <v>83.24</v>
      </c>
      <c r="K197">
        <v>55.98</v>
      </c>
      <c r="L197">
        <v>48.81</v>
      </c>
      <c r="M197">
        <v>58.13</v>
      </c>
      <c r="N197">
        <v>117.65</v>
      </c>
      <c r="O197">
        <v>43.98</v>
      </c>
      <c r="P197">
        <v>166.44</v>
      </c>
      <c r="Q197">
        <v>25.03</v>
      </c>
      <c r="R197">
        <v>29685</v>
      </c>
      <c r="S197">
        <v>13.52</v>
      </c>
    </row>
    <row r="198" spans="2:19" x14ac:dyDescent="0.35">
      <c r="B198" s="2">
        <v>45218</v>
      </c>
      <c r="C198">
        <v>38.36</v>
      </c>
      <c r="D198">
        <v>426.43</v>
      </c>
      <c r="E198">
        <v>183.09</v>
      </c>
      <c r="F198">
        <v>29.83</v>
      </c>
      <c r="G198">
        <v>359.97</v>
      </c>
      <c r="H198">
        <v>25.32</v>
      </c>
      <c r="I198">
        <v>81.680000000000007</v>
      </c>
      <c r="J198">
        <v>82.77</v>
      </c>
      <c r="K198">
        <v>56.52</v>
      </c>
      <c r="L198">
        <v>49.32</v>
      </c>
      <c r="M198">
        <v>58.52</v>
      </c>
      <c r="N198">
        <v>118.98</v>
      </c>
      <c r="O198">
        <v>44.33</v>
      </c>
      <c r="P198">
        <v>168.62</v>
      </c>
      <c r="Q198">
        <v>25.56</v>
      </c>
      <c r="R198">
        <v>28900</v>
      </c>
      <c r="S198">
        <v>13.6</v>
      </c>
    </row>
    <row r="199" spans="2:19" x14ac:dyDescent="0.35">
      <c r="B199" s="2">
        <v>45217</v>
      </c>
      <c r="C199">
        <v>38.5</v>
      </c>
      <c r="D199">
        <v>430.21</v>
      </c>
      <c r="E199">
        <v>180.87</v>
      </c>
      <c r="F199">
        <v>29.92</v>
      </c>
      <c r="G199">
        <v>363.37</v>
      </c>
      <c r="H199">
        <v>25.06</v>
      </c>
      <c r="I199">
        <v>79.84</v>
      </c>
      <c r="J199">
        <v>84.5</v>
      </c>
      <c r="K199">
        <v>56.99</v>
      </c>
      <c r="L199">
        <v>49.42</v>
      </c>
      <c r="M199">
        <v>58.95</v>
      </c>
      <c r="N199">
        <v>120.06</v>
      </c>
      <c r="O199">
        <v>44.22</v>
      </c>
      <c r="P199">
        <v>171.35</v>
      </c>
      <c r="Q199">
        <v>26.01</v>
      </c>
      <c r="R199">
        <v>28320</v>
      </c>
      <c r="S199">
        <v>13.71</v>
      </c>
    </row>
    <row r="200" spans="2:19" x14ac:dyDescent="0.35">
      <c r="B200" s="2">
        <v>45216</v>
      </c>
      <c r="C200">
        <v>39.14</v>
      </c>
      <c r="D200">
        <v>436.02</v>
      </c>
      <c r="E200">
        <v>178.29</v>
      </c>
      <c r="F200">
        <v>29.81</v>
      </c>
      <c r="G200">
        <v>368.2</v>
      </c>
      <c r="H200">
        <v>24.84</v>
      </c>
      <c r="I200">
        <v>78.8</v>
      </c>
      <c r="J200">
        <v>85.25</v>
      </c>
      <c r="K200">
        <v>58.06</v>
      </c>
      <c r="L200">
        <v>50.13</v>
      </c>
      <c r="M200">
        <v>59.89</v>
      </c>
      <c r="N200">
        <v>121.84</v>
      </c>
      <c r="O200">
        <v>44.77</v>
      </c>
      <c r="P200">
        <v>174.95</v>
      </c>
      <c r="Q200">
        <v>26.45</v>
      </c>
      <c r="R200">
        <v>28620</v>
      </c>
      <c r="S200">
        <v>13.85</v>
      </c>
    </row>
    <row r="201" spans="2:19" x14ac:dyDescent="0.35">
      <c r="B201" s="2">
        <v>45215</v>
      </c>
      <c r="C201">
        <v>39.31</v>
      </c>
      <c r="D201">
        <v>436.04</v>
      </c>
      <c r="E201">
        <v>177.96</v>
      </c>
      <c r="F201">
        <v>29.8</v>
      </c>
      <c r="G201">
        <v>369.41</v>
      </c>
      <c r="H201">
        <v>24.77</v>
      </c>
      <c r="I201">
        <v>78.39</v>
      </c>
      <c r="J201">
        <v>86.2</v>
      </c>
      <c r="K201">
        <v>58.12</v>
      </c>
      <c r="L201">
        <v>50.17</v>
      </c>
      <c r="M201">
        <v>59.77</v>
      </c>
      <c r="N201">
        <v>121.85</v>
      </c>
      <c r="O201">
        <v>44.76</v>
      </c>
      <c r="P201">
        <v>173.02</v>
      </c>
      <c r="Q201">
        <v>26.65</v>
      </c>
      <c r="R201">
        <v>28575</v>
      </c>
      <c r="S201">
        <v>13.83</v>
      </c>
    </row>
    <row r="202" spans="2:19" x14ac:dyDescent="0.35">
      <c r="B202" s="2">
        <v>45212</v>
      </c>
      <c r="C202">
        <v>39.03</v>
      </c>
      <c r="D202">
        <v>431.5</v>
      </c>
      <c r="E202">
        <v>178.83</v>
      </c>
      <c r="F202">
        <v>29.93</v>
      </c>
      <c r="G202">
        <v>365.28</v>
      </c>
      <c r="H202">
        <v>24.85</v>
      </c>
      <c r="I202">
        <v>78.989999999999995</v>
      </c>
      <c r="J202">
        <v>87.61</v>
      </c>
      <c r="K202">
        <v>57.59</v>
      </c>
      <c r="L202">
        <v>49.67</v>
      </c>
      <c r="M202">
        <v>59.58</v>
      </c>
      <c r="N202">
        <v>120.68</v>
      </c>
      <c r="O202">
        <v>44.46</v>
      </c>
      <c r="P202">
        <v>170.27</v>
      </c>
      <c r="Q202">
        <v>26.48</v>
      </c>
      <c r="R202">
        <v>26840</v>
      </c>
      <c r="S202">
        <v>13.83</v>
      </c>
    </row>
    <row r="203" spans="2:19" x14ac:dyDescent="0.35">
      <c r="B203" s="2">
        <v>45211</v>
      </c>
      <c r="C203">
        <v>39.18</v>
      </c>
      <c r="D203">
        <v>433.66</v>
      </c>
      <c r="E203">
        <v>173.26</v>
      </c>
      <c r="F203">
        <v>29.91</v>
      </c>
      <c r="G203">
        <v>369.93</v>
      </c>
      <c r="H203">
        <v>24.21</v>
      </c>
      <c r="I203">
        <v>75.42</v>
      </c>
      <c r="J203">
        <v>86.07</v>
      </c>
      <c r="K203">
        <v>58.12</v>
      </c>
      <c r="L203">
        <v>49.86</v>
      </c>
      <c r="M203">
        <v>60.33</v>
      </c>
      <c r="N203">
        <v>121.38</v>
      </c>
      <c r="O203">
        <v>44.32</v>
      </c>
      <c r="P203">
        <v>171.7</v>
      </c>
      <c r="Q203">
        <v>26.68</v>
      </c>
      <c r="R203">
        <v>26755</v>
      </c>
      <c r="S203">
        <v>13.86</v>
      </c>
    </row>
    <row r="204" spans="2:19" x14ac:dyDescent="0.35">
      <c r="B204" s="2">
        <v>45210</v>
      </c>
      <c r="C204">
        <v>39.6</v>
      </c>
      <c r="D204">
        <v>436.32</v>
      </c>
      <c r="E204">
        <v>173.79</v>
      </c>
      <c r="F204">
        <v>29.66</v>
      </c>
      <c r="G204">
        <v>371.22</v>
      </c>
      <c r="H204">
        <v>24.22</v>
      </c>
      <c r="I204">
        <v>75.67</v>
      </c>
      <c r="J204">
        <v>88.47</v>
      </c>
      <c r="K204">
        <v>58.79</v>
      </c>
      <c r="L204">
        <v>50.27</v>
      </c>
      <c r="M204">
        <v>60.18</v>
      </c>
      <c r="N204">
        <v>122.32</v>
      </c>
      <c r="O204">
        <v>44.68</v>
      </c>
      <c r="P204">
        <v>175.67</v>
      </c>
      <c r="Q204">
        <v>27.15</v>
      </c>
      <c r="R204">
        <v>26800</v>
      </c>
      <c r="S204">
        <v>13.96</v>
      </c>
    </row>
    <row r="205" spans="2:19" x14ac:dyDescent="0.35">
      <c r="B205" s="2">
        <v>45209</v>
      </c>
      <c r="C205">
        <v>39.479999999999997</v>
      </c>
      <c r="D205">
        <v>434.54</v>
      </c>
      <c r="E205">
        <v>172.53</v>
      </c>
      <c r="F205">
        <v>29.66</v>
      </c>
      <c r="G205">
        <v>368.59</v>
      </c>
      <c r="H205">
        <v>24.36</v>
      </c>
      <c r="I205">
        <v>76.709999999999994</v>
      </c>
      <c r="J205">
        <v>86.66</v>
      </c>
      <c r="K205">
        <v>58.4</v>
      </c>
      <c r="L205">
        <v>49.98</v>
      </c>
      <c r="M205">
        <v>60.33</v>
      </c>
      <c r="N205">
        <v>121.78</v>
      </c>
      <c r="O205">
        <v>44.59</v>
      </c>
      <c r="P205">
        <v>175.97</v>
      </c>
      <c r="Q205">
        <v>26.89</v>
      </c>
      <c r="R205">
        <v>27490</v>
      </c>
      <c r="S205">
        <v>13.88</v>
      </c>
    </row>
    <row r="206" spans="2:19" x14ac:dyDescent="0.35">
      <c r="B206" s="2">
        <v>45208</v>
      </c>
      <c r="C206">
        <v>38.86</v>
      </c>
      <c r="D206">
        <v>432.29</v>
      </c>
      <c r="E206">
        <v>172.82</v>
      </c>
      <c r="F206">
        <v>29.73</v>
      </c>
      <c r="G206">
        <v>366.56</v>
      </c>
      <c r="H206">
        <v>24.42</v>
      </c>
      <c r="I206">
        <v>77.13</v>
      </c>
      <c r="J206">
        <v>86.78</v>
      </c>
      <c r="K206">
        <v>57.5</v>
      </c>
      <c r="L206">
        <v>49.37</v>
      </c>
      <c r="M206">
        <v>59.55</v>
      </c>
      <c r="N206">
        <v>120.79</v>
      </c>
      <c r="O206">
        <v>44.09</v>
      </c>
      <c r="P206">
        <v>174</v>
      </c>
      <c r="Q206">
        <v>26.22</v>
      </c>
      <c r="R206">
        <v>27735</v>
      </c>
      <c r="S206">
        <v>13.8</v>
      </c>
    </row>
    <row r="208" spans="2:19" x14ac:dyDescent="0.35">
      <c r="C208" t="str">
        <f>C5</f>
        <v>VWO</v>
      </c>
      <c r="D208" t="str">
        <f t="shared" ref="D208:Q209" si="0">D5</f>
        <v>SPY</v>
      </c>
      <c r="E208" t="str">
        <f t="shared" si="0"/>
        <v>GLD</v>
      </c>
      <c r="F208" t="str">
        <f t="shared" si="0"/>
        <v>UUP</v>
      </c>
      <c r="G208" t="str">
        <f t="shared" si="0"/>
        <v>QQQ</v>
      </c>
      <c r="H208" t="str">
        <f t="shared" si="0"/>
        <v>DBC</v>
      </c>
      <c r="I208" t="str">
        <f t="shared" si="0"/>
        <v>USO</v>
      </c>
      <c r="J208" t="str">
        <f t="shared" si="0"/>
        <v>TLT</v>
      </c>
      <c r="K208" t="str">
        <f t="shared" si="0"/>
        <v>VGK</v>
      </c>
      <c r="L208" t="str">
        <f t="shared" si="0"/>
        <v>EMXC</v>
      </c>
      <c r="M208" t="str">
        <f t="shared" si="0"/>
        <v>EWJ</v>
      </c>
      <c r="N208" t="str">
        <f t="shared" si="0"/>
        <v>URTH</v>
      </c>
      <c r="O208" t="str">
        <f t="shared" si="0"/>
        <v>INDA</v>
      </c>
      <c r="P208" t="str">
        <f t="shared" si="0"/>
        <v>IWM</v>
      </c>
      <c r="Q208" t="str">
        <f t="shared" si="0"/>
        <v>FXI</v>
      </c>
      <c r="R208" t="str">
        <f t="shared" ref="R208:S208" si="1">R5</f>
        <v>BTC00-USA</v>
      </c>
      <c r="S208" t="str">
        <f t="shared" si="1"/>
        <v>BIGPX</v>
      </c>
    </row>
    <row r="209" spans="2:19" x14ac:dyDescent="0.35">
      <c r="B209" t="s">
        <v>79</v>
      </c>
      <c r="C209" s="17">
        <f>C6</f>
        <v>43.72</v>
      </c>
      <c r="D209" s="17">
        <f t="shared" si="0"/>
        <v>544.44000000000005</v>
      </c>
      <c r="E209" s="17">
        <f t="shared" si="0"/>
        <v>220.63</v>
      </c>
      <c r="F209" s="17">
        <f t="shared" si="0"/>
        <v>28.82</v>
      </c>
      <c r="G209" s="17">
        <f t="shared" si="0"/>
        <v>462.97</v>
      </c>
      <c r="H209" s="17">
        <f t="shared" si="0"/>
        <v>22.24</v>
      </c>
      <c r="I209" s="17">
        <f t="shared" si="0"/>
        <v>76.11</v>
      </c>
      <c r="J209" s="17">
        <f t="shared" si="0"/>
        <v>92.99</v>
      </c>
      <c r="K209" s="17">
        <f t="shared" si="0"/>
        <v>68.12</v>
      </c>
      <c r="L209" s="17">
        <f t="shared" si="0"/>
        <v>59.26</v>
      </c>
      <c r="M209" s="17">
        <f t="shared" si="0"/>
        <v>68.69</v>
      </c>
      <c r="N209" s="17">
        <f t="shared" si="0"/>
        <v>148.13</v>
      </c>
      <c r="O209" s="17">
        <f t="shared" si="0"/>
        <v>56.82</v>
      </c>
      <c r="P209" s="17">
        <f t="shared" si="0"/>
        <v>224.22</v>
      </c>
      <c r="Q209" s="17">
        <f t="shared" si="0"/>
        <v>25.52</v>
      </c>
      <c r="R209" s="17">
        <f t="shared" ref="R209:S209" si="2">R6</f>
        <v>68775</v>
      </c>
      <c r="S209" s="17">
        <f t="shared" si="2"/>
        <v>15.8</v>
      </c>
    </row>
    <row r="210" spans="2:19" x14ac:dyDescent="0.35">
      <c r="B210" t="s">
        <v>80</v>
      </c>
      <c r="C210" s="17">
        <f>AVERAGE(C6:C35)</f>
        <v>44.247999999999998</v>
      </c>
      <c r="D210" s="17">
        <f t="shared" ref="D210:Q210" si="3">AVERAGE(D6:D35)</f>
        <v>550.09433333333334</v>
      </c>
      <c r="E210" s="17">
        <f t="shared" si="3"/>
        <v>218.96700000000001</v>
      </c>
      <c r="F210" s="17">
        <f t="shared" si="3"/>
        <v>28.916333333333331</v>
      </c>
      <c r="G210" s="17">
        <f t="shared" si="3"/>
        <v>483.32433333333324</v>
      </c>
      <c r="H210" s="17">
        <f t="shared" si="3"/>
        <v>23.128</v>
      </c>
      <c r="I210" s="17">
        <f t="shared" si="3"/>
        <v>79.086999999999989</v>
      </c>
      <c r="J210" s="17">
        <f t="shared" si="3"/>
        <v>93.058333333333351</v>
      </c>
      <c r="K210" s="17">
        <f t="shared" si="3"/>
        <v>67.943666666666672</v>
      </c>
      <c r="L210" s="17">
        <f t="shared" si="3"/>
        <v>59.707999999999998</v>
      </c>
      <c r="M210" s="17">
        <f t="shared" si="3"/>
        <v>68.912999999999997</v>
      </c>
      <c r="N210" s="17">
        <f t="shared" si="3"/>
        <v>149.15133333333333</v>
      </c>
      <c r="O210" s="17">
        <f t="shared" si="3"/>
        <v>56.07500000000001</v>
      </c>
      <c r="P210" s="17">
        <f t="shared" si="3"/>
        <v>208.32866666666666</v>
      </c>
      <c r="Q210" s="17">
        <f t="shared" si="3"/>
        <v>26.330999999999996</v>
      </c>
      <c r="R210" s="17">
        <f t="shared" ref="R210:S210" si="4">AVERAGE(R6:R35)</f>
        <v>62872.307666666668</v>
      </c>
      <c r="S210" s="17">
        <f t="shared" si="4"/>
        <v>15.925333333333333</v>
      </c>
    </row>
    <row r="211" spans="2:19" x14ac:dyDescent="0.35">
      <c r="B211" t="s">
        <v>81</v>
      </c>
      <c r="C211" s="17">
        <f>AVERAGE(C6:C65)</f>
        <v>43.969499999999996</v>
      </c>
      <c r="D211" s="17">
        <f t="shared" ref="D211:Q211" si="5">AVERAGE(D6:D65)</f>
        <v>537.8263333333332</v>
      </c>
      <c r="E211" s="17">
        <f t="shared" si="5"/>
        <v>217.94966666666662</v>
      </c>
      <c r="F211" s="17">
        <f t="shared" si="5"/>
        <v>28.799333333333333</v>
      </c>
      <c r="G211" s="17">
        <f t="shared" si="5"/>
        <v>467.22933333333333</v>
      </c>
      <c r="H211" s="17">
        <f t="shared" si="5"/>
        <v>23.214833333333331</v>
      </c>
      <c r="I211" s="17">
        <f t="shared" si="5"/>
        <v>77.155166666666673</v>
      </c>
      <c r="J211" s="17">
        <f t="shared" si="5"/>
        <v>92.024666666666675</v>
      </c>
      <c r="K211" s="17">
        <f t="shared" si="5"/>
        <v>68.508833333333328</v>
      </c>
      <c r="L211" s="17">
        <f t="shared" si="5"/>
        <v>58.752666666666677</v>
      </c>
      <c r="M211" s="17">
        <f t="shared" si="5"/>
        <v>68.741833333333304</v>
      </c>
      <c r="N211" s="17">
        <f t="shared" si="5"/>
        <v>147.18216666666669</v>
      </c>
      <c r="O211" s="17">
        <f t="shared" si="5"/>
        <v>54.525000000000006</v>
      </c>
      <c r="P211" s="17">
        <f t="shared" si="5"/>
        <v>206.3391666666667</v>
      </c>
      <c r="Q211" s="17">
        <f t="shared" si="5"/>
        <v>26.886499999999998</v>
      </c>
      <c r="R211" s="17">
        <f t="shared" ref="R211:S211" si="6">AVERAGE(R6:R65)</f>
        <v>64681.882666666665</v>
      </c>
      <c r="S211" s="17">
        <f t="shared" si="6"/>
        <v>15.683666666666664</v>
      </c>
    </row>
    <row r="212" spans="2:19" x14ac:dyDescent="0.35">
      <c r="B212" t="s">
        <v>82</v>
      </c>
      <c r="C212" s="17">
        <f>AVERAGE(C6:C206)</f>
        <v>41.556716417910458</v>
      </c>
      <c r="D212" s="17">
        <f t="shared" ref="D212:Q212" si="7">AVERAGE(D6:D206)</f>
        <v>496.44631840795972</v>
      </c>
      <c r="E212" s="17">
        <f t="shared" si="7"/>
        <v>200.18741293532335</v>
      </c>
      <c r="F212" s="17">
        <f t="shared" si="7"/>
        <v>28.622935323383089</v>
      </c>
      <c r="G212" s="17">
        <f t="shared" si="7"/>
        <v>426.97527363184076</v>
      </c>
      <c r="H212" s="17">
        <f t="shared" si="7"/>
        <v>23.140000000000011</v>
      </c>
      <c r="I212" s="17">
        <f t="shared" si="7"/>
        <v>74.563781094527357</v>
      </c>
      <c r="J212" s="17">
        <f t="shared" si="7"/>
        <v>92.205522388059748</v>
      </c>
      <c r="K212" s="17">
        <f t="shared" si="7"/>
        <v>64.66920398009951</v>
      </c>
      <c r="L212" s="17">
        <f t="shared" si="7"/>
        <v>55.557313432835834</v>
      </c>
      <c r="M212" s="17">
        <f t="shared" si="7"/>
        <v>66.287910447761149</v>
      </c>
      <c r="N212" s="17">
        <f t="shared" si="7"/>
        <v>137.34134328358215</v>
      </c>
      <c r="O212" s="17">
        <f t="shared" si="7"/>
        <v>50.416119402985061</v>
      </c>
      <c r="P212" s="17">
        <f t="shared" si="7"/>
        <v>195.85835820895511</v>
      </c>
      <c r="Q212" s="17">
        <f t="shared" si="7"/>
        <v>25.012189054726367</v>
      </c>
      <c r="R212" s="17">
        <f t="shared" ref="R212:S212" si="8">AVERAGE(R6:R206)</f>
        <v>53555.486815920398</v>
      </c>
      <c r="S212" s="17">
        <f t="shared" si="8"/>
        <v>14.972985074626866</v>
      </c>
    </row>
    <row r="213" spans="2:19" x14ac:dyDescent="0.35">
      <c r="B213" t="s">
        <v>83</v>
      </c>
      <c r="C213" s="69">
        <f>C209/C210</f>
        <v>0.98806725727716505</v>
      </c>
      <c r="D213" s="69">
        <f t="shared" ref="D213:Q213" si="9">D209/D210</f>
        <v>0.98972115691672291</v>
      </c>
      <c r="E213" s="69">
        <f t="shared" si="9"/>
        <v>1.0075947517205788</v>
      </c>
      <c r="F213" s="69">
        <f t="shared" si="9"/>
        <v>0.99666854949336603</v>
      </c>
      <c r="G213" s="69">
        <f t="shared" si="9"/>
        <v>0.95788680203010701</v>
      </c>
      <c r="H213" s="69">
        <f t="shared" si="9"/>
        <v>0.961604980975441</v>
      </c>
      <c r="I213" s="69">
        <f t="shared" si="9"/>
        <v>0.96235790964381007</v>
      </c>
      <c r="J213" s="69">
        <f t="shared" si="9"/>
        <v>0.99926569356138595</v>
      </c>
      <c r="K213" s="69">
        <f t="shared" si="9"/>
        <v>1.0025952872722992</v>
      </c>
      <c r="L213" s="69">
        <f t="shared" si="9"/>
        <v>0.99249681784685473</v>
      </c>
      <c r="M213" s="69">
        <f t="shared" si="9"/>
        <v>0.99676403581327178</v>
      </c>
      <c r="N213" s="69">
        <f t="shared" si="9"/>
        <v>0.99315236873511026</v>
      </c>
      <c r="O213" s="69">
        <f t="shared" si="9"/>
        <v>1.013285777975925</v>
      </c>
      <c r="P213" s="69">
        <f t="shared" si="9"/>
        <v>1.0762801086744342</v>
      </c>
      <c r="Q213" s="69">
        <f t="shared" si="9"/>
        <v>0.96919980251414695</v>
      </c>
      <c r="R213" s="69">
        <f t="shared" ref="R213:S213" si="10">R209/R210</f>
        <v>1.0938838186857709</v>
      </c>
      <c r="S213" s="69">
        <f t="shared" si="10"/>
        <v>0.99212993971868735</v>
      </c>
    </row>
    <row r="214" spans="2:19" x14ac:dyDescent="0.35">
      <c r="B214" t="s">
        <v>84</v>
      </c>
      <c r="C214" s="69">
        <f t="shared" ref="C214:Q215" si="11">C210/C211</f>
        <v>1.0063339360238348</v>
      </c>
      <c r="D214" s="69">
        <f t="shared" si="11"/>
        <v>1.0228103371658388</v>
      </c>
      <c r="E214" s="69">
        <f t="shared" si="11"/>
        <v>1.0046677443874659</v>
      </c>
      <c r="F214" s="69">
        <f t="shared" si="11"/>
        <v>1.0040625940415286</v>
      </c>
      <c r="G214" s="69">
        <f t="shared" si="11"/>
        <v>1.0344477515681092</v>
      </c>
      <c r="H214" s="69">
        <f t="shared" si="11"/>
        <v>0.99625957541514409</v>
      </c>
      <c r="I214" s="69">
        <f t="shared" si="11"/>
        <v>1.0250382886434477</v>
      </c>
      <c r="J214" s="69">
        <f t="shared" si="11"/>
        <v>1.0112324956352283</v>
      </c>
      <c r="K214" s="69">
        <f t="shared" si="11"/>
        <v>0.99175045553736396</v>
      </c>
      <c r="L214" s="69">
        <f t="shared" si="11"/>
        <v>1.0162602548536801</v>
      </c>
      <c r="M214" s="69">
        <f t="shared" si="11"/>
        <v>1.0024899927506543</v>
      </c>
      <c r="N214" s="69">
        <f t="shared" si="11"/>
        <v>1.013379111826274</v>
      </c>
      <c r="O214" s="69">
        <f t="shared" si="11"/>
        <v>1.0284273269142596</v>
      </c>
      <c r="P214" s="69">
        <f t="shared" si="11"/>
        <v>1.0096418921920622</v>
      </c>
      <c r="Q214" s="69">
        <f t="shared" si="11"/>
        <v>0.97933907351272931</v>
      </c>
      <c r="R214" s="69">
        <f t="shared" ref="R214:S214" si="12">R210/R211</f>
        <v>0.97202346429330899</v>
      </c>
      <c r="S214" s="69">
        <f t="shared" si="12"/>
        <v>1.0154088117149478</v>
      </c>
    </row>
    <row r="215" spans="2:19" x14ac:dyDescent="0.35">
      <c r="B215" t="s">
        <v>85</v>
      </c>
      <c r="C215" s="69">
        <f t="shared" si="11"/>
        <v>1.0580600150845811</v>
      </c>
      <c r="D215" s="69">
        <f t="shared" si="11"/>
        <v>1.0833524459564408</v>
      </c>
      <c r="E215" s="69">
        <f t="shared" si="11"/>
        <v>1.08872812466527</v>
      </c>
      <c r="F215" s="69">
        <f t="shared" si="11"/>
        <v>1.006162820408085</v>
      </c>
      <c r="G215" s="69">
        <f t="shared" si="11"/>
        <v>1.0942772619104908</v>
      </c>
      <c r="H215" s="69">
        <f t="shared" si="11"/>
        <v>1.0032339383462974</v>
      </c>
      <c r="I215" s="69">
        <f t="shared" si="11"/>
        <v>1.0347539453351235</v>
      </c>
      <c r="J215" s="69">
        <f t="shared" si="11"/>
        <v>0.99803855868163827</v>
      </c>
      <c r="K215" s="69">
        <f t="shared" si="11"/>
        <v>1.0593733820260935</v>
      </c>
      <c r="L215" s="69">
        <f t="shared" si="11"/>
        <v>1.0575145383459508</v>
      </c>
      <c r="M215" s="69">
        <f t="shared" si="11"/>
        <v>1.0370191618501234</v>
      </c>
      <c r="N215" s="69">
        <f t="shared" si="11"/>
        <v>1.0716523018328519</v>
      </c>
      <c r="O215" s="69">
        <f t="shared" si="11"/>
        <v>1.0814993427830477</v>
      </c>
      <c r="P215" s="69">
        <f t="shared" si="11"/>
        <v>1.0535121837717538</v>
      </c>
      <c r="Q215" s="69">
        <f t="shared" si="11"/>
        <v>1.0749359018985767</v>
      </c>
      <c r="R215" s="69">
        <f t="shared" ref="R215:S215" si="13">R211/R212</f>
        <v>1.2077545460279289</v>
      </c>
      <c r="S215" s="69">
        <f t="shared" si="13"/>
        <v>1.0474642556910121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76494-47D5-4E4C-90C9-19CE885D0D4D}">
  <dimension ref="A1:H26"/>
  <sheetViews>
    <sheetView workbookViewId="0">
      <selection activeCell="D33" sqref="D33"/>
    </sheetView>
  </sheetViews>
  <sheetFormatPr defaultRowHeight="14.5" x14ac:dyDescent="0.35"/>
  <cols>
    <col min="1" max="1" width="10.6328125" customWidth="1"/>
    <col min="7" max="7" width="11.81640625" bestFit="1" customWidth="1"/>
  </cols>
  <sheetData>
    <row r="1" spans="1:8" x14ac:dyDescent="0.35">
      <c r="B1" t="s">
        <v>1</v>
      </c>
      <c r="C1" t="s">
        <v>15</v>
      </c>
      <c r="D1" t="s">
        <v>12</v>
      </c>
      <c r="E1" t="s">
        <v>93</v>
      </c>
      <c r="F1" t="s">
        <v>49</v>
      </c>
      <c r="G1" t="s">
        <v>9</v>
      </c>
      <c r="H1" t="s">
        <v>64</v>
      </c>
    </row>
    <row r="2" spans="1:8" x14ac:dyDescent="0.35">
      <c r="B2" t="s">
        <v>1</v>
      </c>
      <c r="C2" t="s">
        <v>15</v>
      </c>
      <c r="D2" t="s">
        <v>115</v>
      </c>
      <c r="E2" t="s">
        <v>93</v>
      </c>
      <c r="F2" t="s">
        <v>49</v>
      </c>
      <c r="G2" t="s">
        <v>113</v>
      </c>
      <c r="H2" t="s">
        <v>114</v>
      </c>
    </row>
    <row r="3" spans="1:8" x14ac:dyDescent="0.35">
      <c r="A3" s="2" cm="1">
        <f t="array" ref="A3:A22">_xll.FDSB(B2,"JULIAN(FMA_EPS(NTMA,-20AY,0,CY,,""PORTAGG"",""MEANR"").dates)")</f>
        <v>38352</v>
      </c>
      <c r="B3" cm="1">
        <f t="array" ref="B3:B22">_xll.FDSB(B2,"FMA_EPS(NTMA,-20AY,0,CY,,""PORTAGG"",""MEANR"")")</f>
        <v>7.6074243913976698</v>
      </c>
      <c r="C3" cm="1">
        <f t="array" ref="C3:C22">_xll.FDSB(C2,"FMA_EPS(NTMA,-20AY,0,CY,,""PORTAGG"",""MEANR"")")</f>
        <v>1.4194312135232301</v>
      </c>
      <c r="D3" cm="1">
        <f t="array" ref="D3:D22">_xll.FDSB(D2,"FMA_EPS(NTMA,-20AY,0,CY,,""PORTAGG"",""MEANR"")")</f>
        <v>6.3219540592912002</v>
      </c>
      <c r="E3" t="str" cm="1">
        <f t="array" ref="E3:E22">_xll.FDSB(E2,"FMA_EPS(NTMA,-20AY,0,CY,,""PORTAGG"",""MEANR"")")</f>
        <v/>
      </c>
      <c r="F3" t="str" cm="1">
        <f t="array" ref="F3:F22">_xll.FDSB(F2,"FMA_EPS(NTMA,-20AY,0,CY,,""PORTAGG"",""MEANR"")")</f>
        <v/>
      </c>
      <c r="G3" cm="1">
        <f t="array" ref="G3:G22">_xll.FDSB(G2,"FMA_EPS(NTMA,-20AY,0,CY,,""PORTAGG"",""MEANR"")")</f>
        <v>17.002762686970801</v>
      </c>
      <c r="H3" t="str" cm="1">
        <f t="array" ref="H3:H22">_xll.FDSB(H2,"FMA_EPS(NTMA,-20AY,0,CY,,""PORTAGG"",""MEANR"")")</f>
        <v/>
      </c>
    </row>
    <row r="4" spans="1:8" x14ac:dyDescent="0.35">
      <c r="A4" s="2">
        <v>38716</v>
      </c>
      <c r="B4">
        <v>8.8394289215288495</v>
      </c>
      <c r="C4">
        <v>1.68578719870209</v>
      </c>
      <c r="D4">
        <v>6.3671193883627497</v>
      </c>
      <c r="E4">
        <v>2.4709674881942898</v>
      </c>
      <c r="F4" t="str">
        <v/>
      </c>
      <c r="G4">
        <v>19.822720636055699</v>
      </c>
      <c r="H4">
        <v>5.0849569667120598</v>
      </c>
    </row>
    <row r="5" spans="1:8" x14ac:dyDescent="0.35">
      <c r="A5" s="2">
        <v>39080</v>
      </c>
      <c r="B5">
        <v>9.8457810486035093</v>
      </c>
      <c r="C5">
        <v>1.9402737172403599</v>
      </c>
      <c r="D5">
        <v>7.1016678244620497</v>
      </c>
      <c r="E5">
        <v>3.0737777442541199</v>
      </c>
      <c r="F5" t="str">
        <v/>
      </c>
      <c r="G5">
        <v>24.865697095124499</v>
      </c>
      <c r="H5">
        <v>6.0338155171964196</v>
      </c>
    </row>
    <row r="6" spans="1:8" x14ac:dyDescent="0.35">
      <c r="A6" s="2">
        <v>39447</v>
      </c>
      <c r="B6">
        <v>10.5833561911057</v>
      </c>
      <c r="C6">
        <v>2.3766956310061902</v>
      </c>
      <c r="D6">
        <v>8.0143667136810901</v>
      </c>
      <c r="E6">
        <v>3.8694452617221202</v>
      </c>
      <c r="F6" t="str">
        <v/>
      </c>
      <c r="G6">
        <v>36.988283944428701</v>
      </c>
      <c r="H6">
        <v>10.2264803534379</v>
      </c>
    </row>
    <row r="7" spans="1:8" x14ac:dyDescent="0.35">
      <c r="A7" s="2">
        <v>39813</v>
      </c>
      <c r="B7">
        <v>8.05373941846298</v>
      </c>
      <c r="C7">
        <v>2.1704263725021899</v>
      </c>
      <c r="D7">
        <v>6.0567879509784204</v>
      </c>
      <c r="E7">
        <v>2.6086754516886801</v>
      </c>
      <c r="F7" t="str">
        <v/>
      </c>
      <c r="G7">
        <v>27.436164618174999</v>
      </c>
      <c r="H7">
        <v>9.2256018344914992</v>
      </c>
    </row>
    <row r="8" spans="1:8" x14ac:dyDescent="0.35">
      <c r="A8" s="2">
        <v>40178</v>
      </c>
      <c r="B8">
        <v>8.0229753288056198</v>
      </c>
      <c r="C8">
        <v>2.6068713006048601</v>
      </c>
      <c r="D8">
        <v>4.6101133165354904</v>
      </c>
      <c r="E8">
        <v>3.1882129135368702</v>
      </c>
      <c r="F8" t="str">
        <v/>
      </c>
      <c r="G8">
        <v>31.175992210796799</v>
      </c>
      <c r="H8">
        <v>11.172170635010501</v>
      </c>
    </row>
    <row r="9" spans="1:8" x14ac:dyDescent="0.35">
      <c r="A9" s="2">
        <v>40543</v>
      </c>
      <c r="B9">
        <v>9.85143912569227</v>
      </c>
      <c r="C9">
        <v>3.6076350541358502</v>
      </c>
      <c r="D9">
        <v>7.5335048068202397</v>
      </c>
      <c r="E9">
        <v>4.1574721248110604</v>
      </c>
      <c r="F9" t="str">
        <v/>
      </c>
      <c r="G9">
        <v>39.399448287295499</v>
      </c>
      <c r="H9">
        <v>14.2299143361003</v>
      </c>
    </row>
    <row r="10" spans="1:8" x14ac:dyDescent="0.35">
      <c r="A10" s="2">
        <v>40907</v>
      </c>
      <c r="B10">
        <v>10.933615493869301</v>
      </c>
      <c r="C10">
        <v>4.63179037237028</v>
      </c>
      <c r="D10">
        <v>7.8562693556726204</v>
      </c>
      <c r="E10">
        <v>4.1285756463007903</v>
      </c>
      <c r="F10" t="str">
        <v/>
      </c>
      <c r="G10">
        <v>33.207570085117901</v>
      </c>
      <c r="H10">
        <v>15.4690015453803</v>
      </c>
    </row>
    <row r="11" spans="1:8" x14ac:dyDescent="0.35">
      <c r="A11" s="2">
        <v>41274</v>
      </c>
      <c r="B11">
        <v>11.5093609233453</v>
      </c>
      <c r="C11">
        <v>4.9723936001799096</v>
      </c>
      <c r="D11">
        <v>7.2452846854733197</v>
      </c>
      <c r="E11">
        <v>4.1802968231526902</v>
      </c>
      <c r="F11">
        <v>4.5591363241237399</v>
      </c>
      <c r="G11">
        <v>33.401599807044498</v>
      </c>
      <c r="H11">
        <v>14.1959016123051</v>
      </c>
    </row>
    <row r="12" spans="1:8" x14ac:dyDescent="0.35">
      <c r="A12" s="2">
        <v>41639</v>
      </c>
      <c r="B12">
        <v>12.296272619920099</v>
      </c>
      <c r="C12">
        <v>5.0145346891852203</v>
      </c>
      <c r="D12">
        <v>8.0376311318924802</v>
      </c>
      <c r="E12">
        <v>3.8079810978217798</v>
      </c>
      <c r="F12">
        <v>4.8298105677888996</v>
      </c>
      <c r="G12">
        <v>29.9102522143572</v>
      </c>
      <c r="H12">
        <v>16.0802582554231</v>
      </c>
    </row>
    <row r="13" spans="1:8" x14ac:dyDescent="0.35">
      <c r="A13" s="2">
        <v>42004</v>
      </c>
      <c r="B13">
        <v>12.8692035676989</v>
      </c>
      <c r="C13">
        <v>5.9189477139169897</v>
      </c>
      <c r="D13">
        <v>7.8073640896788099</v>
      </c>
      <c r="E13">
        <v>3.5071226328298599</v>
      </c>
      <c r="F13">
        <v>4.6812204171660898</v>
      </c>
      <c r="G13">
        <v>32.635673377426201</v>
      </c>
      <c r="H13">
        <v>16.6306210914505</v>
      </c>
    </row>
    <row r="14" spans="1:8" x14ac:dyDescent="0.35">
      <c r="A14" s="2">
        <v>42369</v>
      </c>
      <c r="B14">
        <v>12.748703211791501</v>
      </c>
      <c r="C14">
        <v>6.0599751605653802</v>
      </c>
      <c r="D14">
        <v>8.6398854914427599</v>
      </c>
      <c r="E14">
        <v>2.8749295654510298</v>
      </c>
      <c r="F14">
        <v>4.4629084696193697</v>
      </c>
      <c r="G14">
        <v>32.803372477551903</v>
      </c>
      <c r="H14">
        <v>16.640425298627001</v>
      </c>
    </row>
    <row r="15" spans="1:8" x14ac:dyDescent="0.35">
      <c r="A15" s="2">
        <v>42734</v>
      </c>
      <c r="B15">
        <v>13.3024280719142</v>
      </c>
      <c r="C15">
        <v>6.56529580140728</v>
      </c>
      <c r="D15">
        <v>8.5678565514526799</v>
      </c>
      <c r="E15">
        <v>2.9879032754051398</v>
      </c>
      <c r="F15">
        <v>4.5468408308106003</v>
      </c>
      <c r="G15">
        <v>33.358186869155702</v>
      </c>
      <c r="H15">
        <v>16.5240809032362</v>
      </c>
    </row>
    <row r="16" spans="1:8" x14ac:dyDescent="0.35">
      <c r="A16" s="2">
        <v>43098</v>
      </c>
      <c r="B16">
        <v>14.724037692001801</v>
      </c>
      <c r="C16">
        <v>7.4909851965595502</v>
      </c>
      <c r="D16">
        <v>10.4136052900246</v>
      </c>
      <c r="E16">
        <v>3.4840026454345701</v>
      </c>
      <c r="F16">
        <v>5.2437516596034204</v>
      </c>
      <c r="G16">
        <v>38.022971364529099</v>
      </c>
      <c r="H16">
        <v>19.021710790433701</v>
      </c>
    </row>
    <row r="17" spans="1:8" x14ac:dyDescent="0.35">
      <c r="A17" s="2">
        <v>43465</v>
      </c>
      <c r="B17">
        <v>17.355846469554798</v>
      </c>
      <c r="C17">
        <v>8.9443858601639104</v>
      </c>
      <c r="D17">
        <v>11.6762416161251</v>
      </c>
      <c r="E17">
        <v>3.4142810852706398</v>
      </c>
      <c r="F17">
        <v>5.9241700759141498</v>
      </c>
      <c r="G17">
        <v>36.620398667265697</v>
      </c>
      <c r="H17">
        <v>18.005603285854001</v>
      </c>
    </row>
    <row r="18" spans="1:8" x14ac:dyDescent="0.35">
      <c r="A18" s="2">
        <v>43830</v>
      </c>
      <c r="B18">
        <v>17.7294354415451</v>
      </c>
      <c r="C18">
        <v>9.3523184782613296</v>
      </c>
      <c r="D18">
        <v>10.613677127573199</v>
      </c>
      <c r="E18">
        <v>3.4045500389666299</v>
      </c>
      <c r="F18">
        <v>5.8571748671526196</v>
      </c>
      <c r="G18">
        <v>36.306831688319903</v>
      </c>
      <c r="H18">
        <v>17.635700867297501</v>
      </c>
    </row>
    <row r="19" spans="1:8" x14ac:dyDescent="0.35">
      <c r="A19" s="2">
        <v>44196</v>
      </c>
      <c r="B19">
        <v>16.661770328992599</v>
      </c>
      <c r="C19">
        <v>10.426078296822199</v>
      </c>
      <c r="D19">
        <v>9.49697338536693</v>
      </c>
      <c r="E19">
        <v>3.3049654399952599</v>
      </c>
      <c r="F19">
        <v>5.4371118261895797</v>
      </c>
      <c r="G19">
        <v>33.710924156962697</v>
      </c>
      <c r="H19">
        <v>17.492465000755399</v>
      </c>
    </row>
    <row r="20" spans="1:8" x14ac:dyDescent="0.35">
      <c r="A20" s="2">
        <v>44561</v>
      </c>
      <c r="B20">
        <v>22.276707385168599</v>
      </c>
      <c r="C20">
        <v>13.6402697448185</v>
      </c>
      <c r="D20">
        <v>12.0143397881791</v>
      </c>
      <c r="E20">
        <v>3.9216946176516201</v>
      </c>
      <c r="F20">
        <v>7.0205959808086602</v>
      </c>
      <c r="G20">
        <v>47.002316201500498</v>
      </c>
      <c r="H20">
        <v>21.271736563699601</v>
      </c>
    </row>
    <row r="21" spans="1:8" x14ac:dyDescent="0.35">
      <c r="A21" s="2">
        <v>44925</v>
      </c>
      <c r="B21">
        <v>22.968710461533099</v>
      </c>
      <c r="C21">
        <v>12.750313440204099</v>
      </c>
      <c r="D21">
        <v>11.613758853902199</v>
      </c>
      <c r="E21">
        <v>3.36694854736787</v>
      </c>
      <c r="F21">
        <v>7.3048196787377897</v>
      </c>
      <c r="G21">
        <v>46.024751604010604</v>
      </c>
      <c r="H21">
        <v>20.366442820142598</v>
      </c>
    </row>
    <row r="22" spans="1:8" x14ac:dyDescent="0.35">
      <c r="A22" s="2">
        <v>45289</v>
      </c>
      <c r="B22">
        <v>24.344986761993699</v>
      </c>
      <c r="C22">
        <v>16.324300082232199</v>
      </c>
      <c r="D22">
        <v>12.0022510442883</v>
      </c>
      <c r="E22">
        <v>3.3867246734040499</v>
      </c>
      <c r="F22">
        <v>7.6957259460423399</v>
      </c>
      <c r="G22">
        <v>54.644943944271297</v>
      </c>
      <c r="H22">
        <v>19.104997030768999</v>
      </c>
    </row>
    <row r="24" spans="1:8" x14ac:dyDescent="0.35">
      <c r="B24" s="52">
        <f t="shared" ref="B24:H24" si="0">COUNT(B1:B22)</f>
        <v>20</v>
      </c>
      <c r="C24" s="52">
        <f t="shared" si="0"/>
        <v>20</v>
      </c>
      <c r="D24" s="52">
        <f t="shared" si="0"/>
        <v>20</v>
      </c>
      <c r="E24" s="52">
        <f t="shared" si="0"/>
        <v>19</v>
      </c>
      <c r="F24" s="52">
        <f t="shared" si="0"/>
        <v>12</v>
      </c>
      <c r="G24" s="52">
        <f t="shared" si="0"/>
        <v>20</v>
      </c>
      <c r="H24" s="52">
        <f t="shared" si="0"/>
        <v>19</v>
      </c>
    </row>
    <row r="26" spans="1:8" x14ac:dyDescent="0.35">
      <c r="A26" t="s">
        <v>112</v>
      </c>
      <c r="B26" s="58" cm="1">
        <f t="array" ref="B26">(B22/INDEX(B3:B22,MATCH(TRUE,INDEX(ISNUMBER(B3:B22),0),0)))^(1/B24)-1</f>
        <v>5.9884631603759342E-2</v>
      </c>
      <c r="C26" s="58" cm="1">
        <f t="array" ref="C26">(C22/INDEX(C3:C22,MATCH(TRUE,INDEX(ISNUMBER(C3:C22),0),0)))^(1/C24)-1</f>
        <v>0.12988959921025178</v>
      </c>
      <c r="D26" s="58" cm="1">
        <f t="array" ref="D26">(D22/INDEX(D3:D22,MATCH(TRUE,INDEX(ISNUMBER(D3:D22),0),0)))^(1/D24)-1</f>
        <v>3.2572533359390254E-2</v>
      </c>
      <c r="E26" s="58" cm="1">
        <f t="array" ref="E26">(E22/INDEX(E3:E22,MATCH(TRUE,INDEX(ISNUMBER(E3:E22),0),0)))^(1/E24)-1</f>
        <v>1.6730706626060021E-2</v>
      </c>
      <c r="F26" s="58" cm="1">
        <f t="array" ref="F26">(F22/INDEX(F3:F22,MATCH(TRUE,INDEX(ISNUMBER(F3:F22),0),0)))^(1/F24)-1</f>
        <v>4.4593336829836128E-2</v>
      </c>
      <c r="G26" s="58" cm="1">
        <f t="array" ref="G26">(G22/INDEX(G3:G22,MATCH(TRUE,INDEX(ISNUMBER(G3:G22),0),0)))^(1/G24)-1</f>
        <v>6.0111448374439824E-2</v>
      </c>
      <c r="H26" s="58" cm="1">
        <f t="array" ref="H26">(H22/INDEX(H3:H22,MATCH(TRUE,INDEX(ISNUMBER(H3:H22),0),0)))^(1/H24)-1</f>
        <v>7.2150551445196776E-2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22225808"><![CDATA[{"FC0000CN^FMA_EPS(NTMA,-20AY,0,CY,,\"PORTAGG\",\"MEANR\")":[null,5.08495696671206,6.03381551719642,10.2264803534379,9.2256018344915,11.1721706350105,14.2299143361003,15.4690015453803,14.1959016123051,16.0802582554231,16.6306210914505,16.640425298627,16.5240809032362,19.0217107904337,18.005603285854,17.6357008672975,17.4924650007554,21.2717365636996,20.3664428201426,19.104997030769],"VGK^FG_PRICE(0,-200D)":[68.12,67.17,67.4,68.03,68.62,67.67,68.08,68.64,69.01,68.75,69.5,68.68,68.35,67.51,68.05,68.39,67.83,66.99,67.17,66.77,66.86,66.93,67.53,67.66,67.06,68.64,68.47,68.13,67.59,68.71,69.78,68.7,69.54,69.75,70.67,70.39,69.72,69.94,69.85,69.21,68.56,69.59,69.72,69.18,69.5,70.05,70.06,70.09,69.9,70.31,69.55,68.97,68.93,68.62,68.02,67.77,67.33,66.79,66.19,65.54,65.62,66.6,66.39,65.89,66.01,66.32,65.4,64.68,64.52,64.67,64.45,64.97,65.07,66.21,66.17,66.96,67.1,66.76,66.59,67.11,66.64,67.22,67.34,67.46,67.05,66.95,66.88,67.04,67.21,66.41,66.3,66.69,67.12,67.62,67.5,66.85,66.84,67.14,66.11,65.41,65.68,65.77,65.22,65.19,65.52,65.41,65.48,65.4,64.75,64.67,64.34,64.24,63.54,62.66,63.9,63.85,63.63,63.63,63.84,63.33,63.7,64.32,63.69,64.17,64.14,63.93,63.36,63.07,62.45,62.6,62.49,62.47,61.92,62.41,63.62,63.44,63.72,63.45,64.09,63.37,63.49,63.13,63.67,64.48,64.42,64.86,64.5,64.1,64.06,63.12,63.87,63.21,63.48,64.19,63.46,62.58,62.47,62.38,62.04,61.82,61.81,61.87,62.21,61.62,61.76,61.48,61.48,61.67,61.02,60.92,61.18,60.9,60.07,60.2,60.21,58.48,58.33,58.06,58.07,57.79,58.05,58.24,57.76,56.52,56.14,56.04,55.18,55.57,55.81,56.31,56.1,55.98,56.52,56.99,58.06,58.12,57.59,58.12,58.79,58.4,57.5],"IWM^FG_TOTAL_RETURNC(0,-6AM)":15.018296,"SPY^FG_TOTAL_RETURNC(0,-6AM)":12.412035,"VGK^FG_TOTAL_RETURNC(0,-6AM)":8.79426,"EWQ^FG_TOTAL_RETURNC(0,-6AM)":1.4575124,"EWL^FG_TOTAL_RETURNC(0,-6AM)":6.8802357,"EWA^FG_TOTAL_RETURNC(0,-6AM)":6.209016,"EMXC^PERCENT_CHANGE(FMA_EPS(+1,0,,,,\"PORTAGG\",\"MEAN\"),FMA_EPS(+1,-1AM,,,,\"PORTAGG\",\"MEAN\"))":7.63043684386138,"VWO^FMA_PCT_ABOVE_MAVG(200,0,,,,\"PORTAGG\")":40.2586206896552,"SPY^PERCENT_CHANGE(FMA_EPS(+1,0,,,,\"PORTAGG\",\"MEAN\"),FMA_EPS(+1,-3AM,,,,\"PORTAGG\",\"MEAN\"))":-0.17176498470089,"EWG^PERCENT_CHANGE(FMA_EPS(+1,0,,,,\"PORTAGG\",\"MEAN\"),FMA_EPS(+1,-1AM,,,,\"PORTAGG\",\"MEAN\"))":0.212402660234644,"IWM^FMA_COS_UP(\"EPS\",\"1M\",+1,0,,,\"PORTAGG\",\"MEANR\")":416.0,"URTH^SIZE(FG_CONSTITUENTS)":1430,"EWN^FMA_COS_DOWN(\"EPS\",\"1M\",+1,0,,,\"PORTAGG\",\"MEANR\")":28.0,"EWL^FMA_COS_UP(\"EPS\",\"1M\",+1,0,,,\"PORTAGG\",\"MEANR\")":22.0,"EWI^FG_COMPANY_NAME":"iShares MSCI Italy ETF","BIGPX^FG_TOTAL_RETURNC(-1AM,-2AM)":1.9961357,"EMXC^FG_TOTAL_RETURNC(-1AM,-2AM)":0.8410454,"DBC^FG_TOTAL_RETURNC(-1AM,-2AM)":-1.3180315,"SPY^FG_TOTAL_RETURNC(-1AM,-2AM)":3.3681393,"FXI^FG_TOTAL_RETURNC(0,-1AM)":-3.7707388,"TLT^FG_TOTAL_RETURNC(0,-1AM)":0.15144348,"UUP^FG_TOTAL_RETURNC(0,-1AM)":-1.1998653,"EWJ^FG_COMPANY_NAME":"iShares MSCI Japan ETF","TRYUS10Y-FDS^FG_YIELD(0,,,,\"YTM\")":4.1953,"VWO^FG_PE_NTM(0,,,90,0)":2.4051451307245,"URTH^FG_COMPANY_NAME":"iShares MSCI World ETF","FC0000IN^FMA_EPS(NTMA,-20AY,0,CY,,\"PORTAGG\",\"MEANR\")":[17.0027626869708,19.8227206360557,24.8656970951245,36.9882839444287,27.436164618175,31.1759922107968,39.3994482872955,33.2075700851179,33.4015998070445,29.9102522143572,32.6356733774262,32.8033724775519,33.3581868691557,38.0229713645291,36.6203986672657,36.3068316883199,33.7109241569627,47.0023162015005,46.0247516040106,54.6449439442713],"TLT^FG_PRICE(0,-200D)":[92.99,92.27,91.52,92.52,92.65,92.92,93.47,94.19,94.17,92.86,93.94,93.54,92.64,92.35,92.76,92.56,91.8,90.61,89.91,91.78,93.52,93.15,94.5,94.34,93.96,93.96,94.59,93.73,94.67,93.88,92.52,91.83,90.89,91.5,93.21,93.35,92.67,91.6,90.45,89.84,88.98,90.07,91.38,91.11,91.7,91.59,91.12,91.39,92.01,92.1,90.86,90.35,90.12,90.63,90.19,90.74,90.19,89.84,88.94,88.56,88.22,88.98,88.24,87.78,88.4,89.03,89.0,89.15,88.83,89.28,88.3,88.89,90.29,89.81,90.22,92.23,91.38,91.39,92.68,92.02,92.04,92.55,94.62,94.7,93.77,93.51,93.98,93.09,92.89,92.92,92.66,92.94,92.97,94.42,94.88,95.68,95.73,95.9,95.99,95.43,94.09,94.47,94.18,93.52,92.93,93.59,93.87,92.63,92.18,92.84,92.76,93.3,92.82,92.35,93.96,93.85,94.04,94.59,95.05,94.13,96.07,98.24,96.66,95.72,94.86,93.78,93.96,93.35,93.9,94.65,94.09,93.79,94.67,94.82,96.52,96.71,96.17,96.62,97.24,96.29,97.22,98.72,98.31,98.88,99.78,100.51,98.76,98.475,98.93,99.56,98.89,98.36,99.15,99.04,96.84,94.62,94.34,94.54,95.32,95.87,94.61,92.615,92.99,91.56,92.63,91.48,91.3,89.8,90.87,90.55,90.59,90.04,89.62,88.52,89.78,87.79,87.99,87.5,89.56,88.06,86.78,87.63,87.04,85.1,83.58,83.99,84.37,84.73,83.45,85.35,84.24,83.24,82.77,84.5,85.25,86.2,87.61,86.07,88.47,86.66,86.78],"IWM^FG_TOTAL_RETURNC(0,-3AM)":13.353634,"SPY^FG_TOTAL_RETURNC(0,-3AM)":7.4644446,"VGK^FG_TOTAL_RETURNC(0,-3AM)":4.184389,"EWQ^FG_TOTAL_RETURNC(0,-3AM)":-2.6836157,"EWL^FG_TOTAL_RETURNC(0,-3AM)":11.254096,"EWA^FG_TOTAL_RETURNC(0,-3AM)":6.074691,"EMXC^FMA_PCT_ABOVE_MAVG(200,0,,,,\"PORTAGG\")":63.3928571428571,"VGK^PERCENT_CHANGE(FMA_EPS(+1,0,,,,\"PORTAGG\",\"MEAN\"),FMA_EPS(+1,-3AM,,,,\"PORTAGG\",\"MEAN\"))":0.288719961623054,"SPY^PERCENT_CHANGE(FMA_EPS(+1,0,,,,\"PORTAGG\",\"MEAN\"),FMA_EPS(+1,-1AM,,,,\"PORTAGG\",\"MEAN\"))":-0.128395106046291,"EWG^FMA_PCT_ABOVE_MAVG(200,0,,,,\"PORTAGG\")":58.6206896551724,"QQQ^SIZE(FG_CONSTITUENTS)":102,"URTH^FMA_COS_DOWN(\"EPS\",\"1M\",+1,0,,,\"PORTAGG\",\"MEANR\")":623.0,"EWN^FMA_COS_UP(\"EPS\",\"1M\",+1,0,,,\"PORTAGG\",\"MEANR\")":15.0,"FXI^FG_PRICE(0,-200D)":[25.52,25.39,25.7,25.99,26.36,25.82,26.01,26.25,26.61,26.61,27.22,26.94,26.38,26.5,26.23,26.44,26.9,26.43,26.08,25.99,25.89,26.52,26.51,26.72,26.42,26.88,26.56,26.5,26.17,26.39,26.41,26.47,26.75,26.5,27.19,27.2,26.97,26.76,26.63,27.15,27.12,27.56,27.58,27.63,28.2,28.56,29.01,29.33,29.16,28.33,28.01,28.36,27.77,27.4,26.82,26.92,27.31,27.33,27.15,25.68,25.49,26.11,25.87,25.44,25.27,24.8,24.42,24.01,24.08,23.65,23.67,23.92,23.84,24.7,24.47,24.59,24.36,24.19,24.32,24.45,24.6,24.4,24.07,23.81,23.84,23.71,23.68,24.02,24.13,23.91,24.03,23.99,24.14,24.64,24.56,24.04,23.47,23.33,23.53,23.03,23.39,23.92,23.42,23.46,24.32,23.91,24.12,23.95,23.59,22.92,23.07,22.76,22.67,22.2,22.72,22.36,22.1,22.62,23.13,21.88,21.41,21.86,21.76,21.93,22.29,22.6,22.75,22.77,22.11,21.14,21.68,21.53,21.45,22.02,22.73,22.83,22.49,22.48,22.94,23.23,23.36,23.67,23.24,24.03,23.88,23.25,23.22,23.05,23.71,22.91,24.2,23.88,24.13,24.18,23.87,23.95,23.79,23.7,24.03,23.95,23.94,24.31,24.89,25.16,25.06,25.71,26.02,26.36,26.29,26.16,26.69,26.12,26.1,27.21,26.58,26.02,25.68,25.76,26.12,26.31,26.43,26.35,25.75,25.48,25.52,25.94,25.67,25.58,25.53,26.06,25.25,25.03,25.56,26.01,26.45,26.65,26.48,26.68,27.15,26.89,26.22],"FXI^P_PRICE(0)/P_PRICE_LOW_PR(0,,,USD,,,\"PRICE\",\"INTRA\",\"52W\")-1":0.22339404,"INDA^P_PRICE(0)/P_PRICE_LOW_PR(0,,,USD,,,\"PRICE\",\"INTRA\",\"52W\")-1":0.33161473,"VWO^P_PRICE(0)/P_PRICE_LOW_PR(0,,,USD,,,\"PRICE\",\"INTRA\",\"52W\")-1":0.16726732,"EWN^P_PRICE(0)/P_PRICE_LOW_PR(0,,,USD,,,\"PRICE\",\"INTRA\",\"52W\")-1":0.3438964,"EWU^P_PRICE(0)/P_PRICE_LOW_PR(0,,,USD,,,\"PRICE\",\"INTRA\",\"52W\")-1":0.19508958,"EWC^P_PRICE(0)/P_PRICE_LOW_PR(0,,,USD,,,\"PRICE\",\"INTRA\",\"52W\")-1":0.22031212,"IWM^PERCENT_CHANGE(FMA_EPS(+1,0,,,,\"PORTAGG\",\"MEAN\"),FMA_EPS(+1,-1AM,,,,\"PORTAGG\",\"MEAN\"))":-8.63531056973903,"EWJ^FMA_PCT_ABOVE_MAVG(200,0,,,,\"PORTAGG\")":62.2549019607843,"EWN^PERCENT_CHANGE(FMA_EPS(+1,0,,,,\"PORTAGG\",\"MEAN\"),FMA_EPS(+1,-3AM,,,,\"PORTAGG\",\"MEAN\"))":-2.73467406061201,"EWL^PERCENT_CHANGE(FMA_EPS(+1,0,,,,\"PORTAGG\",\"MEAN\"),FMA_EPS(+1,-1AM,,,,\"PORTAGG\",\"MEAN\"))":0.76299559821086,"EWJ^FMA_COS_UP(\"EPS\",\"1M\",+1,0,,,\"PORTAGG\",\"MEANR\")":104.0,"URTH^FG_PRICE(0,-200D)":[148.13,146.5,147.23,150.29,150.77,149.18,150.24,151.6,153.3,152.41,152.4,151.27,152.02,150.43,150.34,150.5,149.59,148.58,147.81,147.49,147.74,147.7,147.78,147.27,147.23,147.72,147.96,147.47,146.58,147.01,147.33,145.97,147.36,147.03,147.65,147.56,146.03,146.06,145.71,144.63,144.82,146.34,146.31,145.3,146.31,147.02,146.78,146.73,146.44,146.8,145.14,144.29,144.38,144.14,143.31,143.32,143.17,141.78,140.08,138.6,139.17,141.23,140.8,139.45,139.95,140.06,138.51,137.31,138.11,138.52,138.98,139.55,140.99,143.22,142.24,143.83,143.72,143.56,142.3,143.93,143.5,144.5,144.91,144.91,143.81,144.0,144.4,144.67,144.21,142.87,142.17,141.74,142.4,143.03,143.16,141.67,142.08,142.84,141.32,140.27,141.37,141.54,140.28,139.71,140.15,139.79,140.33,140.18,137.7,137.61,138.04,138.55,137.38,135.93,138.0,137.9,137.23,137.15,136.37,135.84,136.45,135.75,134.2,135.99,136.11,135.07,134.95,134.42,134.11,133.94,133.63,132.25,131.15,132.01,132.93,132.82,132.83,132.06,132.59,130.86,130.7,130.85,131.91,133.02,133.28,133.36,132.98,132.43,132.16,130.63,133.48,132.56,131.95,132.36,131.67,129.75,129.41,128.92,128.46,127.54,127.84,128.04,128.76,127.78,127.43,127.41,127.31,127.52,127.23,126.8,127.07,126.3,125.66,125.66,125.46,122.88,122.84,121.31,122.02,121.99,121.89,121.93,120.72,118.32,117.11,116.43,115.01,115.58,116.77,118.3,117.5,117.65,118.98,120.06,121.84,121.85,120.68,121.38,122.32,121.78,120.79],"QQQ^P_PRICE(0)/P_PRICE_LOW_PR(0,,,USD,,,\"PRICE\",\"INTRA\",\"52W\")-1":0.3523295,"EWJ^FG_TOTAL_RETURNC(0,-3AM)":3.0885696,"EWD^FG_TOTAL_RETURNC(0,-6AM)":8.098328,"EWU^FG_TOTAL_RETURNC(0,-6AM)":12.516535,"EWA^P_PRICE(0)/P_PRICE_HIGH_PR(0,,,USD,,,\"PRICE\",\"INTRA\",\"52W\")":0.95770276,"INDA^FMA_PCT_ABOVE_MAVG(200,0,,,,\"PORTAGG\")":90.4761904761905,"EWD^PERCENT_CHANGE(FMA_EPS(+1,0,,,,\"PORTAGG\",\"MEAN\"),FMA_EPS(+1,-3AM,,,,\"PORTAGG\",\"MEAN\"))":-2.02617447133987,"FXI^FMA_COS_UP(\"EPS\",\"1M\",+1,0,,,\"PORTAGG\",\"MEANR\")":26.0,"EWQ^FMA_COS_UP(\"EPS\",\"1M\",+1,0,,,\"PORTAGG\",\"MEANR\")":18.0,"EWG^FMA_COS_UP(\"EPS\",\"1M\",+1,0,,,\"PORTAGG\",\"MEANR\")":20.0,"EWJ^FG_TOTAL_RETURNC(0,-6AM)":5.8317184,"USO^FG_TOTAL_RETURNC(0,-1AM)":-3.3523798,"GLD^FG_COMPANY_NAME":"SPDR Gold Shares","EWL^FMA_PCT_ABOVE_MAVG(200,0,,,,\"PORTAGG\")":76.0869565217391,"URTH^FMA_COS_UP(\"EPS\",\"1M\",+1,0,,,\"PORTAGG\",\"MEANR\")":543.0,"EWJ^FG_TOTAL_RETURNC(-1AM,-4AM)":-4.890549,"DBC^P_PRICE(-1AM)/P_PRICE_HIGH_PR(-1AM,,,,,,\"PRICE\",\"INTRA\",\"52W\")":0.9055794,"SPY^FG_TOTAL_RETURNC(-1AM,-4AM)":5.486071,"URTH^FMA_DIV_YLD(NTMA,NOW,NOW,M,\"PORTAGG\",\"MEANR\")":1.9148430691673,"SPY^FG_PE(0)":25.0346777921779,"EWJ^FG_PRICE(0,-200D)":[68.69,67.78,68.86,70.24,70.3,69.96,70.4,71.48,71.9,71.06,71.4,71.01,71.28,70.0,69.62,69.96,69.49,68.86,67.79,68.24,67.65,67.31,67.56,66.51,66.01,66.48,66.66,66.61,67.13,67.15,68.39,68.06,69.34,68.73,69.24,69.28,69.48,69.4,68.97,68.06,67.47,68.85,68.46,67.72,68.02,68.82,69.22,68.73,68.27,68.97,68.21,67.68,67.95,68.34,68.04,68.91,69.67,69.26,68.47,67.11,67.27,67.74,67.13,66.56,67.61,67.32,67.17,66.49,66.89,67.09,67.81,68.77,69.06,69.99,69.38,70.48,70.22,69.87,69.67,70.4,69.92,70.28,71.35,71.61,71.3,70.99,71.82,71.83,71.47,70.92,70.65,69.57,69.06,69.37,69.98,69.6,71.18,71.34,71.37,70.3,69.92,70.33,69.12,68.67,69.18,69.0,69.01,68.9,67.79,67.93,67.63,67.64,67.0,66.74,66.97,66.63,66.39,66.56,66.18,66.19,66.51,66.92,66.21,65.93,66.17,65.39,65.92,66.17,66.09,66.68,65.9,65.73,65.12,65.94,66.43,65.8,65.22,64.07,64.46,63.53,63.06,63.21,63.56,64.14,64.04,63.66,63.31,63.33,63.13,62.05,63.24,63.05,63.17,63.72,64.01,63.05,63.14,62.78,63.15,62.67,62.02,62.25,63.21,62.61,62.49,62.55,62.56,62.61,62.49,62.1,62.36,62.35,61.39,61.18,61.64,60.44,60.47,59.89,59.64,60.64,61.2,62.0,60.95,59.97,58.96,58.25,57.82,57.34,58.13,58.36,57.99,58.13,58.52,58.95,59.89,59.77,59.58,60.33,60.18,60.33,59.55],"QQQ^P_PRICE(0)/P_PRICE_HIGH_PR(0,,,USD,,,\"PRICE\",\"INTRA\",\"52W\")":0.919467,"URTH^P_PRICE(0)/P_PRICE_LOW_PR(0,,,USD,,,\"PRICE\",\"INTRA\",\"52W\")-1":0.2914561,"EWD^FG_TOTAL_RETURNC(0,-3AM)":3.1193852,"EWU^FG_TOTAL_RETURNC(0,-3AM)":5.4418445,"ENZL^P_PRICE(0)/P_PRICE_LOW_PR(0,,,USD,,,\"PRICE\",\"INTRA\",\"52W\")-1":0.11381638,"EWD^PERCENT_CHANGE(FMA_EPS(+1,0,,,,\"PORTAGG\",\"MEAN\"),FMA_EPS(+1,-1AM,,,,\"PORTAGG\",\"MEAN\"))":-4.77889260321974,"IWM^SIZE(FG_CONSTITUENTS)":1973,"SPY^SIZE(FG_CONSTITUENTS)":503,"EWC^SIZE(FG_CONSTITUENTS)":88,"EWG^FG_COMPANY_NAME":"iShares MSCI Germany ETF","VWO^P_PRICE(-1AM)/P_PRICE_HIGH_PR(-1AM,,,,,,\"PRICE\",\"INTRA\",\"52W\")":0.9711803,"DBC^P_PRICE(0)/P_PRICE_HIGH_PR(0,,,USD,,,\"PRICE\",\"INTRA\",\"52W\")":0.8677331,"SPY^FG_COMPANY_NAME":"SPDR S&P 500 ETF Trust","EWJ^PERCENT_CHANGE(FMA_EPS(+1,0,,,,\"PORTAGG\",\"MEAN\"),FMA_EPS(+1,-3AM,,,,\"PORTAGG\",\"MEAN\"))":-0.380290789443318,"VWO^SIZE(FG_CONSTITUENTS(20240229))":4699,"EWC^FG_COMPANY_NAME":"iShares MSCI Canada ETF","EWJ^FG_TOTAL_RETURNC(-1AM,-2AM)":-0.94501376,"DBC^FG_TOTAL_RETURNC(-1AM,-7AM)":3.3852935,"VWO^FG_COMPANY_NAME":"Vanguard FTSE Emerging Markets ETF","URTH^FG_PE_NTM(0,,,90,0)":18.31472994222,"FXI^FG_COMPANY_NAME":"iShares China Large-Cap ETF","EMXC^FG_PRICE(0,-200D)":[59.26,58.58,58.62,59.49,59.84,59.54,60.19,60.74,61.86,61.4,61.84,61.72,61.64,61.11,61.05,60.78,60.11,59.35,59.21,59.2,59.02,58.56,58.73,58.64,58.78,58.93,58.96,58.3,57.99,57.8,57.94,57.21,57.88,57.5,57.95,57.56,56.37,57.69,56.9,57.23,57.48,58.48,58.57,58.28,58.46,58.53,58.7,58.8,58.61,58.78,58.19,57.64,57.51,57.47,57.61,57.49,57.78,57.7,57.22,56.39,56.42,57.1,56.51,56.1,56.01,56.02,55.67,55.18,55.51,55.38,55.48,56.25,56.82,58.0,57.59,58.58,58.24,57.84,57.58,57.76,57.64,57.42,57.57,57.45,57.23,57.37,57.23,57.47,57.24,56.6,56.81,56.76,57.23,57.29,57.65,57.2,57.39,57.57,56.98,56.17,56.64,56.48,55.84,55.76,56.17,56.23,56.43,56.56,56.09,56.31,56.01,56.01,55.79,54.93,55.98,55.79,55.52,55.68,55.36,54.69,54.8,54.68,54.06,54.38,54.68,54.27,54.06,54.04,53.74,53.74,53.95,53.29,52.7,53.34,54.55,54.24,54.12,54.23,54.99,54.54,54.34,54.3,54.92,55.41,55.5,55.35,54.93,54.45,54.31,53.42,54.89,54.52,54.37,54.69,53.93,53.14,53.21,52.99,53.01,52.72,52.78,52.88,53.35,52.88,52.84,52.91,52.33,52.38,52.45,52.57,52.76,52.31,52.24,52.18,51.98,50.64,50.84,50.32,50.69,51.02,51.16,50.68,49.89,48.87,48.21,48.37,47.86,48.02,48.41,49.0,48.66,48.81,49.32,49.42,50.13,50.17,49.67,49.86,50.27,49.98,49.37],"QQQ^FG_TOTAL_RETURNC(0,-6AM)":9.558928,"URTH^P_PRICE(0)/P_PRICE_HIGH_PR(0,,,USD,,,\"PRICE\",\"INTRA\",\"52W\")":0.96551955,"EWN^P_PRICE(0)/P_PRICE_HIGH_PR(0,,,USD,,,\"PRICE\",\"INTRA\",\"52W\")":0.91966814,"EWL^P_PRICE(0)/P_PRICE_LOW_PR(0,,,USD,,,\"PRICE\",\"INTRA\",\"52W\")-1":0.20481348,"ENZL^P_PRICE(0)/P_PRICE_HIGH_PR(0,,,USD,,,\"PRICE\",\"INTRA\",\"52W\")":0.9112662,"EWD^FMA_PCT_ABOVE_MAVG(200,0,,,,\"PORTAGG\")":70.4545454545455,"IWM^FMA_COS_DOWN(\"EPS\",\"1M\",+1,0,,,\"PORTAGG\",\"MEANR\")":467.0,"SPY^FMA_COS_DOWN(\"EPS\",\"1M\",+1,0,,,\"PORTAGG\",\"MEANR\")":223.0,"VGK^FMA_COS_UP(\"EPS\",\"1M\",+1,0,,,\"PORTAGG\",\"MEANR\")":464.0,"EWQ^FG_COMPANY_NAME":"iShares MSCI France ETF","FXI^FG_TOTAL_RETURNC(-1AM,-4AM)":11.597991,"VWO^FG_TOTAL_RETURNC(-1AM,-4AM)":5.586016,"EMXC^FG_TOTAL_RETURNC(0,-3AM)":5.7664037,"EMXC^FG_COMPANY_NAME":"iShares MSCI Emerging Markets ex China ETF","FXI^FG_PE(0)":9.51833269895248,"QQQ^FG_PE(0)":32.149842738016,"URTH^FMA_EPS(NTMA,-20AY,0,CY,,\"PORTAGG\",\"MEANR\")":[null,null,null,null,null,null,null,null,4.55913632412374,4.8298105677889,4.68122041716609,4.46290846961937,4.5468408308106,5.24375165960342,5.92417007591415,5.85717486715262,5.43711182618958,7.02059598080866,7.30481967873779,7.69572594604234],"VWO^FG_PRICE(0,-200D)":[43.72,43.24,43.35,43.81,44.27,43.93,44.36,44.75,45.41,45.12,45.59,45.38,45.03,44.85,44.66,44.66,44.67,44.02,43.86,43.76,43.65,43.67,43.79,43.92,43.95,44.27,44.35,44.0,43.76,43.64,43.69,43.35,43.45,43.22,43.58,43.38,42.83,43.51,43.08,43.45,43.53,44.08,44.2,44.06,44.4,44.53,44.79,44.89,44.57,44.4,44.02,43.8,43.46,43.37,43.2,43.24,43.55,43.63,43.25,42.22,42.17,42.74,42.32,41.84,41.71,41.58,41.24,40.89,41.01,40.9,40.83,41.34,41.6,42.42,42.28,42.75,42.38,42.12,41.99,42.14,42.08,41.94,41.77,41.63,41.52,41.61,41.61,41.88,41.85,41.52,41.69,41.6,41.76,41.99,42.23,41.87,41.76,41.83,41.63,41.12,41.4,41.57,41.02,40.93,41.57,41.44,41.58,41.57,41.21,41.17,41.09,40.89,40.64,40.06,40.81,40.63,40.47,40.68,40.71,39.73,39.63,39.91,39.64,39.79,40.17,40.16,40.15,40.05,39.54,39.32,39.63,39.27,39.04,39.57,40.41,40.22,40.05,40.09,40.56,40.49,40.43,40.5,40.62,41.1,40.99,40.74,40.52,40.26,40.4,39.63,40.48,40.2,41.07,41.31,40.77,40.39,40.39,40.21,40.41,40.25,40.3,40.44,40.8,40.63,40.51,40.74,40.41,40.6,40.47,40.58,40.82,40.39,40.23,40.65,40.37,39.45,39.38,39.11,39.46,39.64,39.63,39.51,38.8,38.21,37.94,38.12,37.78,37.74,37.88,38.29,37.82,37.9,38.36,38.5,39.14,39.31,39.03,39.18,39.6,39.48,38.86],"SPY^P_PRICE(0)/P_PRICE_HIGH_PR(0,,,USD,,,\"PRICE\",\"INTRA\",\"52W\")":0.96333784,"EWD^P_PRICE(0)/P_PRICE_HIGH_PR(0,,,USD,,,\"PRICE\",\"INTRA\",\"52W\")":0.92989445,"EWJ^P_PRICE(0)/P_PRICE_HIGH_PR(0,,,USD,,,\"PRICE\",\"INTRA\",\"52W\")":0.95316726,"IWM^PERCENT_CHANGE(FMA_EPS(+1,0,,,,\"PORTAGG\",\"MEAN\"),FMA_EPS(+1,-3AM,,,,\"PORTAGG\",\"MEAN\"))":-8.99811178998543,"VGK^PERCENT_CHANGE(FMA_EPS(+1,0,,,,\"PORTAGG\",\"MEAN\"),FMA_EPS(+1,-1AM,,,,\"PORTAGG\",\"MEAN\"))":-2.86881895465458,"EWU^FMA_PCT_ABOVE_MAVG(200,0,,,,\"PORTAGG\")":65.0,"QQQ^FMA_COS_UP(\"EPS\",\"1M\",+1,0,,,\"PORTAGG\",\"MEANR\")":39.0,"EWL^SIZE(FG_CONSTITUENTS)":46,"USO^FG_TOTAL_RETURNC(-1AM,-2AM)":4.5122743,"QQQ^FG_TOTAL_RETURNC(0,-1AM)":-3.622204,"SPY^FG_FCF_YIELD_NTM(0)":4.21509208328183,"EWI^SIZE(FG_CONSTITUENTS)":26,"FXI^FG_TOTAL_RETURNC(-1AM,-2AM)":-3.5353124,"VWO^FG_TOTAL_RETURNC(-1AM,-2AM)":-0.81604123,"EMXC^FG_TOTAL_RETURNC(0,-1AM)":1.1953473,"VGK^FG_COMPANY_NAME":"Vanguard FTSE Europe ETF","INDA^FG_FCF_YIELD_NTM(0)":2.69743500597538,"VWO^FMA_EPS(NTMA,-20AY,0,CY,,\"PORTAGG\",\"MEANR\")":[null,2.47096748819429,3.07377774425412,3.86944526172212,2.60867545168868,3.18821291353687,4.15747212481106,4.12857564630079,4.18029682315269,3.80798109782178,3.50712263282986,2.87492956545103,2.98790327540514,3.48400264543457,3.41428108527064,3.40455003896663,3.30496543999526,3.92169461765162,3.36694854736787,3.38672467340405],"VWO^JULIAN(P_PRICE(0,-200D).DATES)":[45499,45498,45497,45496,45495,45492,45491,45490,45489,45488,45485,45484,45483,45482,45481,45478,45476,45475,45474,45471,45470,45469,45468,45467,45464,45463,45461,45460,45457,45456,45455,45454,45453,45450,45449,45448,45447,45446,45443,45442,45441,45440,45436,45435,45434,45433,45432,45429,45428,45427,45426,45425,45422,45421,45420,45419,45418,45415,45414,45413,45412,45411,45408,45407,45406,45405,45404,45401,45400,45399,45398,45397,45394,45393,45392,45391,45390,45387,45386,45385,45384,45383,45379,45378,45377,45376,45373,45372,45371,45370,45369,45366,45365,45364,45363,45362,45359,45358,45357,45356,45355,45352,45351,45350,45349,45348,45345,45344,45343,45342,45338,45337,45336,45335,45334,45331,45330,45329,45328,45327,45324,45323,45322,45321,45320,45317,45316,45315,45314,45313,45310,45309,45308,45307,45303,45302,45301,45300,45299,45296,45295,45294,45293,45289,45288,45287,45286,45282,45281,45280,45279,45278,45275,45274,45273,45272,45271,45268,45267,45266,45265,45264,45261,45260,45259,45258,45257,45254,45252,45251,45250,45247,45246,45245,45244,45243,45240,45239,45238,45237,45236,45233,45232,45231,45230,45229,45226,45225,45224,45223,45222,45219,45218,45217,45216,45215,45212,45211,45210,45209,45208],"EWJ^P_PRICE(0)/P_PRICE_LOW_PR(0,,,USD,,,\"PRICE\",\"INTRA\",\"52W\")-1":0.20087421,"EWN^FG_TOTAL_RETURNC(0,-6AM)":7.357824,"IWM^FMA_PCT_ABOVE_MAVG(200,0,,,,\"PORTAGG\")":71.4579055441478,"VGK^FMA_PCT_ABOVE_MAVG(200,0,,,,\"PORTAGG\")":60.1114649681529,"EWL^PERCENT_CHANGE(FMA_EPS(+1,0,,,,\"PORTAGG\",\"MEAN\"),FMA_EPS(+1,-3AM,,,,\"PORTAGG\",\"MEAN\"))":2.33695673029592,"EMXC^SIZE(FG_CONSTITUENTS)":688,"EWI^FMA_COS_DOWN(\"EPS\",\"1M\",+1,0,,,\"PORTAGG\",\"MEANR\")":11.0,"EWL^FMA_COS_DOWN(\"EPS\",\"1M\",+1,0,,,\"PORTAGG\",\"MEANR\")":18.0,"DBC^FG_TOTAL_RETURNC(-1AM,-4AM)":2.1566868,"UUP^P_PRICE(0)/P_PRICE_HIGH_PR(0,,,USD,,,\"PRICE\",\"INTRA\",\"52W\")":0.95541185,"SPY^FMA_DIV_YLD(NTMA,NOW,NOW,M,\"PORTAGG\",\"MEANR\")":1.40757877344102,"EWJ^PERCENT_CHANGE(FMA_EPS(+1,0,,,,\"PORTAGG\",\"MEAN\"),FMA_EPS(+1,-1AM,,,,\"PORTAGG\",\"MEAN\"))":3.43107170641426,"EWJ^SIZE(FG_CONSTITUENTS)":205,"QQQ^FG_COMPANY_NAME":"Invesco QQQ Trust Series I","EWJ^P_PRICE(-1AM)/P_PRICE_HIGH_PR(-1AM,,,,,,\"PRICE\",\"INTRA\",\"52W\")":0.93401784,"QQQ^P_PRICE(-1AM)/P_PRICE_HIGH_PR(-1AM,,,,,,\"PRICE\",\"INTRA\",\"52W\")":0.9866697,"BIGPX^P_PRICE(0)/P_PRICE_HIGH_PR(0,,,USD,,,\"PRICE\",\"INTRA\",\"52W\")":0.9711125,"VGK^P_PRICE(0)/P_PRICE_HIGH_PR(0,,,USD,,,\"PRICE\",\"INTRA\",\"52W\")":0.9638486,"TLT^FG_COMPANY_NAME":"iShares 20+ Year Treasury Bond ETF","EWA^FMA_PCT_ABOVE_MAVG(200,0,,,,\"PORTAGG\")":64.4067796610169,"SPY^FMA_COS_UP(\"EPS\",\"1M\",+1,0,,,\"PORTAGG\",\"MEANR\")":184.0,"BTC00-USA^FG_PRICE(-1AM)/MAX(FG_PRICE(-1AM,-13AM,D))":0.824460528985997,"TLT^P_PRICE(-1AM)/P_PRICE_HIGH_PR(-1AM,,,,,,\"PRICE\",\"INTRA\",\"52W\")":0.8961039,"GLD^P_PRICE(-1AM)/P_PRICE_HIGH_PR(-1AM,,,,,,\"PRICE\",\"INTRA\",\"52W\")":0.9420367,"USO^FG_TOTAL_RETURNC(0,-3AM)":-5.324042,"VWO^P_PRICE(0)/P_PRICE_HIGH_PR(0,,,USD,,,\"PRICE\",\"INTRA\",\"52W\")":0.95615095,"EWJ^FMA_DIV_YLD(NTMA,NOW,NOW,M,\"PORTAGG\",\"MEANR\")":2.23297897213025,"USO^FG_PRICE(0,-200D)":[76.11,77.46,76.81,76.62,77.62,78.0,79.9,80.62,79.06,80.12,80.25,80.94,80.48,79.77,80.42,81.31,81.27,81.11,81.54,79.59,79.92,78.75,78.9,79.7,78.65,79.41,78.67,77.79,76.08,75.74,75.98,75.51,75.46,73.02,73.26,71.89,71.09,71.83,74.82,75.53,76.57,77.66,75.35,74.45,74.87,76.16,76.73,76.97,76.25,75.88,75.21,76.13,75.3,76.52,76.11,75.5,75.66,75.13,75.93,75.93,78.38,79.5,80.39,80.44,79.64,79.98,78.78,78.85,78.78,78.91,81.33,81.65,81.53,81.55,82.09,81.15,82.2,82.4,82.27,81.25,80.79,79.67,78.73,77.51,77.29,77.76,76.68,76.82,77.25,78.43,77.98,76.33,76.3,75.09,73.35,73.62,73.36,74.23,74.34,73.45,74.01,74.96,73.36,73.62,73.85,72.79,71.92,73.6,73.2,72.42,73.41,72.84,71.55,72.65,72.11,71.67,71.52,69.42,68.81,68.18,67.51,69.07,70.92,72.81,72.05,73.1,72.23,70.54,69.66,69.69,68.82,69.06,67.94,67.25,68.02,67.65,66.56,67.39,66.4,69.03,67.57,68.19,65.77,66.65,67.18,68.92,70.21,68.69,69.03,68.79,69.36,68.09,67.15,67.16,65.33,64.25,66.8,66.53,65.11,64.76,67.58,68.47,69.24,70.14,72.52,71.26,69.96,70.82,71.61,72.53,72.3,70.75,68.05,71.34,72.69,72.92,71.79,70.25,70.19,71.8,74.91,74.85,76.18,74.75,75.02,76.05,78.36,76.89,78.46,76.93,78.89,80.7,81.68,79.84,78.8,78.39,78.99,75.42,75.67,76.71,77.13],"EMXC^FG_TOTAL_RETURNC(0,-6AM)":10.131931,"EWA^P_PRICE(0)/P_PRICE_LOW_PR(0,,,USD,,,\"PRICE\",\"INTRA\",\"52W\")-1":0.20625615,"SPY^FMA_PCT_ABOVE_MAVG(200,0,,,,\"PORTAGG\")":69.4610778443114,"EWA^FMA_COS_UP(\"EPS\",\"1M\",+1,0,,,\"PORTAGG\",\"MEANR\")":20.0,"GLD^FG_TOTAL_RETURNC(-1AM,-7AM)":10.880446,"FXI^FG_TOTAL_RETURNC(0,-6AM)":13.282108,"VWO^FG_TOTAL_RETURNC(0,-6AM)":9.387755,"ENZL^PERCENT_CHANGE(FMA_EPS(+1,0,,,,\"PORTAGG\",\"MEAN\"),FMA_EPS(+1,-3AM,,,,\"PORTAGG\",\"MEAN\"))":0.848865929145608,"EWJ^FMA_COS_DOWN(\"EPS\",\"1M\",+1,0,,,\"PORTAGG\",\"MEANR\")":57.0,"BTC00-USA^P_FUT_TOTAL_RETURN(-1AM,-7AM,,'')":37.6171109415212,"TLT^FG_TOTAL_RETURNC(-1AM,-7AM)":-4.11402,"DBC^FG_TOTAL_RETURNC(0,-6AM)":-1.6364455,"EWJ^FG_PE_NTM(0,,,90,0)":15.2944863854343,"DBC^FG_PRICE(0,-200D)":[22.24,22.47,22.42,22.43,22.64,22.58,22.89,23.06,23.06,23.12,23.29,23.38,23.3,23.3,23.46,23.78,23.69,23.56,23.53,23.23,23.33,23.21,23.17,23.39,23.2,23.39,23.34,23.15,23.07,23.16,23.14,23.06,23.09,22.76,23.09,22.79,22.71,22.94,23.27,23.38,23.69,23.94,23.52,23.36,23.48,23.82,23.92,23.71,23.47,23.41,23.33,23.43,23.28,23.32,23.23,23.35,23.37,23.11,23.08,23.0,23.34,23.64,23.66,23.64,23.51,23.54,23.44,23.44,23.33,23.34,23.71,23.75,23.72,23.69,23.73,23.61,23.74,23.75,23.63,23.57,23.29,23.08,22.97,22.7,22.72,22.9,22.71,22.87,22.9,22.96,22.97,22.76,22.68,22.61,22.3,22.36,22.17,22.24,22.18,22.0,22.17,22.1,21.99,22.02,22.11,21.94,21.74,22.06,22.0,21.91,22.03,21.98,21.93,22.14,22.27,22.26,22.2,22.08,21.98,21.9,21.81,22.06,22.33,22.57,22.42,22.61,22.51,22.34,22.15,22.03,21.94,21.98,21.84,21.87,22.06,21.98,21.82,21.97,21.81,22.13,22.02,22.14,21.86,22.04,22.16,22.35,22.45,22.23,22.27,22.23,22.49,22.32,23.25,23.21,22.83,22.57,22.92,23.0,22.9,22.86,23.43,23.64,23.8,23.91,24.32,24.15,23.86,24.02,24.18,24.39,24.25,23.95,23.61,24.19,24.35,24.39,24.04,23.92,23.98,24.25,24.78,24.68,24.81,24.55,24.51,24.6,25.0,24.67,24.88,24.7,24.97,25.13,25.32,25.06,24.84,24.77,24.85,24.21,24.22,24.36,24.42],"EWI^P_PRICE(0)/P_PRICE_LOW_PR(0,,,USD,,,\"PRICE\",\"INTRA\",\"52W\")-1":0.29243493,"ENZL^FG_TOTAL_RETURNC(0,-6AM)":-1.8119752,"URTH^PERCENT_CHANGE(FMA_EPS(+1,0,,,,\"PORTAGG\",\"MEAN\"),FMA_EPS(+1,-3AM,,,,\"PORTAGG\",\"MEAN\"))":-0.49376654191326,"QQQ^PERCENT_CHANGE(FMA_EPS(+1,0,,,,\"PORTAGG\",\"MEAN\"),FMA_EPS(+1,-3AM,,,,\"PORTAGG\",\"MEAN\"))":0.364002646409081,"ENZL^SIZE(FG_CONSTITUENTS)":14,"GLD^FG_TOTAL_RETURNC(-1AM,-4AM)":5.425513,"FXI^FG_TOTAL_RETURNC(0,-3AM)":-1.0368824,"VWO^FG_TOTAL_RETURNC(0,-3AM)":3.7086606,"TRYJP10Y-FDS^FG_YIELD(0,,,,\"YTM\")":1.0552,"ENZL^PERCENT_CHANGE(FMA_EPS(+1,0,,,,\"PORTAGG\",\"MEAN\"),FMA_EPS(+1,-1AM,,,,\"PORTAGG\",\"MEAN\"))":-2.80458813786192,"VWO^FMA_COS_DOWN(\"EPS\",\"1M\",+1,0,,,\"PORTAGG\",\"MEANR\")":971.0,"QQQ^FMA_COS_DOWN(\"EPS\",\"1M\",+1,0,,,\"PORTAGG\",\"MEANR\")":37.0,"BTC00-USA^P_FUT_TOTAL_RETURN(-1AM,-4AM,,'')":-13.6052657540861,"TLT^FG_TOTAL_RETURNC(-1AM,-4AM)":0.35716295,"DBC^FG_TOTAL_RETURNC(0,-3AM)":-6.001693,"EWJ^FG_PE(0)":16.830468957471,"QQQ^FG_PRICE(0,-200D)":[462.97,458.27,463.38,480.62,482.32,475.24,479.49,481.77,496.34,496.15,494.82,491.93,502.96,497.77,497.34,496.16,491.04,486.98,481.92,479.11,481.61,480.37,479.38,473.96,480.18,481.47,485.21,485.06,479.19,476.72,474.15,468.02,464.83,462.96,463.37,463.53,454.37,453.13,450.71,451.55,456.44,459.68,457.95,453.66,455.71,455.8,454.91,451.76,451.98,452.9,445.93,443.08,442.06,441.02,440.06,440.32,440.25,435.48,426.9,421.52,424.59,432.75,431.0,424.45,426.51,425.07,418.82,414.65,423.41,425.84,431.1,431.06,438.27,445.37,438.37,442.23,440.6,440.47,435.34,442.1,441.11,444.95,444.01,444.83,443.32,444.76,446.38,445.87,443.77,438.57,437.48,433.92,439.14,440.25,443.66,437.39,439.02,445.45,438.79,436.05,444.02,445.61,439.0,435.27,437.6,436.55,436.78,438.07,425.61,427.32,430.57,434.51,433.22,428.55,435.34,437.05,432.79,431.99,427.59,428.45,429.01,421.88,416.97,425.3,428.15,423.81,426.35,425.83,423.48,421.73,421.18,412.99,407.21,409.52,409.56,409.35,408.5,405.75,404.95,396.75,396.28,398.33,402.59,409.52,411.3,411.5,410.88,408.38,407.77,403.08,409.16,407.08,405.34,403.39,403.74,398.67,395.52,392.17,390.43,385.05,387.29,386.32,389.94,388.83,389.81,390.19,389.17,389.51,390.06,388.47,390.74,386.04,385.95,385.62,385.33,377.21,378.39,370.07,372.94,372.7,369.21,367.71,363.44,356.96,350.87,349.2,345.31,343.66,350.34,359.13,355.67,354.6,359.97,363.37,368.2,369.41,365.28,369.93,371.22,368.59,366.56],"INDA^P_PRICE(0)/P_PRICE_HIGH_PR(0,,,USD,,,\"PRICE\",\"INTRA\",\"52W\")":0.9895507,"EWI^P_PRICE(0)/P_PRICE_HIGH_PR(0,,,USD,,,\"PRICE\",\"INTRA\",\"52W\")":0.95250195,"QQQ^FG_TOTAL_RETURNC(0,-3AM)":7.5902224,"ENZL^FG_TOTAL_RETURNC(0,-3AM)":4.0211916,"URTH^PERCENT_CHANGE(FMA_EPS(+1,0,,,,\"PORTAGG\",\"MEAN\"),FMA_EPS(+1,-1AM,,,,\"PORTAGG\",\"MEAN\"))":0.0266636553384657,"QQQ^PERCENT_CHANGE(FMA_EPS(+1,0,,,,\"PORTAGG\",\"MEAN\"),FMA_EPS(+1,-1AM,,,,\"PORTAGG\",\"MEAN\"))":-0.140557886396838,"ENZL^FMA_PCT_ABOVE_MAVG(200,0,,,,\"PORTAGG\")":57.1428571428571,"FC0000JP^FMA_EPS(NTMA,-20AY,0,CY,,\"PORTAGG\",\"MEANR\")":[6.3219540592912,6.36711938836275,7.10166782446205,8.01436671368109,6.05678795097842,4.61011331653549,7.53350480682024,7.85626935567262,7.24528468547332,8.03763113189248,7.80736408967881,8.63988549144276,8.56785655145268,10.4136052900246,11.6762416161251,10.6136771275732,9.49697338536693,12.0143397881791,11.6137588539022,12.0022510442883],"SPY^FG_PRICE(0,-200D)":[544.44,538.41,541.23,553.78,554.65,548.99,552.66,556.94,564.86,561.53,559.99,556.48,561.32,555.82,555.28,554.64,551.46,549.01,545.34,544.22,546.37,545.51,544.83,542.74,544.51,547.0,548.49,547.1,542.78,542.45,541.36,536.95,535.66,534.01,534.66,534.67,528.39,527.8,527.37,522.61,526.1,529.81,529.44,525.96,529.83,531.36,530.06,529.45,528.69,529.78,523.3,520.91,520.84,520.17,517.19,517.14,516.57,511.29,505.03,500.35,501.98,510.06,508.26,503.49,505.41,505.65,499.72,495.16,499.52,500.55,503.53,504.45,510.85,518.0,514.12,519.32,518.72,518.43,513.07,519.41,518.84,522.16,523.07,523.17,518.81,519.77,521.21,522.2,520.48,515.71,512.86,509.83,514.95,515.97,516.78,511.28,511.72,514.81,509.75,507.18,512.3,512.85,508.08,506.26,506.93,505.99,507.85,507.5,497.21,496.76,499.51,502.01,498.57,494.08,500.98,501.2,498.32,498.1,493.98,492.55,494.35,489.2,482.88,490.89,491.27,487.41,488.03,485.39,484.86,483.45,482.43,476.49,472.29,474.93,476.68,476.35,476.56,473.88,474.6,467.92,467.28,468.79,472.65,475.31,476.69,476.51,475.65,473.65,472.7,468.26,474.84,471.97,469.33,472.01,470.5,464.1,461.99,460.2,458.23,454.76,456.6,456.69,459.1,456.4,454.61,454.93,454.48,455.3,455.02,453.27,454.26,450.79,450.23,449.68,448.73,440.19,440.61,433.84,437.25,436.93,435.69,434.69,430.76,422.66,418.2,415.59,410.68,412.55,417.55,423.63,420.46,421.19,426.43,430.21,436.02,436.04,431.5,433.66,436.32,434.54,432.29],"USO^FG_TOTAL_RETURNC(-1AM,-4AM)":1.8889904,"UUP^FG_COMPANY_NAME":"Invesco DB US Dollar Index Bullish Fund","QQQ^FG_FCF_YIELD_NTM(0)":3.63563533924483,"QQQ^FMA_DIV_YLD(NTMA,NOW,NOW,M,\"PORTAGG\",\"MEANR\")":0.843317139017348,"VGK^P_PRICE(0)/P_PRICE_LOW_PR(0,,,USD,,,\"PRICE\",\"INTRA\",\"52W\")-1":0.23719585,"EWG^P_PRICE(0)/P_PRICE_HIGH_PR(0,,,USD,,,\"PRICE\",\"INTRA\",\"52W\")":0.95610344,"EWC^PERCENT_CHANGE(FMA_EPS(+1,0,,,,\"PORTAGG\",\"MEAN\"),FMA_EPS(+1,-3AM,,,,\"PORTAGG\",\"MEAN\"))":-1.94019737710527,"EWG^SIZE(FG_CONSTITUENTS)":59,"QQQ^FG_TOTAL_RETURNC(-1AM,-4AM)":8.5314865,"QQQ^FG_PE_NTM(0,,,90,0)":25.7231507266766,"URTH^FMA_PCT_ABOVE_MAVG(200,0,,,,\"PORTAGG\")":65.0771388499299,"VGK^SIZE(FG_CONSTITUENTS)":1283,"BTC00-USA^P_FUT_TOTAL_RETURN(-1AM,-2AM,,'')":-12.8023371498271,"FXI^P_PRICE(0)/P_PRICE_HIGH_PR(0,,,USD,,,\"PRICE\",\"INTRA\",\"52W\")":0.8356254,"UUP^FG_TOTAL_RETURNC(0,-3AM)":-0.24229884,"TRYIN10Y-FDS^FG_YIELD(0,,,,\"YTM\")":6.952,"EWI^FG_TOTAL_RETURNC(0,-6AM)":14.849674,"EWG^FG_TOTAL_RETURNC(0,-6AM)":9.160566,"EWC^PERCENT_CHANGE(FMA_EPS(+1,0,,,,\"PORTAGG\",\"MEAN\"),FMA_EPS(+1,-1AM,,,,\"PORTAGG\",\"MEAN\"))":-1.12002504444639,"EWG^FMA_COS_DOWN(\"EPS\",\"1M\",+1,0,,,\"PORTAGG\",\"MEANR\")":34.0,"QQQ^FG_TOTAL_RETURNC(-1AM,-2AM)":5.064273,"GLD^P_PRICE(0)/P_PRICE_HIGH_PR(0,,,USD,,,\"PRICE\",\"INTRA\",\"52W\")":0.96072286,"IWM^P_PRICE(0)/P_PRICE_LOW_PR(0,,,USD,,,\"PRICE\",\"INTRA\",\"52W\")-1":0.38689923,"VWO^PERCENT_CHANGE(FMA_EPS(+1,0,,,,\"PORTAGG\",\"MEAN\"),FMA_EPS(+1,-3AM,,,,\"PORTAGG\",\"MEAN\"))":-8.32273087312745,"VGK^FMA_COS_DOWN(\"EPS\",\"1M\",+1,0,,,\"PORTAGG\",\"MEANR\")":488.0,"FXI^P_PRICE(-1AM)/P_PRICE_HIGH_PR(-1AM,,,,,,\"PRICE\",\"INTRA\",\"52W\")":0.86836934,"EWJ^FG_TOTAL_RETURNC(0,-1AM)":2.050221,"SPY^FG_PE_NTM(0,,,90,0)":20.5995979863517,"EWI^FG_TOTAL_RETURNC(0,-3AM)":3.1919956,"EWG^FG_TOTAL_RETURNC(0,-3AM)":3.6249757,"EWC^FMA_PCT_ABOVE_MAVG(200,0,,,,\"PORTAGG\")":76.1363636363636,"EWC^FMA_COS_DOWN(\"EPS\",\"1M\",+1,0,,,\"PORTAGG\",\"MEANR\")":38.0,"UUP^P_PRICE(-1AM)/P_PRICE_HIGH_PR(-1AM,,,,,,\"PRICE\",\"INTRA\",\"52W\")":0.96701473,"GLD^FG_TOTAL_RETURNC(0,-6AM)":17.977655,"IWM^P_PRICE(0)/P_PRICE_HIGH_PR(0,,,USD,,,\"PRICE\",\"INTRA\",\"52W\")":0.9893223,"VWO^PERCENT_CHANGE(FMA_EPS(+1,0,,,,\"PORTAGG\",\"MEAN\"),FMA_EPS(+1,-1AM,,,,\"PORTAGG\",\"MEAN\"))":170.818965015428,"EWI^FMA_COS_UP(\"EPS\",\"1M\",+1,0,,,\"PORTAGG\",\"MEANR\")":10.0,"FXI^FG_TOTAL_RETURNC(-1AM,-7AM)":14.577782,"EMXC^P_PRICE(0)/P_PRICE_HIGH_PR(0,,,USD,,,\"PRICE\",\"INTRA\",\"52W\")":0.9530395,"FXI^FG_FCF_YIELD_NTM(0)":8.00829781330782,"EWD^P_PRICE(0)/P_PRICE_LOW_PR(0,,,USD,,,\"PRICE\",\"INTRA\",\"52W\")-1":0.29248822,"EWC^P_PRICE(0)/P_PRICE_HIGH_PR(0,,,USD,,,\"PRICE\",\"INTRA\",\"52W\")":0.98206514,"EWI^PERCENT_CHANGE(FMA_EPS(+1,0,,,,\"PORTAGG\",\"MEAN\"),FMA_EPS(+1,-3AM,,,,\"PORTAGG\",\"MEAN\"))":-2.70731727702463,"EWA^PERCENT_CHANGE(FMA_EPS(+1,0,,,,\"PORTAGG\",\"MEAN\"),FMA_EPS(+1,-3AM,,,,\"PORTAGG\",\"MEAN\"))":-2.49428968349461,"EWC^FMA_COS_UP(\"EPS\",\"1M\",+1,0,,,\"PORTAGG\",\"MEANR\")":34.0,"UUP^FG_TOTAL_RETURNC(-1AM,-7AM)":7.6781154,"GLD^FG_TOTAL_RETURNC(0,-3AM)":1.8511772,"EWN^FG_TOTAL_RETURNC(0,-3AM)":1.880157,"EWD^SIZE(FG_CONSTITUENTS)":46,"EWA^SIZE(FG_CONSTITUENTS)":60,"EWJ^FG_TOTAL_RETURNC(-1AM,-7AM)":7.112682,"FXI^FMA_DIV_YLD(NTMA,NOW,NOW,M,\"PORTAGG\",\"MEANR\")":3.6631516409143,"EWC^FG_TOTAL_RETURNC(0,-6AM)":6.0952067,"EWI^PERCENT_CHANGE(FMA_EPS(+1,0,,,,\"PORTAGG\",\"MEAN\"),FMA_EPS(+1,-1AM,,,,\"PORTAGG\",\"MEAN\"))":-0.487928687262707,"EWA^PERCENT_CHANGE(FMA_EPS(+1,0,,,,\"PORTAGG\",\"MEAN\"),FMA_EPS(+1,-1AM,,,,\"PORTAGG\",\"MEAN\"))":-0.178085886270944,"UUP^FG_TOTAL_RETURNC(-1AM,-4AM)":3.1835914,"GLD^FG_TOTAL_RETURNC(0,-1AM)":3.7868142,"EMXC^P_PRICE(0)/P_PRICE_LOW_PR(0,,,USD,,,\"PRICE\",\"INTRA\",\"52W\")-1":0.24065733,"EWQ^P_PRICE(0)/P_PRICE_LOW_PR(0,,,USD,,,\"PRICE\",\"INTRA\",\"52W\")-1":0.14913845,"EWD^FMA_COS_DOWN(\"EPS\",\"1M\",+1,0,,,\"PORTAGG\",\"MEANR\")":25.0,"EWA^FMA_COS_DOWN(\"EPS\",\"1M\",+1,0,,,\"PORTAGG\",\"MEANR\")":32.0,"EMXC^P_PRICE(-1AM)/P_PRICE_HIGH_PR(-1AM,,,,,,\"PRICE\",\"INTRA\",\"52W\")":0.9888551,"FXI^FG_PE_NTM(0,,,90,0)":7.32325773033222,"QQQ^FMA_EPS(NTMA,-20AY,0,CY,,\"PORTAGG\",\"MEANR\")":[1.41943121352323,1.68578719870209,1.94027371724036,2.37669563100619,2.17042637250219,2.60687130060486,3.60763505413585,4.63179037237028,4.97239360017991,5.01453468918522,5.91894771391699,6.05997516056538,6.56529580140728,7.49098519655955,8.94438586016391,9.35231847826133,10.4260782968222,13.6402697448185,12.7503134402041,16.3243000822322],"EWC^FG_TOTAL_RETURNC(0,-3AM)":2.824676,"EWI^FMA_PCT_ABOVE_MAVG(200,0,,,,\"PORTAGG\")":56.0,"ENZL^FMA_COS_DOWN(\"EPS\",\"1M\",+1,0,,,\"PORTAGG\",\"MEANR\")":4.0,"UUP^FG_TOTAL_RETURNC(-1AM,-2AM)":1.7794847,"EWQ^P_PRICE(0)/P_PRICE_HIGH_PR(0,,,USD,,,\"PRICE\",\"INTRA\",\"52W\")":0.9079813,"FXI^SIZE(FG_CONSTITUENTS)":52,"EWD^FMA_COS_UP(\"EPS\",\"1M\",+1,0,,,\"PORTAGG\",\"MEANR\")":12.0,"EMXC^FG_TOTAL_RETURNC(-1AM,-7AM)":7.5233817,"INDA^FMA_DIV_YLD(NTMA,NOW,NOW,M,\"PORTAGG\",\"MEANR\")":1.26937007162542,"SPY^FMA_EPS(NTMA,-20AY,0,CY,,\"PORTAGG\",\"MEANR\")":[7.60742439139767,8.83942892152885,9.84578104860351,10.5833561911057,8.05373941846298,8.02297532880562,9.85143912569227,10.9336154938693,11.5093609233453,12.2962726199201,12.8692035676989,12.7487032117915,13.3024280719142,14.7240376920018,17.3558464695548,17.7294354415451,16.6617703289926,22.2767073851686,22.9687104615331,24.3449867619937],"FXI^PERCENT_CHANGE(FMA_EPS(+1,0,,,,\"PORTAGG\",\"MEAN\"),FMA_EPS(+1,-3AM,,,,\"PORTAGG\",\"MEAN\"))":3.74787077364792,"EWN^PERCENT_CHANGE(FMA_EPS(+1,0,,,,\"PORTAGG\",\"MEAN\"),FMA_EPS(+1,-1AM,,,,\"PORTAGG\",\"MEAN\"))":-0.710738689340707,"ENZL^FMA_COS_UP(\"EPS\",\"1M\",+1,0,,,\"PORTAGG\",\"MEANR\")":3.0,"GLD^FG_TOTAL_RETURNC(-1AM,-2AM)":-1.5468657,"SPY^FG_TOTAL_RETURNC(0,-1AM)":-0.19614697,"INDA^FG_TOTAL_RETURNC(0,-6AM)":15.511286,"SPY^P_PRICE(0)/P_PRICE_LOW_PR(0,,,USD,,,\"PRICE\",\"INTRA\",\"52W\")-1":0.33046603,"FXI^FMA_COS_DOWN(\"EPS\",\"1M\",+1,0,,,\"PORTAGG\",\"MEANR\")":22.0,"EWN^SIZE(FG_CONSTITUENTS)":53,"EWD^FG_COMPANY_NAME":"iShares MSCI Sweden ETF","EMXC^FG_TOTAL_RETURNC(-1AM,-4AM)":3.2021642,"VGK^FG_TOTAL_RETURNC(0,-1AM)":1.7779827,"INDA^FG_PE_NTM(0,,,90,0)":23.950291447862,"SPY^JULIAN(FMA_EPS(NTMA,-20AY,0,CY,,\"PORTAGG\",\"MEANR\").DATES)":[38352,38716,39080,39447,39813,40178,40543,40907,41274,41639,42004,42369,42734,43098,43465,43830,44196,44561,44925,45289],"BIGPX^FG_TOTAL_RETURNC(-1AM,-7AM)":8.196724,"BTC00-USA^P_FUT_TOTAL_RETURN(0,-3AM,,'')":6.41796111365791,"EWG^P_PRICE(0)/P_PRICE_LOW_PR(0,,,USD,,,\"PRICE\",\"INTRA\",\"52W\")-1":0.26735473,"EWG^PERCENT_CHANGE(FMA_EPS(+1,0,,,,\"PORTAGG\",\"MEAN\"),FMA_EPS(+1,-3AM,,,,\"PORTAGG\",\"MEAN\"))":-0.240318164429368,"QQQ^FG_TOTAL_RETURNC(-1AM,-7AM)":17.315329,"VWO^FMA_COS_UP(\"EPS\",\"1M\",+1,0,,,\"PORTAGG\",\"MEANR\")":820.0,"BIGPX^FG_TOTAL_RETURNC(-1AM,-4AM)":3.125,"BTC00-USA^P_FUT_TOTAL_RETURN(0,-1AM,,'')":12.9516310584141,"UUP^FG_TOTAL_RETURNC(0,-6AM)":3.7436962,"TRYCN10Y-FDS^FG_YIELD(0,,,,\"YTM\")":2.197,"INDA^FG_COMPANY_NAME":"iShares MSCI India ETF","EWN^FG_COMPANY_NAME":"iShares MSCI Netherlands ETF","BIGPX^FG_PRICE(0,-200D)":[15.8,15.66,15.72,15.98,16.01,15.89,15.97,16.07,16.27,16.19,16.21,16.12,16.18,16.06,16.07,15.78,15.86,15.78,15.78,15.8,15.87,15.84,15.88,15.82,15.85,15.88,15.93,15.87,15.81,15.81,15.78,15.65,15.59,15.59,15.67,15.67,15.53,15.51,15.47,15.37,15.4,15.52,15.53,15.45,15.52,15.57,15.55,15.53,15.53,15.57,15.4,15.34,15.33,15.33,15.27,15.28,15.26,15.15,15.01,14.89,14.91,15.08,15.03,14.92,14.98,15.0,14.88,14.79,14.86,14.9,14.93,14.98,15.12,15.25,15.19,15.35,15.32,15.32,15.25,15.35,15.32,15.38,15.44,15.44,15.36,15.4,15.4,15.4,15.37,15.27,15.21,15.16,15.24,15.31,15.33,15.27,15.27,15.31,15.21,15.12,15.18,15.2,15.09,15.04,15.05,15.04,15.09,15.05,14.88,14.88,14.91,14.97,14.88,14.78,14.96,14.96,14.91,14.92,14.88,14.81,14.89,14.75,14.75,14.84,14.84,14.76,14.76,14.69,14.67,14.67,14.65,14.54,14.46,14.54,14.64,14.61,14.59,14.54,14.58,14.44,14.44,14.49,14.55,14.65,14.68,14.7,14.64,15.02,15.02,14.92,15.03,14.96,14.92,14.96,14.87,14.68,14.63,14.6,14.59,14.52,14.53,14.5,14.57,14.47,14.46,14.44,14.41,14.4,14.4,14.37,14.39,14.31,14.27,14.24,14.26,14.02,14.02,13.89,13.99,13.97,13.93,13.94,13.82,13.63,13.48,13.45,13.37,13.4,13.46,13.61,13.53,13.52,13.6,13.71,13.85,13.83,13.83,13.86,13.96,13.88,13.8],"EWU^PERCENT_CHANGE(FMA_EPS(+1,0,,,,\"PORTAGG\",\"MEAN\"),FMA_EPS(+1,-1AM,,,,\"PORTAGG\",\"MEAN\"))":-0.871649960847914,"BIGPX^FG_TOTAL_RETURNC(0,-6AM)":7.0460677,"DBC^FG_COMPANY_NAME":"Invesco DB Commodity Index Tracking Fund","EWU^P_PRICE(0)/P_PRICE_HIGH_PR(0,,,USD,,,\"PRICE\",\"INTRA\",\"52W\")":0.9797362,"BTC00-USA^FG_PRICE(0,-200D)":[68775.0,64695.0,65700.0,65565.0,68340.0,67480.0,63650.0,64730.0,65450.0,63700.0,57845.0,57580.0,57625.0,58160.0,56755.0,56685.0,59825.0,62185.0,63695.0,61024.23,61365.0,60940.0,62055.0,59145.0,64260.0,65100.0,64475.0,66865.0,65640.0,66860.0,67875.0,67735.0,69875.0,69755.0,70960.0,71890.0,71085.0,69660.0,67633.73,68675.0,67185.0,68455.0,69475.0,67205.0,69815.0,69500.0,70435.0,67365.0,65445.0,66495.0,61835.0,63480.0,60950.0,62840.0,62460.0,63365.0,63585.0,62590.0,59765.0,57355.0,59400.0,63450.0,64302.05,64700.0,63880.0,66435.0,66610.0,64355.0,63660.0,61130.0,62920.0,63560.0,67170.0,70800.0,70410.0,69355.0,72110.0,67755.0,68840.0,66305.0,66550.0,70380.0,71530.0,68635.0,69440.0,71130.0,63975.0,65415.0,65990.0,64595.0,67180.0,69165.0,69600.0,73915.0,71800.0,72660.0,69805.0,68365.0,67760.0,62425.0,68480.0,63825.0,62760.0,60870.0,57620.0,55290.0,51750.0,52040.0,50955.0,52090.0,52025.0,51955.0,51990.0,49640.0,50465.0,47770.0,45750.0,44410.0,43305.0,42555.0,43185.0,43275.0,42815.0,43890.0,43530.0,42390.0,39750.0,39700.0,39235.0,40180.0,41585.0,40880.0,42810.0,43295.0,43690.0,46350.0,46325.0,47045.0,47305.0,44385.0,44630.0,43080.0,45330.0,42485.0,42515.0,43565.0,42150.0,43765.0,43860.0,43630.0,42360.0,42105.0,42440.0,43140.0,43210.0,41455.0,41035.0,44910.0,43700.0,44215.0,44290.0,42280.0,39225.0,38190.0,38065.0,38885.0,37210.0,38122.84,37655.0,36920.0,37615.0,36565.0,36040.0,37820.0,35365.0,36915.0,37555.0,36805.0,35895.0,36145.0,35320.0,34805.0,35300.0,34965.0,34905.0,34765.0,33955.0,34065.0,34840.0,33845.0,31485.0,29685.0,28900.0,28320.0,28620.0,28575.0,26840.0,26755.0,26800.0,27490.0,27735.0],"EWU^FG_COMPANY_NAME":"iShares MSCI United Kingdom ETF","BIGPX^FG_TOTAL_RETURNC(0,-3AM)":5.1230907,"EWL^P_PRICE(0)/P_PRICE_HIGH_PR(0,,,USD,,,\"PRICE\",\"INTRA\",\"52W\")":0.9887419,"IWM^FG_PRICE(0,-200D)":[224.22,220.57,217.85,222.63,220.29,216.84,217.95,222.25,224.6,217.19,213.14,210.68,203.37,201.4,202.28,200.87,201.83,201.88,201.19,202.89,202.06,200.03,200.56,201.22,200.35,199.9,200.75,200.4,198.73,201.94,203.72,200.64,201.89,201.2,203.59,205.06,201.97,204.61,205.77,204.05,202.13,205.16,205.44,203.19,206.58,208.34,208.54,208.08,207.93,209.44,206.86,204.74,204.31,205.86,203.78,204.97,204.51,201.9,199.92,196.31,195.9,199.96,198.36,196.48,197.68,198.57,195.3,193.14,192.84,193.0,195.06,195.78,198.69,202.29,200.93,206.38,205.57,204.45,203.77,205.83,204.49,208.32,210.3,209.64,205.17,205.54,205.07,207.94,206.1,202.1,201.25,202.41,202.03,205.71,204.91,205.19,206.83,206.96,205.25,203.73,205.7,205.89,203.73,202.32,204.0,201.15,199.89,199.44,197.94,198.88,201.66,204.44,199.13,194.61,202.96,199.34,196.15,193.22,193.67,191.94,194.41,195.44,192.88,197.71,199.41,195.98,195.97,194.36,195.97,196.54,192.43,190.6,189.48,190.84,193.23,193.55,195.08,194.97,196.73,193.25,193.82,194.2,199.52,200.71,204.04,204.82,204.1,201.48,199.62,196.28,200.93,197.11,197.04,198.71,193.33,187.0,187.19,186.8,185.39,184.06,184.39,186.89,184.91,179.66,178.98,178.04,178.73,179.33,178.13,177.02,179.33,178.29,175.88,178.77,178.46,169.17,169.11,167.24,169.87,171.7,172.31,174.49,169.87,165.46,164.52,163.11,162.21,164.14,163.72,166.47,165.03,166.44,168.62,171.35,174.95,173.02,170.27,171.7,175.67,175.97,174.0],"EMXC^FMA_COS_DOWN(\"EPS\",\"1M\",+1,0,,,\"PORTAGG\",\"MEANR\")":247.0,"EWL^FG_COMPANY_NAME":"iShares MSCI Switzerland ETF","BIGPX^FG_TOTAL_RETURNC(0,-1AM)":-0.252527,"INDA^FG_PE(0)":26.7104043543071,"URTH^FG_FCF_YIELD_NTM(0)":4.41914729587391,"EWA^FG_COMPANY_NAME":"iShares MSCI Australia ETF","BTC00-USA^P_FUT_TOTAL_RETURN(0,-6AM,,'')":57.8080496263158,"UUP^FG_PRICE(0,-200D)":[28.82,28.84,28.84,28.85,28.8,28.82,28.74,28.61,28.74,28.74,28.69,28.79,28.94,28.97,28.93,28.88,28.98,29.1,29.14,29.13,29.13,29.17,29.03,29.0,29.1,29.03,28.91,28.92,28.99,28.86,28.75,28.88,28.84,28.77,28.53,28.57,28.53,28.52,28.67,28.69,28.78,28.62,28.66,28.75,28.69,28.6,28.6,28.56,28.56,28.49,28.67,28.73,28.74,28.7,28.8,28.76,28.68,28.65,28.73,28.95,28.98,28.8,28.89,28.76,28.82,28.79,28.91,28.9,28.9,28.84,28.93,28.89,28.84,28.61,28.59,28.29,28.3,28.34,28.31,28.31,28.44,28.48,28.37,28.29,28.27,28.25,28.32,28.17,27.98,28.11,28.04,27.98,27.95,27.8,27.83,27.81,27.78,27.77,27.91,28.01,28.04,28.04,28.09,28.03,28.01,27.99,28.04,28.02,28.02,28.05,28.09,28.08,28.19,28.24,28.02,27.99,28.01,27.98,28.01,28.09,27.94,27.69,27.83,27.76,27.78,27.78,27.78,27.7,27.78,27.71,27.7,27.74,27.71,27.69,27.45,27.42,27.4,27.45,27.36,27.41,27.41,27.41,27.32,27.09,27.04,26.95,27.09,27.15,27.16,27.34,27.22,27.34,29.09,28.9,29.17,29.42,29.5,29.46,29.35,29.51,29.44,29.33,29.2,29.29,29.08,29.05,29.15,29.21,29.34,29.24,29.21,29.3,29.46,29.44,29.33,29.8,29.84,29.86,29.73,29.74,29.64,29.61,29.89,30.04,30.03,29.85,29.97,30.01,29.94,29.86,29.69,29.84,29.83,29.92,29.81,29.8,29.93,29.91,29.66,29.66,29.73],"INDA^SIZE(FG_CONSTITUENTS)":147,"URTH^FG_PE(0)":21.3739924715595,"INDA^FMA_COS_DOWN(\"EPS\",\"1M\",+1,0,,,\"PORTAGG\",\"MEANR\")":60.0,"VWO^FG_FCF_YIELD_NTM(0)":5.35799702690336,"BIGPX^P_PRICE(-1AM)/P_PRICE_HIGH_PR(-1AM,,,,,,\"PRICE\",\"INTRA\",\"52W\")":0.99435025,"TLT^FG_TOTAL_RETURNC(0,-6AM)":1.1307478,"INDA^FG_TOTAL_RETURNC(0,-3AM)":8.600914,"INDA^FMA_COS_UP(\"EPS\",\"1M\",+1,0,,,\"PORTAGG\",\"MEANR\")":58.0,"TLT^FG_TOTAL_RETURNC(0,-3AM)":6.44871,"VWO^FG_PE(0)":15.0436274694864,"VGK^FG_TOTAL_RETURNC(-1AM,-7AM)":5.94908,"USO^P_PRICE(0)/P_PRICE_HIGH_PR(0,,,USD,,,\"PRICE\",\"INTRA\",\"52W\")":0.9124805,"VGK^FG_TOTAL_RETURNC(-1AM,-4AM)":1.3567448,"INDA^PERCENT_CHANGE(FMA_EPS(+1,0,,,,\"PORTAGG\",\"MEAN\"),FMA_EPS(+1,-3AM,,,,\"PORTAGG\",\"MEAN\"))":-3.33115292832499,"INDA^FG_PRICE(0,-200D)":[56.82,55.77,55.46,55.75,56.63,56.18,57.15,57.09,57.36,57.16,57.07,56.89,56.74,56.85,56.63,56.66,56.41,56.17,56.18,55.78,55.8,55.22,55.18,55.13,54.69,54.95,55.51,55.25,55.17,54.6,54.67,54.26,54.15,53.99,53.36,53.12,51.46,54.8,53.01,53.03,53.28,53.56,54.07,53.81,53.29,53.21,53.12,52.97,52.53,52.33,52.15,51.72,51.37,51.57,52.02,51.91,52.37,52.73,52.98,52.41,52.35,52.53,52.32,52.29,52.01,52.01,51.89,51.33,51.07,50.97,51.15,51.26,51.67,52.35,52.22,52.42,52.38,52.02,51.57,51.68,51.57,51.49,51.59,51.09,50.76,50.54,50.49,50.53,50.42,50.14,50.7,50.52,50.71,50.43,51.69,51.9,52.28,52.29,52.11,51.72,51.91,51.92,51.16,51.06,51.625,51.56,51.8,51.73,51.18,51.56,51.2,51.08,50.81,49.97,50.28,50.72,50.5,50.89,50.78,50.11,50.375,50.23,49.89,49.52,49.98,49.19,49.11,49.2,48.68,49.77,49.59,49.08,48.83,49.4,49.96,49.19,49.15,48.85,49.09,49.09,49.01,48.59,48.67,48.81,49.02,48.84,48.53,48.36,48.16,47.4,48.72,48.455,48.3,48.35,47.96,47.38,47.56,47.31,47.46,47.34,47.27,46.84,46.4,46.02,45.63,45.49,45.09,45.19,45.21,45.06,45.05,45.045,44.98,44.94,45.08,44.42,44.49,44.04,44.33,44.21,44.19,44.15,43.83,43.4,43.24,43.33,42.96,42.73,43.25,43.75,43.62,43.98,44.33,44.22,44.77,44.76,44.46,44.32,44.68,44.59,44.09],"FXI^PERCENT_CHANGE(FMA_EPS(+1,0,,,,\"PORTAGG\",\"MEAN\"),FMA_EPS(+1,-1AM,,,,\"PORTAGG\",\"MEAN\"))":1.67285133080617,"EMXC^FMA_COS_UP(\"EPS\",\"1M\",+1,0,,,\"PORTAGG\",\"MEANR\")":264.0,"BTC00-USA^FG_PRICE(0)/MAX(FG_PRICE(0,-12AM,D))":0.930460664276534,"FXI^FMA_PCT_ABOVE_MAVG(200,0,,,,\"PORTAGG\")":56.8627450980392,"ENZL^FG_COMPANY_NAME":"iShares MSCI New Zealand ETF","TLT^P_PRICE(0)/P_PRICE_HIGH_PR(0,,,USD,,,\"PRICE\",\"INTRA\",\"52W\")":0.9213772,"GLD^FG_PRICE(0,-200D)":[220.63,218.33,221.8,222.58,221.8,221.73,225.78,227.23,228.29,223.83,223.11,223.25,219.36,218.56,218.19,220.93,217.99,215.56,215.57,215.01,214.99,212.58,214.56,215.63,214.78,218.16,215.47,214.61,215.73,212.97,214.72,214.15,213.54,211.6,219.43,217.82,215.27,217.22,215.3,216.57,216.16,218.19,215.92,215.72,220.11,224.23,224.56,223.66,220.03,220.89,218.09,216.26,218.71,216.95,213.58,214.21,215.2,212.96,213.13,213.79,211.87,216.18,216.62,215.92,214.64,215.04,215.57,221.03,220.34,219.59,221.22,220.95,216.89,219.8,215.61,217.67,216.48,215.14,211.52,212.74,210.89,207.82,205.72,203.1,201.64,200.99,200.35,201.97,202.18,199.8,200.03,199.71,200.35,201.19,199.79,202.0,201.63,199.94,198.81,197.19,196.01,192.89,189.31,188.34,188.0,188.2,188.62,187.56,187.48,187.47,186.34,185.66,184.42,184.53,187.11,187.6,188.33,188.5,188.55,187.57,188.61,190.41,188.45,188.59,188.33,187.01,187.14,186.4,187.95,187.22,187.93,187.37,185.84,187.91,189.71,187.87,187.5,187.93,187.87,189.35,189.32,189.13,190.72,191.17,191.47,192.59,191.72,190.27,189.43,188.1,189.13,187.85,187.0,188.73,187.63,183.49,183.59,185.64,188.15,187.84,187.15,187.86,192.01,188.75,189.54,189.26,186.77,185.52,184.56,185.35,183.37,183.67,183.69,181.64,182.12,180.51,179.51,181.49,180.77,182.59,183.35,184.79,184.12,183.51,184.09,185.1,186.15,184.01,183.72,182.95,182.97,183.59,183.09,180.87,178.29,177.96,178.83,173.26,173.79,172.53,172.82],"VGK^P_PRICE(-1AM)/P_PRICE_HIGH_PR(-1AM,,,,,,\"PRICE\",\"INTRA\",\"52W\")":0.94701093,"VWO^FMA_DIV_YLD(NTMA,NOW,NOW,M,\"PORTAGG\",\"MEANR\")":4.15554678031482,"QQQ^FMA_PCT_ABOVE_MAVG(200,0,,,,\"PORTAGG\")":63.7254901960784,"EMXC^PERCENT_CHANGE(FMA_EPS(+1,0,,,,\"PORTAGG\",\"MEAN\"),FMA_EPS(+1,-3AM,,,,\"PORTAGG\",\"MEAN\"))":-1.03293557643491,"EWJ^FG_FCF_YIELD_NTM(0)":3.89773188028289,"USO^FG_TOTAL_RETURNC(0,-6AM)":4.1176558,"EWQ^SIZE(FG_CONSTITUENTS)":63,"VGK^FG_TOTAL_RETURNC(-1AM,-2AM)":-2.524811,"URTH^FG_TOTAL_RETURNC(0,-6AM)":10.562611,"INDA^PERCENT_CHANGE(FMA_EPS(+1,0,,,,\"PORTAGG\",\"MEAN\"),FMA_EPS(+1,-1AM,,,,\"PORTAGG\",\"MEAN\"))":-2.14070552983498,"EWQ^FMA_COS_DOWN(\"EPS\",\"1M\",+1,0,,,\"PORTAGG\",\"MEANR\")":37.0,"DBC^FG_TOTAL_RETURNC(0,-1AM)":-4.1792274,"EWN^FMA_PCT_ABOVE_MAVG(200,0,,,,\"PORTAGG\")":58.4905660377358,"URTH^FG_TOTAL_RETURNC(0,-3AM)":6.0631514,"TLT^FG_TOTAL_RETURNC(-1AM,-2AM)":2.2800565,"EWQ^PERCENT_CHANGE(FMA_EPS(+1,0,,,,\"PORTAGG\",\"MEAN\"),FMA_EPS(+1,-3AM,,,,\"PORTAGG\",\"MEAN\"))":-1.27728187207148,"VWO^FG_TOTAL_RETURNC(0,-1AM)":0.11450052,"USO^P_PRICE(-1AM)/P_PRICE_HIGH_PR(-1AM,,,,,,\"PRICE\",\"INTRA\",\"52W\")":0.9441314,"EWQ^PERCENT_CHANGE(FMA_EPS(+1,0,,,,\"PORTAGG\",\"MEAN\"),FMA_EPS(+1,-1AM,,,,\"PORTAGG\",\"MEAN\"))":-0.0537371048478806,"EWU^SIZE(FG_CONSTITUENTS)":81,"USO^FG_TOTAL_RETURNC(-1AM,-7AM)":12.163507,"BIGPX^FG_COMPANY_NAME":"BlackRock 60/40 Target Allocation Fund, Institutional","EWQ^FMA_PCT_ABOVE_MAVG(200,0,,,,\"PORTAGG\")":45.1612903225806,"EWU^FMA_COS_DOWN(\"EPS\",\"1M\",+1,0,,,\"PORTAGG\",\"MEANR\")":45.0,"SPY^P_PRICE(-1AM)/P_PRICE_HIGH_PR(-1AM,,,,,,\"PRICE\",\"INTRA\",\"52W\")":0.99162006,"BTC00-USA^FG_COMPANY_NAME":"Bitcoin (CME) Continuous","EWU^FMA_COS_UP(\"EPS\",\"1M\",+1,0,,,\"PORTAGG\",\"MEANR\")":22.0,"SPY^FG_TOTAL_RETURNC(-1AM,-7AM)":15.417719,"VWO^FG_TOTAL_RETURNC(-1AM,-7AM)":8.291912,"EWU^PERCENT_CHANGE(FMA_EPS(+1,0,,,,\"PORTAGG\",\"MEAN\"),FMA_EPS(+1,-3AM,,,,\"PORTAGG\",\"MEAN\"))":-0.0135858940419601,"USO^FG_COMPANY_NAME":"United States Oil Fund LP"}]]></FdsFormulaCache>
</file>

<file path=customXml/itemProps1.xml><?xml version="1.0" encoding="utf-8"?>
<ds:datastoreItem xmlns:ds="http://schemas.openxmlformats.org/officeDocument/2006/customXml" ds:itemID="{1757EAF4-92F6-49CF-BFC9-81C94BA615D7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Charts</vt:lpstr>
      </vt:variant>
      <vt:variant>
        <vt:i4>1</vt:i4>
      </vt:variant>
    </vt:vector>
  </HeadingPairs>
  <TitlesOfParts>
    <vt:vector size="8" baseType="lpstr">
      <vt:lpstr>Aset class Rankings</vt:lpstr>
      <vt:lpstr>Global Value</vt:lpstr>
      <vt:lpstr>Asset class</vt:lpstr>
      <vt:lpstr>Asset class prev month</vt:lpstr>
      <vt:lpstr>Momnetum ranking</vt:lpstr>
      <vt:lpstr>Factset Price Data</vt:lpstr>
      <vt:lpstr>Index earnings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Dashboard</cp:keywords>
  <cp:lastModifiedBy>prasham jain</cp:lastModifiedBy>
  <cp:lastPrinted>2023-12-28T02:21:32Z</cp:lastPrinted>
  <dcterms:created xsi:type="dcterms:W3CDTF">2023-02-28T05:25:38Z</dcterms:created>
  <dcterms:modified xsi:type="dcterms:W3CDTF">2024-07-29T04:03:28Z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