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2EA2AE99-8925-4979-9990-0D331B843D8A}" xr6:coauthVersionLast="47" xr6:coauthVersionMax="47" xr10:uidLastSave="{00000000-0000-0000-0000-000000000000}"/>
  <bookViews>
    <workbookView xWindow="25490" yWindow="-110" windowWidth="29020" windowHeight="15700" firstSheet="1" activeTab="6" xr2:uid="{00000000-000D-0000-FFFF-FFFF00000000}"/>
  </bookViews>
  <sheets>
    <sheet name="__FDSCACHE__" sheetId="2" state="veryHidden" r:id="rId1"/>
    <sheet name="Assumption" sheetId="8" r:id="rId2"/>
    <sheet name="Aset class Rankings" sheetId="59" r:id="rId3"/>
    <sheet name="Asset class" sheetId="60" r:id="rId4"/>
    <sheet name="OUTPUT_COUNTRY" sheetId="40" r:id="rId5"/>
    <sheet name="PORTFOLIO" sheetId="55" r:id="rId6"/>
    <sheet name="OUTPUT_PPT" sheetId="49" r:id="rId7"/>
    <sheet name="mnemonics" sheetId="20" r:id="rId8"/>
    <sheet name="Value -2 " sheetId="1" r:id="rId9"/>
    <sheet name="LIQIDITY 2" sheetId="28" r:id="rId10"/>
    <sheet name="Quality - 2" sheetId="39" r:id="rId11"/>
    <sheet name="Momnetum ranking" sheetId="12" r:id="rId12"/>
    <sheet name="Safety" sheetId="13" r:id="rId13"/>
    <sheet name="Timing" sheetId="56" r:id="rId14"/>
    <sheet name="Leading Indicator" sheetId="52" r:id="rId15"/>
    <sheet name="t -PE" sheetId="46" r:id="rId16"/>
    <sheet name="Forwa Pe" sheetId="47" r:id="rId17"/>
    <sheet name="DY " sheetId="7" r:id="rId18"/>
    <sheet name="Monthly Returns" sheetId="5" r:id="rId19"/>
    <sheet name="Yearly returns" sheetId="15" r:id="rId20"/>
    <sheet name="Index earnings" sheetId="18" r:id="rId21"/>
    <sheet name="GDP_GROWTH" sheetId="45" r:id="rId22"/>
    <sheet name="Currency- 2" sheetId="42" r:id="rId23"/>
    <sheet name="Chart1" sheetId="36" state="hidden" r:id="rId24"/>
    <sheet name="CAD" sheetId="43" r:id="rId25"/>
    <sheet name="Country Int rates " sheetId="9" r:id="rId26"/>
    <sheet name="Index ROE" sheetId="38" r:id="rId27"/>
    <sheet name="Economic Momentum" sheetId="48" r:id="rId28"/>
    <sheet name="Market Capitalisation" sheetId="57" r:id="rId29"/>
  </sheets>
  <definedNames>
    <definedName name="_xlnm._FilterDatabase" localSheetId="11" hidden="1">'Momnetum ranking'!$A$2:$AK$18</definedName>
    <definedName name="_xlnm._FilterDatabase" localSheetId="4" hidden="1">OUTPUT_COUNTRY!$B$4:$N$14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57" l="1" a="1"/>
  <c r="D14" i="57" a="1"/>
  <c r="D13" i="57" a="1"/>
  <c r="G13" i="57" a="1"/>
  <c r="D12" i="57" a="1"/>
  <c r="G12" i="57" a="1"/>
  <c r="D11" i="57" a="1"/>
  <c r="G11" i="57" a="1"/>
  <c r="D10" i="57" a="1"/>
  <c r="G10" i="57" a="1"/>
  <c r="D9" i="57" a="1"/>
  <c r="G9" i="57" a="1"/>
  <c r="D8" i="57" a="1"/>
  <c r="G8" i="57" a="1"/>
  <c r="D7" i="57" a="1"/>
  <c r="G7" i="57" a="1"/>
  <c r="D6" i="57" a="1"/>
  <c r="G6" i="57" a="1"/>
  <c r="D5" i="57" a="1"/>
  <c r="G5" i="57" a="1"/>
  <c r="D4" i="57" a="1"/>
  <c r="G4" i="57" a="1"/>
  <c r="D3" i="57" a="1"/>
  <c r="G3" i="57" a="1"/>
  <c r="D2" i="57" a="1"/>
  <c r="G2" i="57" a="1"/>
  <c r="B17" i="57" a="1"/>
  <c r="E17" i="57" a="1"/>
  <c r="D17" i="57" a="1"/>
  <c r="G14" i="57" a="1"/>
  <c r="G14" i="57" l="1"/>
  <c r="D17" i="57"/>
  <c r="E17" i="57"/>
  <c r="B17" i="57"/>
  <c r="G2" i="57"/>
  <c r="D2" i="57"/>
  <c r="G3" i="57"/>
  <c r="D3" i="57"/>
  <c r="G4" i="57"/>
  <c r="D4" i="57"/>
  <c r="G5" i="57"/>
  <c r="D5" i="57"/>
  <c r="G6" i="57"/>
  <c r="D6" i="57"/>
  <c r="G7" i="57"/>
  <c r="D7" i="57"/>
  <c r="G8" i="57"/>
  <c r="D8" i="57"/>
  <c r="G9" i="57"/>
  <c r="D9" i="57"/>
  <c r="G10" i="57"/>
  <c r="D10" i="57"/>
  <c r="G11" i="57"/>
  <c r="D11" i="57"/>
  <c r="G12" i="57"/>
  <c r="D12" i="57"/>
  <c r="G13" i="57"/>
  <c r="D13" i="57"/>
  <c r="D14" i="57"/>
  <c r="G17" i="57"/>
  <c r="M16" i="48" a="1"/>
  <c r="M11" i="48" a="1"/>
  <c r="M12" i="48" a="1"/>
  <c r="M14" i="48" a="1"/>
  <c r="M6" i="48" a="1"/>
  <c r="M9" i="48" a="1"/>
  <c r="M13" i="48" a="1"/>
  <c r="M4" i="48" a="1"/>
  <c r="M10" i="48" a="1"/>
  <c r="M8" i="48" a="1"/>
  <c r="M7" i="48" a="1"/>
  <c r="M5" i="48" a="1"/>
  <c r="M5" i="48" l="1"/>
  <c r="M7" i="48"/>
  <c r="M8" i="48"/>
  <c r="M10" i="48"/>
  <c r="M4" i="48"/>
  <c r="M13" i="48"/>
  <c r="M9" i="48"/>
  <c r="M6" i="48"/>
  <c r="M14" i="48"/>
  <c r="M12" i="48"/>
  <c r="M11" i="48"/>
  <c r="M16" i="48"/>
  <c r="Y2" i="12" l="1"/>
  <c r="F24" i="8"/>
  <c r="E24" i="8"/>
  <c r="H12" i="43" a="1"/>
  <c r="H4" i="43" a="1"/>
  <c r="G15" i="42" a="1"/>
  <c r="G13" i="42" a="1"/>
  <c r="G11" i="42" a="1"/>
  <c r="G9" i="42" a="1"/>
  <c r="G7" i="42" a="1"/>
  <c r="G5" i="42" a="1"/>
  <c r="G3" i="42" a="1"/>
  <c r="C2" i="18" a="1"/>
  <c r="A2" i="15" a="1"/>
  <c r="M2" i="7" a="1"/>
  <c r="K2" i="47" a="1"/>
  <c r="I2" i="46" a="1"/>
  <c r="C12" i="52" a="1"/>
  <c r="C10" i="52" a="1"/>
  <c r="C8" i="52" a="1"/>
  <c r="C6" i="52" a="1"/>
  <c r="C4" i="52" a="1"/>
  <c r="S16" i="56" a="1"/>
  <c r="S12" i="56" a="1"/>
  <c r="S8" i="56" a="1"/>
  <c r="G17" i="56" a="1"/>
  <c r="G13" i="56" a="1"/>
  <c r="G9" i="56" a="1"/>
  <c r="G5" i="56" a="1"/>
  <c r="B6" i="56" a="1"/>
  <c r="R23" i="12" a="1"/>
  <c r="K22" i="12" a="1"/>
  <c r="J20" i="48" a="1"/>
  <c r="M2" i="38" a="1"/>
  <c r="AK4" i="9" a="1"/>
  <c r="U4" i="9" a="1"/>
  <c r="E4" i="9" a="1"/>
  <c r="J11" i="52" a="1"/>
  <c r="J7" i="52" a="1"/>
  <c r="J5" i="52" a="1"/>
  <c r="V15" i="56" a="1"/>
  <c r="V11" i="56" a="1"/>
  <c r="J16" i="56" a="1"/>
  <c r="J12" i="56" a="1"/>
  <c r="J8" i="56" a="1"/>
  <c r="C26" i="56" a="1"/>
  <c r="B5" i="56" a="1"/>
  <c r="Q23" i="12" a="1"/>
  <c r="L20" i="12" a="1"/>
  <c r="N18" i="12" a="1"/>
  <c r="P14" i="12" a="1"/>
  <c r="R12" i="12" a="1"/>
  <c r="K11" i="12" a="1"/>
  <c r="M9" i="12" a="1"/>
  <c r="O7" i="12" a="1"/>
  <c r="Q5" i="12" a="1"/>
  <c r="S3" i="12" a="1"/>
  <c r="F21" i="12" a="1"/>
  <c r="G12" i="43" a="1"/>
  <c r="G4" i="43" a="1"/>
  <c r="F15" i="42" a="1"/>
  <c r="F13" i="42" a="1"/>
  <c r="F11" i="42" a="1"/>
  <c r="F9" i="42" a="1"/>
  <c r="F7" i="42" a="1"/>
  <c r="F5" i="42" a="1"/>
  <c r="F3" i="42" a="1"/>
  <c r="B2" i="18" a="1"/>
  <c r="N2" i="5" a="1"/>
  <c r="L2" i="7" a="1"/>
  <c r="J2" i="47" a="1"/>
  <c r="H2" i="46" a="1"/>
  <c r="J9" i="52" a="1"/>
  <c r="J3" i="52" a="1"/>
  <c r="V7" i="56" a="1"/>
  <c r="S21" i="12" a="1"/>
  <c r="J19" i="48" a="1"/>
  <c r="L2" i="38" a="1"/>
  <c r="AJ4" i="9" a="1"/>
  <c r="T4" i="9" a="1"/>
  <c r="D4" i="9" a="1"/>
  <c r="H11" i="43" a="1"/>
  <c r="H3" i="43" a="1"/>
  <c r="E15" i="42" a="1"/>
  <c r="E13" i="42" a="1"/>
  <c r="E11" i="42" a="1"/>
  <c r="E9" i="42" a="1"/>
  <c r="E7" i="42" a="1"/>
  <c r="E5" i="42" a="1"/>
  <c r="E3" i="42" a="1"/>
  <c r="A2" i="18" a="1"/>
  <c r="M2" i="5" a="1"/>
  <c r="K2" i="7" a="1"/>
  <c r="I2" i="47" a="1"/>
  <c r="G2" i="46" a="1"/>
  <c r="I11" i="52" a="1"/>
  <c r="I9" i="52" a="1"/>
  <c r="I7" i="52" a="1"/>
  <c r="I5" i="52" a="1"/>
  <c r="I3" i="52" a="1"/>
  <c r="J16" i="48" a="1"/>
  <c r="K2" i="38" a="1"/>
  <c r="AI4" i="9" a="1"/>
  <c r="S4" i="9" a="1"/>
  <c r="C4" i="9" a="1"/>
  <c r="G11" i="43" a="1"/>
  <c r="G3" i="43" a="1"/>
  <c r="D15" i="42" a="1"/>
  <c r="D13" i="42" a="1"/>
  <c r="D11" i="42" a="1"/>
  <c r="D9" i="42" a="1"/>
  <c r="D7" i="42" a="1"/>
  <c r="D5" i="42" a="1"/>
  <c r="D3" i="42" a="1"/>
  <c r="N2" i="15" a="1"/>
  <c r="L2" i="5" a="1"/>
  <c r="J2" i="7" a="1"/>
  <c r="H2" i="47" a="1"/>
  <c r="F2" i="46" a="1"/>
  <c r="H11" i="52" a="1"/>
  <c r="H9" i="52" a="1"/>
  <c r="H7" i="52" a="1"/>
  <c r="H5" i="52" a="1"/>
  <c r="H3" i="52" a="1"/>
  <c r="T15" i="56" a="1"/>
  <c r="T11" i="56" a="1"/>
  <c r="T7" i="56" a="1"/>
  <c r="H16" i="56" a="1"/>
  <c r="H12" i="56" a="1"/>
  <c r="H8" i="56" a="1"/>
  <c r="C24" i="56" a="1"/>
  <c r="C15" i="13" a="1"/>
  <c r="O23" i="12" a="1"/>
  <c r="Q21" i="12" a="1"/>
  <c r="S19" i="12" a="1"/>
  <c r="L18" i="12" a="1"/>
  <c r="N14" i="12" a="1"/>
  <c r="P12" i="12" a="1"/>
  <c r="R10" i="12" a="1"/>
  <c r="K9" i="12" a="1"/>
  <c r="M7" i="12" a="1"/>
  <c r="O5" i="12" a="1"/>
  <c r="Q3" i="12" a="1"/>
  <c r="G20" i="12" a="1"/>
  <c r="F13" i="12" a="1"/>
  <c r="E8" i="12" a="1"/>
  <c r="B15" i="12" a="1"/>
  <c r="J11" i="39" a="1"/>
  <c r="H8" i="39" a="1"/>
  <c r="F5" i="39" a="1"/>
  <c r="C2" i="39" a="1"/>
  <c r="M10" i="28" a="1"/>
  <c r="J15" i="48" a="1"/>
  <c r="J2" i="38" a="1"/>
  <c r="AH4" i="9" a="1"/>
  <c r="R4" i="9" a="1"/>
  <c r="B4" i="9" a="1"/>
  <c r="S8" i="12" a="1"/>
  <c r="L7" i="12" a="1"/>
  <c r="N5" i="12" a="1"/>
  <c r="P3" i="12" a="1"/>
  <c r="H10" i="43" a="1"/>
  <c r="C11" i="43" a="1"/>
  <c r="C15" i="42" a="1"/>
  <c r="C13" i="42" a="1"/>
  <c r="C11" i="42" a="1"/>
  <c r="C9" i="42" a="1"/>
  <c r="C7" i="42" a="1"/>
  <c r="C5" i="42" a="1"/>
  <c r="C3" i="42" a="1"/>
  <c r="M2" i="15" a="1"/>
  <c r="K2" i="5" a="1"/>
  <c r="I2" i="7" a="1"/>
  <c r="G2" i="47" a="1"/>
  <c r="E2" i="46" a="1"/>
  <c r="G11" i="52" a="1"/>
  <c r="G9" i="52" a="1"/>
  <c r="G7" i="52" a="1"/>
  <c r="G5" i="52" a="1"/>
  <c r="G3" i="52" a="1"/>
  <c r="S15" i="56" a="1"/>
  <c r="S11" i="56" a="1"/>
  <c r="S7" i="56" a="1"/>
  <c r="G16" i="56" a="1"/>
  <c r="G12" i="56" a="1"/>
  <c r="G8" i="56" a="1"/>
  <c r="C23" i="56" a="1"/>
  <c r="C14" i="13" a="1"/>
  <c r="N23" i="12" a="1"/>
  <c r="P21" i="12" a="1"/>
  <c r="R19" i="12" a="1"/>
  <c r="K18" i="12" a="1"/>
  <c r="M14" i="12" a="1"/>
  <c r="O12" i="12" a="1"/>
  <c r="Q10" i="12" a="1"/>
  <c r="J14" i="48" a="1"/>
  <c r="I2" i="38" a="1"/>
  <c r="AG4" i="9" a="1"/>
  <c r="Q4" i="9" a="1"/>
  <c r="C10" i="43" a="1"/>
  <c r="J14" i="42" a="1"/>
  <c r="J12" i="42" a="1"/>
  <c r="J10" i="42" a="1"/>
  <c r="J8" i="42" a="1"/>
  <c r="J6" i="42" a="1"/>
  <c r="J4" i="42" a="1"/>
  <c r="D2" i="46" a="1"/>
  <c r="F7" i="52" a="1"/>
  <c r="F3" i="52" a="1"/>
  <c r="V10" i="56" a="1"/>
  <c r="J11" i="56" a="1"/>
  <c r="B17" i="56" a="1"/>
  <c r="C13" i="13" a="1"/>
  <c r="M23" i="12" a="1"/>
  <c r="Q19" i="12" a="1"/>
  <c r="L14" i="12" a="1"/>
  <c r="P10" i="12" a="1"/>
  <c r="R8" i="12" a="1"/>
  <c r="K7" i="12" a="1"/>
  <c r="M5" i="12" a="1"/>
  <c r="E20" i="12" a="1"/>
  <c r="B13" i="12" a="1"/>
  <c r="J9" i="39" a="1"/>
  <c r="K10" i="28" a="1"/>
  <c r="K7" i="1" a="1"/>
  <c r="G10" i="43" a="1"/>
  <c r="N2" i="18" a="1"/>
  <c r="L2" i="15" a="1"/>
  <c r="J2" i="5" a="1"/>
  <c r="H2" i="7" a="1"/>
  <c r="F2" i="47" a="1"/>
  <c r="F11" i="52" a="1"/>
  <c r="F9" i="52" a="1"/>
  <c r="F5" i="52" a="1"/>
  <c r="V14" i="56" a="1"/>
  <c r="V6" i="56" a="1"/>
  <c r="J15" i="56" a="1"/>
  <c r="J7" i="56" a="1"/>
  <c r="O21" i="12" a="1"/>
  <c r="S15" i="12" a="1"/>
  <c r="N12" i="12" a="1"/>
  <c r="O3" i="12" a="1"/>
  <c r="G12" i="12" a="1"/>
  <c r="F7" i="12" a="1"/>
  <c r="H6" i="39" a="1"/>
  <c r="F3" i="39" a="1"/>
  <c r="L15" i="28" a="1"/>
  <c r="M4" i="28" a="1"/>
  <c r="H10" i="28" a="1"/>
  <c r="E18" i="28" a="1"/>
  <c r="E8" i="28" a="1"/>
  <c r="O11" i="1" a="1"/>
  <c r="L19" i="1" a="1"/>
  <c r="J14" i="1" a="1"/>
  <c r="H12" i="1" a="1"/>
  <c r="F10" i="1" a="1"/>
  <c r="I5" i="1" a="1"/>
  <c r="G3" i="1" a="1"/>
  <c r="D16" i="49" a="1"/>
  <c r="C18" i="55" a="1"/>
  <c r="C12" i="40" a="1"/>
  <c r="J13" i="48" a="1"/>
  <c r="H2" i="38" a="1"/>
  <c r="AF4" i="9" a="1"/>
  <c r="P4" i="9" a="1"/>
  <c r="C2" i="46" a="1"/>
  <c r="E11" i="52" a="1"/>
  <c r="E9" i="52" a="1"/>
  <c r="E7" i="52" a="1"/>
  <c r="E5" i="52" a="1"/>
  <c r="E3" i="52" a="1"/>
  <c r="U14" i="56" a="1"/>
  <c r="U10" i="56" a="1"/>
  <c r="U6" i="56" a="1"/>
  <c r="C12" i="13" a="1"/>
  <c r="N21" i="12" a="1"/>
  <c r="P19" i="12" a="1"/>
  <c r="R15" i="12" a="1"/>
  <c r="M12" i="12" a="1"/>
  <c r="O10" i="12" a="1"/>
  <c r="S6" i="12" a="1"/>
  <c r="N3" i="12" a="1"/>
  <c r="G19" i="12" a="1"/>
  <c r="K15" i="28" a="1"/>
  <c r="D18" i="28" a="1"/>
  <c r="O10" i="1" a="1"/>
  <c r="G12" i="1" a="1"/>
  <c r="J7" i="1" a="1"/>
  <c r="H9" i="43" a="1"/>
  <c r="C9" i="43" a="1"/>
  <c r="I14" i="42" a="1"/>
  <c r="I12" i="42" a="1"/>
  <c r="I10" i="42" a="1"/>
  <c r="I8" i="42" a="1"/>
  <c r="I6" i="42" a="1"/>
  <c r="I4" i="42" a="1"/>
  <c r="M2" i="18" a="1"/>
  <c r="K2" i="15" a="1"/>
  <c r="I2" i="5" a="1"/>
  <c r="G2" i="7" a="1"/>
  <c r="E2" i="47" a="1"/>
  <c r="I15" i="56" a="1"/>
  <c r="I11" i="56" a="1"/>
  <c r="I7" i="56" a="1"/>
  <c r="B16" i="56" a="1"/>
  <c r="L23" i="12" a="1"/>
  <c r="K14" i="12" a="1"/>
  <c r="Q8" i="12" a="1"/>
  <c r="L5" i="12" a="1"/>
  <c r="F12" i="12" a="1"/>
  <c r="E7" i="12" a="1"/>
  <c r="B12" i="12" a="1"/>
  <c r="J8" i="39" a="1"/>
  <c r="H5" i="39" a="1"/>
  <c r="F2" i="39" a="1"/>
  <c r="M9" i="28" a="1"/>
  <c r="L4" i="28" a="1"/>
  <c r="G10" i="28" a="1"/>
  <c r="D8" i="28" a="1"/>
  <c r="K19" i="1" a="1"/>
  <c r="I14" i="1" a="1"/>
  <c r="L9" i="1" a="1"/>
  <c r="H5" i="1" a="1"/>
  <c r="J12" i="48" a="1"/>
  <c r="G2" i="38" a="1"/>
  <c r="AE4" i="9" a="1"/>
  <c r="O4" i="9" a="1"/>
  <c r="O19" i="12" a="1"/>
  <c r="Q15" i="12" a="1"/>
  <c r="S13" i="12" a="1"/>
  <c r="L12" i="12" a="1"/>
  <c r="N10" i="12" a="1"/>
  <c r="P8" i="12" a="1"/>
  <c r="R6" i="12" a="1"/>
  <c r="K5" i="12" a="1"/>
  <c r="M3" i="12" a="1"/>
  <c r="F19" i="12" a="1"/>
  <c r="E12" i="12" a="1"/>
  <c r="G6" i="12" a="1"/>
  <c r="B11" i="12" a="1"/>
  <c r="J7" i="39" a="1"/>
  <c r="H4" i="39" a="1"/>
  <c r="C14" i="39" a="1"/>
  <c r="M14" i="28" a="1"/>
  <c r="L9" i="28" a="1"/>
  <c r="K4" i="28" a="1"/>
  <c r="H9" i="28" a="1"/>
  <c r="E15" i="28" a="1"/>
  <c r="E7" i="28" a="1"/>
  <c r="O9" i="1" a="1"/>
  <c r="J19" i="1" a="1"/>
  <c r="H14" i="1" a="1"/>
  <c r="F12" i="1" a="1"/>
  <c r="G9" i="43" a="1"/>
  <c r="C8" i="43" a="1"/>
  <c r="H14" i="42" a="1"/>
  <c r="H12" i="42" a="1"/>
  <c r="H10" i="42" a="1"/>
  <c r="H8" i="42" a="1"/>
  <c r="H6" i="42" a="1"/>
  <c r="H4" i="42" a="1"/>
  <c r="L2" i="18" a="1"/>
  <c r="J2" i="15" a="1"/>
  <c r="H2" i="5" a="1"/>
  <c r="F2" i="7" a="1"/>
  <c r="D2" i="47" a="1"/>
  <c r="B2" i="46" a="1"/>
  <c r="D11" i="52" a="1"/>
  <c r="D9" i="52" a="1"/>
  <c r="D7" i="52" a="1"/>
  <c r="D5" i="52" a="1"/>
  <c r="D3" i="52" a="1"/>
  <c r="T14" i="56" a="1"/>
  <c r="T10" i="56" a="1"/>
  <c r="T6" i="56" a="1"/>
  <c r="H15" i="56" a="1"/>
  <c r="H11" i="56" a="1"/>
  <c r="H7" i="56" a="1"/>
  <c r="B15" i="56" a="1"/>
  <c r="C11" i="13" a="1"/>
  <c r="K23" i="12" a="1"/>
  <c r="M21" i="12" a="1"/>
  <c r="H15" i="43" a="1"/>
  <c r="H7" i="43" a="1"/>
  <c r="C5" i="43" a="1"/>
  <c r="E14" i="42" a="1"/>
  <c r="E12" i="42" a="1"/>
  <c r="E10" i="42" a="1"/>
  <c r="E8" i="42" a="1"/>
  <c r="E6" i="42" a="1"/>
  <c r="E4" i="42" a="1"/>
  <c r="I2" i="18" a="1"/>
  <c r="G2" i="15" a="1"/>
  <c r="E2" i="5" a="1"/>
  <c r="C2" i="7" a="1"/>
  <c r="A2" i="47" a="1"/>
  <c r="I12" i="52" a="1"/>
  <c r="I10" i="52" a="1"/>
  <c r="I8" i="52" a="1"/>
  <c r="I6" i="52" a="1"/>
  <c r="I4" i="52" a="1"/>
  <c r="U17" i="56" a="1"/>
  <c r="U13" i="56" a="1"/>
  <c r="U9" i="56" a="1"/>
  <c r="U5" i="56" a="1"/>
  <c r="I14" i="56" a="1"/>
  <c r="I10" i="56" a="1"/>
  <c r="I6" i="56" a="1"/>
  <c r="B12" i="56" a="1"/>
  <c r="C8" i="13" a="1"/>
  <c r="H13" i="43" a="1"/>
  <c r="H5" i="43" a="1"/>
  <c r="I15" i="42" a="1"/>
  <c r="I13" i="42" a="1"/>
  <c r="I11" i="42" a="1"/>
  <c r="I9" i="42" a="1"/>
  <c r="I7" i="42" a="1"/>
  <c r="I5" i="42" a="1"/>
  <c r="I3" i="42" a="1"/>
  <c r="E2" i="18" a="1"/>
  <c r="C2" i="15" a="1"/>
  <c r="A2" i="5" a="1"/>
  <c r="M2" i="47" a="1"/>
  <c r="K2" i="46" a="1"/>
  <c r="E12" i="52" a="1"/>
  <c r="E10" i="52" a="1"/>
  <c r="E8" i="52" a="1"/>
  <c r="E6" i="52" a="1"/>
  <c r="E4" i="52" a="1"/>
  <c r="J11" i="48" a="1"/>
  <c r="AC4" i="9" a="1"/>
  <c r="C4" i="43" a="1"/>
  <c r="C12" i="42" a="1"/>
  <c r="J7" i="42" a="1"/>
  <c r="C2" i="47" a="1"/>
  <c r="J10" i="52" a="1"/>
  <c r="J14" i="56" a="1"/>
  <c r="G7" i="56" a="1"/>
  <c r="C16" i="13" a="1"/>
  <c r="S18" i="12" a="1"/>
  <c r="Q13" i="12" a="1"/>
  <c r="G21" i="12" a="1"/>
  <c r="E3" i="12" a="1"/>
  <c r="J2" i="39" a="1"/>
  <c r="F4" i="39" a="1"/>
  <c r="K5" i="28" a="1"/>
  <c r="G7" i="28" a="1"/>
  <c r="D10" i="28" a="1"/>
  <c r="H3" i="42" a="1"/>
  <c r="H6" i="52" a="1"/>
  <c r="S17" i="56" a="1"/>
  <c r="T9" i="56" a="1"/>
  <c r="L22" i="12" a="1"/>
  <c r="L11" i="12" a="1"/>
  <c r="S7" i="12" a="1"/>
  <c r="Q4" i="12" a="1"/>
  <c r="E21" i="12" a="1"/>
  <c r="F10" i="12" a="1"/>
  <c r="B14" i="12" a="1"/>
  <c r="M12" i="28" a="1"/>
  <c r="E9" i="28" a="1"/>
  <c r="G15" i="1" a="1"/>
  <c r="J8" i="1" a="1"/>
  <c r="F5" i="1" a="1"/>
  <c r="C11" i="1" a="1"/>
  <c r="D5" i="49" a="1"/>
  <c r="C9" i="40" a="1"/>
  <c r="G4" i="60" a="1"/>
  <c r="D2" i="7" a="1"/>
  <c r="J10" i="48" a="1"/>
  <c r="AB4" i="9" a="1"/>
  <c r="G15" i="43" a="1"/>
  <c r="C3" i="43" a="1"/>
  <c r="J11" i="42" a="1"/>
  <c r="G2" i="5" a="1"/>
  <c r="B2" i="47" a="1"/>
  <c r="J6" i="56" a="1"/>
  <c r="C10" i="13" a="1"/>
  <c r="R18" i="12" a="1"/>
  <c r="P13" i="12" a="1"/>
  <c r="S10" i="12" a="1"/>
  <c r="F20" i="12" a="1"/>
  <c r="H14" i="39" a="1"/>
  <c r="C13" i="39" a="1"/>
  <c r="M3" i="28" a="1"/>
  <c r="H6" i="28" a="1"/>
  <c r="D9" i="28" a="1"/>
  <c r="O4" i="1" a="1"/>
  <c r="F15" i="1" a="1"/>
  <c r="I11" i="1" a="1"/>
  <c r="D4" i="49" a="1"/>
  <c r="E9" i="60" a="1"/>
  <c r="F4" i="60" a="1"/>
  <c r="K14" i="1" a="1"/>
  <c r="H8" i="60" a="1"/>
  <c r="C19" i="55" a="1"/>
  <c r="Q6" i="12" a="1"/>
  <c r="H9" i="39" a="1"/>
  <c r="J13" i="1" a="1"/>
  <c r="C12" i="55" a="1"/>
  <c r="E2" i="7" a="1"/>
  <c r="K4" i="9" a="1"/>
  <c r="G11" i="60" a="1"/>
  <c r="I2" i="15" a="1"/>
  <c r="AA4" i="9" a="1"/>
  <c r="H7" i="42" a="1"/>
  <c r="H10" i="52" a="1"/>
  <c r="G6" i="52" a="1"/>
  <c r="V16" i="56" a="1"/>
  <c r="S9" i="56" a="1"/>
  <c r="H14" i="56" a="1"/>
  <c r="R21" i="12" a="1"/>
  <c r="R7" i="12" a="1"/>
  <c r="P4" i="12" a="1"/>
  <c r="E10" i="12" a="1"/>
  <c r="B10" i="12" a="1"/>
  <c r="L12" i="28" a="1"/>
  <c r="L14" i="1" a="1"/>
  <c r="I8" i="1" a="1"/>
  <c r="L4" i="1" a="1"/>
  <c r="C10" i="1" a="1"/>
  <c r="C21" i="55" a="1"/>
  <c r="C8" i="40" a="1"/>
  <c r="H8" i="1" a="1"/>
  <c r="E4" i="60" a="1"/>
  <c r="G4" i="28" a="1"/>
  <c r="S12" i="12" a="1"/>
  <c r="D15" i="28" a="1"/>
  <c r="A2" i="46" a="1"/>
  <c r="N15" i="12" a="1"/>
  <c r="H10" i="1" a="1"/>
  <c r="J12" i="52" a="1"/>
  <c r="P23" i="12" a="1"/>
  <c r="D13" i="49" a="1"/>
  <c r="G4" i="52" a="1"/>
  <c r="J9" i="48" a="1"/>
  <c r="H14" i="43" a="1"/>
  <c r="J15" i="42" a="1"/>
  <c r="K2" i="18" a="1"/>
  <c r="F2" i="5" a="1"/>
  <c r="C9" i="13" a="1"/>
  <c r="Q18" i="12" a="1"/>
  <c r="O13" i="12" a="1"/>
  <c r="M10" i="12" a="1"/>
  <c r="E19" i="12" a="1"/>
  <c r="H13" i="39" a="1"/>
  <c r="C12" i="39" a="1"/>
  <c r="L3" i="28" a="1"/>
  <c r="G6" i="28" a="1"/>
  <c r="D7" i="28" a="1"/>
  <c r="O3" i="1" a="1"/>
  <c r="H11" i="1" a="1"/>
  <c r="C20" i="55" a="1"/>
  <c r="C9" i="1" a="1"/>
  <c r="G15" i="28" a="1"/>
  <c r="H7" i="1" a="1"/>
  <c r="C6" i="1" a="1"/>
  <c r="F3" i="60" a="1"/>
  <c r="J5" i="42" a="1"/>
  <c r="C25" i="56" a="1"/>
  <c r="O20" i="12" a="1"/>
  <c r="H13" i="1" a="1"/>
  <c r="K6" i="1" a="1"/>
  <c r="J8" i="48" a="1"/>
  <c r="Z4" i="9" a="1"/>
  <c r="H11" i="42" a="1"/>
  <c r="N2" i="46" a="1"/>
  <c r="G10" i="52" a="1"/>
  <c r="F6" i="52" a="1"/>
  <c r="U16" i="56" a="1"/>
  <c r="V8" i="56" a="1"/>
  <c r="G14" i="56" a="1"/>
  <c r="H6" i="56" a="1"/>
  <c r="L21" i="12" a="1"/>
  <c r="Q7" i="12" a="1"/>
  <c r="O4" i="12" a="1"/>
  <c r="G9" i="12" a="1"/>
  <c r="B9" i="12" a="1"/>
  <c r="K12" i="28" a="1"/>
  <c r="G8" i="1" a="1"/>
  <c r="K4" i="1" a="1"/>
  <c r="C7" i="40" a="1"/>
  <c r="R3" i="12" a="1"/>
  <c r="D15" i="49" a="1"/>
  <c r="H8" i="52" a="1"/>
  <c r="H19" i="1" a="1"/>
  <c r="H6" i="60" a="1"/>
  <c r="S11" i="12" a="1"/>
  <c r="G14" i="43" a="1"/>
  <c r="G6" i="42" a="1"/>
  <c r="J2" i="18" a="1"/>
  <c r="P18" i="12" a="1"/>
  <c r="N13" i="12" a="1"/>
  <c r="L10" i="12" a="1"/>
  <c r="G18" i="12" a="1"/>
  <c r="H12" i="39" a="1"/>
  <c r="C11" i="39" a="1"/>
  <c r="K3" i="28" a="1"/>
  <c r="H5" i="28" a="1"/>
  <c r="E6" i="28" a="1"/>
  <c r="L20" i="1" a="1"/>
  <c r="G14" i="1" a="1"/>
  <c r="G11" i="1" a="1"/>
  <c r="F8" i="1" a="1"/>
  <c r="C17" i="55" a="1"/>
  <c r="G8" i="60" a="1"/>
  <c r="H15" i="42" a="1"/>
  <c r="F10" i="52" a="1"/>
  <c r="T16" i="56" a="1"/>
  <c r="U8" i="56" a="1"/>
  <c r="J13" i="56" a="1"/>
  <c r="G6" i="56" a="1"/>
  <c r="C7" i="13" a="1"/>
  <c r="K21" i="12" a="1"/>
  <c r="L7" i="1" a="1"/>
  <c r="C16" i="55" a="1"/>
  <c r="H3" i="60" a="1"/>
  <c r="C15" i="55" a="1"/>
  <c r="S9" i="12" a="1"/>
  <c r="E18" i="12" a="1"/>
  <c r="E5" i="28" a="1"/>
  <c r="L13" i="1" a="1"/>
  <c r="J7" i="48" a="1"/>
  <c r="Y4" i="9" a="1"/>
  <c r="D2" i="5" a="1"/>
  <c r="M2" i="46" a="1"/>
  <c r="P7" i="12" a="1"/>
  <c r="N4" i="12" a="1"/>
  <c r="F9" i="12" a="1"/>
  <c r="B8" i="12" a="1"/>
  <c r="M11" i="28" a="1"/>
  <c r="J4" i="1" a="1"/>
  <c r="C8" i="1" a="1"/>
  <c r="C6" i="40" a="1"/>
  <c r="C7" i="1" a="1"/>
  <c r="F10" i="42" a="1"/>
  <c r="L13" i="12" a="1"/>
  <c r="C9" i="39" a="1"/>
  <c r="L10" i="1" a="1"/>
  <c r="E8" i="60" a="1"/>
  <c r="D2" i="38" a="1"/>
  <c r="B13" i="56" a="1"/>
  <c r="J14" i="39" a="1"/>
  <c r="G10" i="42" a="1"/>
  <c r="F6" i="42" a="1"/>
  <c r="D6" i="52" a="1"/>
  <c r="O18" i="12" a="1"/>
  <c r="M13" i="12" a="1"/>
  <c r="K10" i="12" a="1"/>
  <c r="N7" i="12" a="1"/>
  <c r="F18" i="12" a="1"/>
  <c r="H11" i="39" a="1"/>
  <c r="C10" i="39" a="1"/>
  <c r="L11" i="28" a="1"/>
  <c r="H15" i="28" a="1"/>
  <c r="G5" i="28" a="1"/>
  <c r="D6" i="28" a="1"/>
  <c r="K20" i="1" a="1"/>
  <c r="F14" i="1" a="1"/>
  <c r="F11" i="1" a="1"/>
  <c r="I7" i="1" a="1"/>
  <c r="F8" i="60" a="1"/>
  <c r="G3" i="60" a="1"/>
  <c r="H2" i="18" a="1"/>
  <c r="C2" i="5" a="1"/>
  <c r="L2" i="46" a="1"/>
  <c r="U15" i="56" a="1"/>
  <c r="T8" i="56" a="1"/>
  <c r="I13" i="56" a="1"/>
  <c r="J5" i="56" a="1"/>
  <c r="C6" i="13" a="1"/>
  <c r="S20" i="12" a="1"/>
  <c r="M18" i="12" a="1"/>
  <c r="M4" i="12" a="1"/>
  <c r="E9" i="12" a="1"/>
  <c r="B7" i="12" a="1"/>
  <c r="K11" i="28" a="1"/>
  <c r="H4" i="28" a="1"/>
  <c r="I4" i="1" a="1"/>
  <c r="H12" i="60" a="1"/>
  <c r="D10" i="52" a="1"/>
  <c r="G8" i="12" a="1"/>
  <c r="J20" i="1" a="1"/>
  <c r="G14" i="28" a="1"/>
  <c r="F2" i="38" a="1"/>
  <c r="E2" i="38" a="1"/>
  <c r="F14" i="39" a="1"/>
  <c r="T5" i="56" a="1"/>
  <c r="N20" i="12" a="1"/>
  <c r="J6" i="48" a="1"/>
  <c r="X4" i="9" a="1"/>
  <c r="G13" i="43" a="1"/>
  <c r="H10" i="39" a="1"/>
  <c r="G8" i="43" a="1"/>
  <c r="E4" i="28" a="1"/>
  <c r="D14" i="42" a="1"/>
  <c r="G11" i="56" a="1"/>
  <c r="Q12" i="12" a="1"/>
  <c r="E12" i="60" a="1"/>
  <c r="G7" i="43" a="1"/>
  <c r="B3" i="12" a="1"/>
  <c r="H11" i="60" a="1"/>
  <c r="K3" i="12" a="1"/>
  <c r="G5" i="12" a="1"/>
  <c r="G13" i="28" a="1"/>
  <c r="E3" i="28" a="1"/>
  <c r="W4" i="9" a="1"/>
  <c r="G14" i="42" a="1"/>
  <c r="L10" i="28" a="1"/>
  <c r="F7" i="1" a="1"/>
  <c r="J5" i="48" a="1"/>
  <c r="D6" i="42" a="1"/>
  <c r="G2" i="18" a="1"/>
  <c r="B2" i="5" a="1"/>
  <c r="C5" i="52" a="1"/>
  <c r="S14" i="56" a="1"/>
  <c r="U7" i="56" a="1"/>
  <c r="H13" i="56" a="1"/>
  <c r="I5" i="56" a="1"/>
  <c r="C5" i="13" a="1"/>
  <c r="R20" i="12" a="1"/>
  <c r="P15" i="12" a="1"/>
  <c r="L4" i="12" a="1"/>
  <c r="F8" i="12" a="1"/>
  <c r="B6" i="12" a="1"/>
  <c r="H7" i="39" a="1"/>
  <c r="H3" i="28" a="1"/>
  <c r="I20" i="1" a="1"/>
  <c r="H4" i="1" a="1"/>
  <c r="C5" i="1" a="1"/>
  <c r="C14" i="55" a="1"/>
  <c r="G12" i="60" a="1"/>
  <c r="K13" i="12" a="1"/>
  <c r="R9" i="12" a="1"/>
  <c r="G7" i="12" a="1"/>
  <c r="D5" i="28" a="1"/>
  <c r="H20" i="1" a="1"/>
  <c r="K13" i="1" a="1"/>
  <c r="K10" i="1" a="1"/>
  <c r="G7" i="1" a="1"/>
  <c r="C4" i="1" a="1"/>
  <c r="H7" i="60" a="1"/>
  <c r="E3" i="60" a="1"/>
  <c r="C3" i="1" a="1"/>
  <c r="C13" i="55" a="1"/>
  <c r="N2" i="38" a="1"/>
  <c r="F6" i="12" a="1"/>
  <c r="F20" i="1" a="1"/>
  <c r="J8" i="52" a="1"/>
  <c r="V5" i="56" a="1"/>
  <c r="P20" i="12" a="1"/>
  <c r="F7" i="60" a="1"/>
  <c r="B14" i="56" a="1"/>
  <c r="K12" i="12" a="1"/>
  <c r="O9" i="12" a="1"/>
  <c r="D14" i="28" a="1"/>
  <c r="J4" i="48" a="1"/>
  <c r="V4" i="9" a="1"/>
  <c r="H8" i="43" a="1"/>
  <c r="F14" i="42" a="1"/>
  <c r="J2" i="46" a="1"/>
  <c r="P6" i="12" a="1"/>
  <c r="G15" i="12" a="1"/>
  <c r="C8" i="39" a="1"/>
  <c r="K9" i="28" a="1"/>
  <c r="H14" i="28" a="1"/>
  <c r="G3" i="28" a="1"/>
  <c r="F12" i="60" a="1"/>
  <c r="G7" i="60" a="1"/>
  <c r="N2" i="7" a="1"/>
  <c r="O6" i="12" a="1"/>
  <c r="C7" i="39" a="1"/>
  <c r="C10" i="42" a="1"/>
  <c r="S23" i="12" a="1"/>
  <c r="B4" i="12" a="1"/>
  <c r="F4" i="1" a="1"/>
  <c r="S22" i="12" a="1"/>
  <c r="N4" i="9" a="1"/>
  <c r="D10" i="42" a="1"/>
  <c r="C6" i="42" a="1"/>
  <c r="F2" i="18" a="1"/>
  <c r="C9" i="52" a="1"/>
  <c r="J4" i="52" a="1"/>
  <c r="V13" i="56" a="1"/>
  <c r="S6" i="56" a="1"/>
  <c r="I12" i="56" a="1"/>
  <c r="H5" i="56" a="1"/>
  <c r="C4" i="13" a="1"/>
  <c r="Q20" i="12" a="1"/>
  <c r="O15" i="12" a="1"/>
  <c r="K4" i="12" a="1"/>
  <c r="B5" i="12" a="1"/>
  <c r="H3" i="39" a="1"/>
  <c r="G20" i="1" a="1"/>
  <c r="J10" i="1" a="1"/>
  <c r="G4" i="1" a="1"/>
  <c r="Q9" i="12" a="1"/>
  <c r="F15" i="12" a="1"/>
  <c r="M8" i="28" a="1"/>
  <c r="I10" i="1" a="1"/>
  <c r="M4" i="9" a="1"/>
  <c r="H2" i="39" a="1"/>
  <c r="D14" i="49" a="1"/>
  <c r="L4" i="9" a="1"/>
  <c r="J10" i="56" a="1"/>
  <c r="S13" i="56" a="1"/>
  <c r="C5" i="39" a="1"/>
  <c r="J13" i="42" a="1"/>
  <c r="C14" i="42" a="1"/>
  <c r="K9" i="1" a="1"/>
  <c r="C11" i="55" a="1"/>
  <c r="E7" i="60" a="1"/>
  <c r="H5" i="42" a="1"/>
  <c r="G14" i="12" a="1"/>
  <c r="L15" i="12" a="1"/>
  <c r="D2" i="18" a="1"/>
  <c r="H4" i="52" a="1"/>
  <c r="T13" i="56" a="1"/>
  <c r="P9" i="12" a="1"/>
  <c r="N6" i="12" a="1"/>
  <c r="L3" i="12" a="1"/>
  <c r="E15" i="12" a="1"/>
  <c r="E6" i="12" a="1"/>
  <c r="C6" i="39" a="1"/>
  <c r="L8" i="28" a="1"/>
  <c r="H13" i="28" a="1"/>
  <c r="E14" i="28" a="1"/>
  <c r="D4" i="28" a="1"/>
  <c r="I19" i="1" a="1"/>
  <c r="I13" i="1" a="1"/>
  <c r="G10" i="1" a="1"/>
  <c r="L6" i="1" a="1"/>
  <c r="J9" i="42" a="1"/>
  <c r="M15" i="12" a="1"/>
  <c r="L3" i="1" a="1"/>
  <c r="M6" i="12" a="1"/>
  <c r="K8" i="28" a="1"/>
  <c r="K3" i="1" a="1"/>
  <c r="H6" i="43" a="1"/>
  <c r="C2" i="38" a="1"/>
  <c r="J4" i="9" a="1"/>
  <c r="H9" i="42" a="1"/>
  <c r="H12" i="52" a="1"/>
  <c r="G8" i="52" a="1"/>
  <c r="F4" i="52" a="1"/>
  <c r="V12" i="56" a="1"/>
  <c r="S5" i="56" a="1"/>
  <c r="H10" i="56" a="1"/>
  <c r="N9" i="12" a="1"/>
  <c r="L6" i="12" a="1"/>
  <c r="G23" i="12" a="1"/>
  <c r="F14" i="12" a="1"/>
  <c r="F5" i="12" a="1"/>
  <c r="J13" i="39" a="1"/>
  <c r="C3" i="39" a="1"/>
  <c r="M7" i="28" a="1"/>
  <c r="G12" i="28" a="1"/>
  <c r="E13" i="28" a="1"/>
  <c r="D3" i="28" a="1"/>
  <c r="G19" i="1" a="1"/>
  <c r="G13" i="1" a="1"/>
  <c r="J6" i="1" a="1"/>
  <c r="I3" i="1" a="1"/>
  <c r="F11" i="60" a="1"/>
  <c r="F6" i="60" a="1"/>
  <c r="R22" i="12" a="1"/>
  <c r="M20" i="12" a="1"/>
  <c r="R11" i="12" a="1"/>
  <c r="L9" i="12" a="1"/>
  <c r="E14" i="12" a="1"/>
  <c r="H5" i="60" a="1"/>
  <c r="G5" i="43" a="1"/>
  <c r="A2" i="7" a="1"/>
  <c r="T12" i="56" a="1"/>
  <c r="J9" i="56" a="1"/>
  <c r="B10" i="56" a="1"/>
  <c r="N19" i="12" a="1"/>
  <c r="S5" i="12" a="1"/>
  <c r="E23" i="12" a="1"/>
  <c r="J6" i="39" a="1"/>
  <c r="G6" i="43" a="1"/>
  <c r="G4" i="42" a="1"/>
  <c r="H2" i="15" a="1"/>
  <c r="K15" i="12" a="1"/>
  <c r="J12" i="39" a="1"/>
  <c r="F12" i="39" a="1"/>
  <c r="M15" i="28" a="1"/>
  <c r="H11" i="28" a="1"/>
  <c r="O15" i="1" a="1"/>
  <c r="I9" i="1" a="1"/>
  <c r="H3" i="1" a="1"/>
  <c r="D11" i="49" a="1"/>
  <c r="C9" i="55" a="1"/>
  <c r="E6" i="60" a="1"/>
  <c r="A2" i="38" a="1"/>
  <c r="F2" i="15" a="1"/>
  <c r="F12" i="52" a="1"/>
  <c r="I17" i="56" a="1"/>
  <c r="G4" i="12" a="1"/>
  <c r="K7" i="28" a="1"/>
  <c r="G9" i="28" a="1"/>
  <c r="E12" i="28" a="1"/>
  <c r="B2" i="38" a="1"/>
  <c r="I4" i="9" a="1"/>
  <c r="H13" i="42" a="1"/>
  <c r="B2" i="7" a="1"/>
  <c r="G12" i="52" a="1"/>
  <c r="F8" i="52" a="1"/>
  <c r="U12" i="56" a="1"/>
  <c r="J17" i="56" a="1"/>
  <c r="G10" i="56" a="1"/>
  <c r="B11" i="56" a="1"/>
  <c r="K20" i="12" a="1"/>
  <c r="K6" i="12" a="1"/>
  <c r="F23" i="12" a="1"/>
  <c r="G13" i="12" a="1"/>
  <c r="E5" i="12" a="1"/>
  <c r="J10" i="39" a="1"/>
  <c r="L7" i="28" a="1"/>
  <c r="G11" i="28" a="1"/>
  <c r="D13" i="28" a="1"/>
  <c r="O14" i="1" a="1"/>
  <c r="F19" i="1" a="1"/>
  <c r="F13" i="1" a="1"/>
  <c r="I6" i="1" a="1"/>
  <c r="F3" i="1" a="1"/>
  <c r="E11" i="60" a="1"/>
  <c r="G8" i="42" a="1"/>
  <c r="F4" i="42" a="1"/>
  <c r="D4" i="52" a="1"/>
  <c r="Q22" i="12" a="1"/>
  <c r="S14" i="12" a="1"/>
  <c r="Q11" i="12" a="1"/>
  <c r="O8" i="12" a="1"/>
  <c r="E13" i="12" a="1"/>
  <c r="F11" i="39" a="1"/>
  <c r="L14" i="28" a="1"/>
  <c r="O13" i="1" a="1"/>
  <c r="L12" i="1" a="1"/>
  <c r="H9" i="1" a="1"/>
  <c r="D23" i="1" a="1"/>
  <c r="D10" i="49" a="1"/>
  <c r="C18" i="40" a="1"/>
  <c r="H10" i="60" a="1"/>
  <c r="H4" i="9" a="1"/>
  <c r="AL4" i="9" a="1"/>
  <c r="C8" i="42" a="1"/>
  <c r="M6" i="28" a="1"/>
  <c r="C15" i="40" a="1"/>
  <c r="L15" i="1" a="1"/>
  <c r="F6" i="1" a="1"/>
  <c r="E4" i="12" a="1"/>
  <c r="K15" i="1" a="1"/>
  <c r="H8" i="28" a="1"/>
  <c r="AN4" i="9" a="1"/>
  <c r="C7" i="52" a="1"/>
  <c r="N11" i="12" a="1"/>
  <c r="F4" i="12" a="1"/>
  <c r="G6" i="1" a="1"/>
  <c r="C14" i="40" a="1"/>
  <c r="C13" i="40" a="1"/>
  <c r="K6" i="28" a="1"/>
  <c r="C11" i="40" a="1"/>
  <c r="H9" i="60" a="1"/>
  <c r="O6" i="1" a="1"/>
  <c r="AM4" i="9" a="1"/>
  <c r="B9" i="56" a="1"/>
  <c r="L6" i="28" a="1"/>
  <c r="M11" i="12" a="1"/>
  <c r="R4" i="12" a="1"/>
  <c r="F5" i="60" a="1"/>
  <c r="D7" i="49" a="1"/>
  <c r="K8" i="1" a="1"/>
  <c r="D8" i="42" a="1"/>
  <c r="H6" i="1" a="1"/>
  <c r="D4" i="42" a="1"/>
  <c r="J6" i="52" a="1"/>
  <c r="L5" i="1" a="1"/>
  <c r="D12" i="49" a="1"/>
  <c r="AD4" i="9" a="1"/>
  <c r="B8" i="56" a="1"/>
  <c r="N8" i="12" a="1"/>
  <c r="M5" i="28" a="1"/>
  <c r="K5" i="1" a="1"/>
  <c r="C10" i="40" a="1"/>
  <c r="J3" i="39" a="1"/>
  <c r="R14" i="12" a="1"/>
  <c r="O8" i="1" a="1"/>
  <c r="R13" i="12" a="1"/>
  <c r="O7" i="1" a="1"/>
  <c r="C4" i="42" a="1"/>
  <c r="G3" i="12" a="1"/>
  <c r="L5" i="28" a="1"/>
  <c r="J15" i="1" a="1"/>
  <c r="J5" i="1" a="1"/>
  <c r="P22" i="12" a="1"/>
  <c r="J3" i="1" a="1"/>
  <c r="E11" i="28" a="1"/>
  <c r="F8" i="39" a="1"/>
  <c r="K14" i="28" a="1"/>
  <c r="G11" i="12" a="1"/>
  <c r="K13" i="28" a="1"/>
  <c r="G4" i="9" a="1"/>
  <c r="C3" i="52" a="1"/>
  <c r="B7" i="56" a="1"/>
  <c r="M8" i="12" a="1"/>
  <c r="F3" i="12" a="1"/>
  <c r="H12" i="28" a="1"/>
  <c r="G5" i="1" a="1"/>
  <c r="G10" i="60" a="1"/>
  <c r="L8" i="12" a="1"/>
  <c r="F10" i="60" a="1"/>
  <c r="V9" i="56" a="1"/>
  <c r="L19" i="12" a="1"/>
  <c r="J3" i="42" a="1"/>
  <c r="I15" i="1" a="1"/>
  <c r="C14" i="1" a="1"/>
  <c r="G5" i="60" a="1"/>
  <c r="F4" i="9" a="1"/>
  <c r="V17" i="56" a="1"/>
  <c r="J5" i="39" a="1"/>
  <c r="R5" i="12" a="1"/>
  <c r="G6" i="60" a="1"/>
  <c r="J11" i="1" a="1"/>
  <c r="F6" i="39" a="1"/>
  <c r="D8" i="49" a="1"/>
  <c r="D12" i="52" a="1"/>
  <c r="I9" i="56" a="1"/>
  <c r="E11" i="12" a="1"/>
  <c r="H15" i="1" a="1"/>
  <c r="E10" i="60" a="1"/>
  <c r="E2" i="15" a="1"/>
  <c r="J4" i="39" a="1"/>
  <c r="C15" i="1" a="1"/>
  <c r="K12" i="1" a="1"/>
  <c r="N22" i="12" a="1"/>
  <c r="E22" i="12" a="1"/>
  <c r="O22" i="12" a="1"/>
  <c r="K8" i="12" a="1"/>
  <c r="G8" i="28" a="1"/>
  <c r="H7" i="28" a="1"/>
  <c r="C12" i="1" a="1"/>
  <c r="N2" i="47" a="1"/>
  <c r="I16" i="56" a="1"/>
  <c r="G15" i="56" a="1"/>
  <c r="D12" i="42" a="1"/>
  <c r="C11" i="52" a="1"/>
  <c r="I8" i="56" a="1"/>
  <c r="T17" i="56" a="1"/>
  <c r="D2" i="15" a="1"/>
  <c r="L8" i="1" a="1"/>
  <c r="A4" i="9" a="1"/>
  <c r="J12" i="1" a="1"/>
  <c r="C6" i="43" a="1"/>
  <c r="G22" i="12" a="1"/>
  <c r="E10" i="28" a="1"/>
  <c r="C4" i="39" a="1"/>
  <c r="O12" i="1" a="1"/>
  <c r="F8" i="42" a="1"/>
  <c r="U11" i="56" a="1"/>
  <c r="P5" i="12" a="1"/>
  <c r="I12" i="1" a="1"/>
  <c r="G9" i="60" a="1"/>
  <c r="C7" i="43" a="1"/>
  <c r="S10" i="56" a="1"/>
  <c r="S4" i="12" a="1"/>
  <c r="L11" i="1" a="1"/>
  <c r="F9" i="60" a="1"/>
  <c r="F9" i="39" a="1"/>
  <c r="M22" i="12" a="1"/>
  <c r="F13" i="39" a="1"/>
  <c r="C13" i="1" a="1"/>
  <c r="B2" i="15" a="1"/>
  <c r="F10" i="39" a="1"/>
  <c r="M19" i="12" a="1"/>
  <c r="D12" i="28" a="1"/>
  <c r="K11" i="1" a="1"/>
  <c r="D6" i="49" a="1"/>
  <c r="F11" i="12" a="1"/>
  <c r="H9" i="56" a="1"/>
  <c r="O11" i="12" a="1"/>
  <c r="C16" i="40" a="1"/>
  <c r="F22" i="12" a="1"/>
  <c r="Q14" i="12" a="1"/>
  <c r="F9" i="1" a="1"/>
  <c r="L13" i="28" a="1"/>
  <c r="D8" i="52" a="1"/>
  <c r="C17" i="40" a="1"/>
  <c r="O5" i="1" a="1"/>
  <c r="G12" i="42" a="1"/>
  <c r="L2" i="47" a="1"/>
  <c r="H17" i="56" a="1"/>
  <c r="K19" i="12" a="1"/>
  <c r="F7" i="39" a="1"/>
  <c r="D11" i="28" a="1"/>
  <c r="J9" i="1" a="1"/>
  <c r="D9" i="49" a="1"/>
  <c r="E5" i="60" a="1"/>
  <c r="F12" i="42" a="1"/>
  <c r="G9" i="1" a="1"/>
  <c r="O14" i="12" a="1"/>
  <c r="P11" i="12" a="1"/>
  <c r="G10" i="12" a="1"/>
  <c r="H4" i="60" a="1"/>
  <c r="M13" i="28" a="1"/>
  <c r="C10" i="55" a="1"/>
  <c r="C10" i="55" l="1"/>
  <c r="M13" i="28"/>
  <c r="H4" i="60"/>
  <c r="G10" i="12"/>
  <c r="P11" i="12"/>
  <c r="O14" i="12"/>
  <c r="G9" i="1"/>
  <c r="F12" i="42"/>
  <c r="E5" i="60"/>
  <c r="D9" i="49"/>
  <c r="J9" i="1"/>
  <c r="D11" i="28"/>
  <c r="F7" i="39"/>
  <c r="K19" i="12"/>
  <c r="H17" i="56"/>
  <c r="L2" i="47"/>
  <c r="G12" i="42"/>
  <c r="O5" i="1"/>
  <c r="C17" i="40"/>
  <c r="D8" i="52"/>
  <c r="L13" i="28"/>
  <c r="F9" i="1"/>
  <c r="Q14" i="12"/>
  <c r="F22" i="12"/>
  <c r="C16" i="40"/>
  <c r="O11" i="12"/>
  <c r="H9" i="56"/>
  <c r="F11" i="12"/>
  <c r="D6" i="49"/>
  <c r="K11" i="1"/>
  <c r="D12" i="28"/>
  <c r="M19" i="12"/>
  <c r="F10" i="39"/>
  <c r="B2" i="15"/>
  <c r="C13" i="1"/>
  <c r="F13" i="39"/>
  <c r="M22" i="12"/>
  <c r="F9" i="39"/>
  <c r="F9" i="60"/>
  <c r="L11" i="1"/>
  <c r="S4" i="12"/>
  <c r="S10" i="56"/>
  <c r="C7" i="43"/>
  <c r="G9" i="60"/>
  <c r="I12" i="1"/>
  <c r="P5" i="12"/>
  <c r="U11" i="56"/>
  <c r="F8" i="42"/>
  <c r="O12" i="1"/>
  <c r="C4" i="39"/>
  <c r="E10" i="28"/>
  <c r="G22" i="12"/>
  <c r="C6" i="43"/>
  <c r="J12" i="1"/>
  <c r="A13" i="9"/>
  <c r="A12" i="9"/>
  <c r="A11" i="9"/>
  <c r="A10" i="9"/>
  <c r="A9" i="9"/>
  <c r="A8" i="9"/>
  <c r="A7" i="9"/>
  <c r="A6" i="9"/>
  <c r="A5" i="9"/>
  <c r="A4" i="9"/>
  <c r="L8" i="1"/>
  <c r="D2" i="15"/>
  <c r="T17" i="56"/>
  <c r="I8" i="56"/>
  <c r="C11" i="52"/>
  <c r="D12" i="42"/>
  <c r="G15" i="56"/>
  <c r="I16" i="56"/>
  <c r="N2" i="47"/>
  <c r="C12" i="1"/>
  <c r="H7" i="28"/>
  <c r="G8" i="28"/>
  <c r="K8" i="12"/>
  <c r="O22" i="12"/>
  <c r="E22" i="12"/>
  <c r="N22" i="12"/>
  <c r="K12" i="1"/>
  <c r="C15" i="1"/>
  <c r="J4" i="39"/>
  <c r="E2" i="15"/>
  <c r="E10" i="60"/>
  <c r="H15" i="1"/>
  <c r="E11" i="12"/>
  <c r="I9" i="56"/>
  <c r="D12" i="52"/>
  <c r="D8" i="49"/>
  <c r="F6" i="39"/>
  <c r="J11" i="1"/>
  <c r="G6" i="60"/>
  <c r="R5" i="12"/>
  <c r="J5" i="39"/>
  <c r="V17" i="56"/>
  <c r="F4" i="9"/>
  <c r="G5" i="60"/>
  <c r="C14" i="1"/>
  <c r="I15" i="1"/>
  <c r="J3" i="42"/>
  <c r="L19" i="12"/>
  <c r="V9" i="56"/>
  <c r="F10" i="60"/>
  <c r="L8" i="12"/>
  <c r="G10" i="60"/>
  <c r="G5" i="1"/>
  <c r="H12" i="28"/>
  <c r="F3" i="12"/>
  <c r="M8" i="12"/>
  <c r="B7" i="56"/>
  <c r="C3" i="52"/>
  <c r="G4" i="9"/>
  <c r="K13" i="28"/>
  <c r="G11" i="12"/>
  <c r="K14" i="28"/>
  <c r="F8" i="39"/>
  <c r="E11" i="28"/>
  <c r="J3" i="1"/>
  <c r="P22" i="12"/>
  <c r="J5" i="1"/>
  <c r="J15" i="1"/>
  <c r="L5" i="28"/>
  <c r="G3" i="12"/>
  <c r="C4" i="42"/>
  <c r="O7" i="1"/>
  <c r="R13" i="12"/>
  <c r="O8" i="1"/>
  <c r="R14" i="12"/>
  <c r="J3" i="39"/>
  <c r="C10" i="40"/>
  <c r="K5" i="1"/>
  <c r="M5" i="28"/>
  <c r="N8" i="12"/>
  <c r="B8" i="56"/>
  <c r="AD4" i="9"/>
  <c r="D12" i="49"/>
  <c r="L5" i="1"/>
  <c r="J6" i="52"/>
  <c r="D4" i="42"/>
  <c r="H6" i="1"/>
  <c r="D8" i="42"/>
  <c r="K8" i="1"/>
  <c r="D7" i="49"/>
  <c r="F5" i="60"/>
  <c r="R4" i="12"/>
  <c r="M11" i="12"/>
  <c r="L6" i="28"/>
  <c r="B9" i="56"/>
  <c r="AM4" i="9"/>
  <c r="O6" i="1"/>
  <c r="H9" i="60"/>
  <c r="C11" i="40"/>
  <c r="K6" i="28"/>
  <c r="C13" i="40"/>
  <c r="C14" i="40"/>
  <c r="G6" i="1"/>
  <c r="F4" i="12"/>
  <c r="N11" i="12"/>
  <c r="C7" i="52"/>
  <c r="AN4" i="9"/>
  <c r="H8" i="28"/>
  <c r="K15" i="1"/>
  <c r="E4" i="12"/>
  <c r="F6" i="1"/>
  <c r="L15" i="1"/>
  <c r="C15" i="40"/>
  <c r="M6" i="28"/>
  <c r="C8" i="42"/>
  <c r="AL4" i="9"/>
  <c r="H4" i="9"/>
  <c r="H10" i="60"/>
  <c r="C18" i="40"/>
  <c r="D10" i="49"/>
  <c r="D23" i="1"/>
  <c r="H9" i="1"/>
  <c r="L12" i="1"/>
  <c r="O13" i="1"/>
  <c r="L14" i="28"/>
  <c r="F11" i="39"/>
  <c r="E13" i="12"/>
  <c r="O8" i="12"/>
  <c r="Q11" i="12"/>
  <c r="S14" i="12"/>
  <c r="Q22" i="12"/>
  <c r="D4" i="52"/>
  <c r="F4" i="42"/>
  <c r="G8" i="42"/>
  <c r="E11" i="60"/>
  <c r="F3" i="1"/>
  <c r="I6" i="1"/>
  <c r="F13" i="1"/>
  <c r="F19" i="1"/>
  <c r="O14" i="1"/>
  <c r="D13" i="28"/>
  <c r="G11" i="28"/>
  <c r="L7" i="28"/>
  <c r="J10" i="39"/>
  <c r="E5" i="12"/>
  <c r="G13" i="12"/>
  <c r="F23" i="12"/>
  <c r="K6" i="12"/>
  <c r="K20" i="12"/>
  <c r="B11" i="56"/>
  <c r="G10" i="56"/>
  <c r="J17" i="56"/>
  <c r="U12" i="56"/>
  <c r="F8" i="52"/>
  <c r="G12" i="52"/>
  <c r="B2" i="7"/>
  <c r="H13" i="42"/>
  <c r="I4" i="9"/>
  <c r="B2" i="38"/>
  <c r="E12" i="28"/>
  <c r="G9" i="28"/>
  <c r="K7" i="28"/>
  <c r="G4" i="12"/>
  <c r="I17" i="56"/>
  <c r="F12" i="52"/>
  <c r="F2" i="15"/>
  <c r="A2" i="38"/>
  <c r="E6" i="60"/>
  <c r="C9" i="55"/>
  <c r="D11" i="49"/>
  <c r="H3" i="1"/>
  <c r="I9" i="1"/>
  <c r="O15" i="1"/>
  <c r="H11" i="28"/>
  <c r="M15" i="28"/>
  <c r="F12" i="39"/>
  <c r="J12" i="39"/>
  <c r="K15" i="12"/>
  <c r="H2" i="15"/>
  <c r="G4" i="42"/>
  <c r="G6" i="43"/>
  <c r="J6" i="39"/>
  <c r="E23" i="12"/>
  <c r="S5" i="12"/>
  <c r="N19" i="12"/>
  <c r="B10" i="56"/>
  <c r="J9" i="56"/>
  <c r="T12" i="56"/>
  <c r="A2" i="7"/>
  <c r="G5" i="43"/>
  <c r="H5" i="60"/>
  <c r="E14" i="12"/>
  <c r="L9" i="12"/>
  <c r="R11" i="12"/>
  <c r="M20" i="12"/>
  <c r="R22" i="12"/>
  <c r="F6" i="60"/>
  <c r="F11" i="60"/>
  <c r="I3" i="1"/>
  <c r="J6" i="1"/>
  <c r="G13" i="1"/>
  <c r="G19" i="1"/>
  <c r="D3" i="28"/>
  <c r="E13" i="28"/>
  <c r="G12" i="28"/>
  <c r="M7" i="28"/>
  <c r="C3" i="39"/>
  <c r="J13" i="39"/>
  <c r="F5" i="12"/>
  <c r="F14" i="12"/>
  <c r="G23" i="12"/>
  <c r="L6" i="12"/>
  <c r="N9" i="12"/>
  <c r="H10" i="56"/>
  <c r="S5" i="56"/>
  <c r="V12" i="56"/>
  <c r="F4" i="52"/>
  <c r="G8" i="52"/>
  <c r="H12" i="52"/>
  <c r="H9" i="42"/>
  <c r="J4" i="9"/>
  <c r="C2" i="38"/>
  <c r="H6" i="43"/>
  <c r="K3" i="1"/>
  <c r="K8" i="28"/>
  <c r="M6" i="12"/>
  <c r="L3" i="1"/>
  <c r="M15" i="12"/>
  <c r="J9" i="42"/>
  <c r="L6" i="1"/>
  <c r="G10" i="1"/>
  <c r="I13" i="1"/>
  <c r="I19" i="1"/>
  <c r="D4" i="28"/>
  <c r="E14" i="28"/>
  <c r="H13" i="28"/>
  <c r="L8" i="28"/>
  <c r="C6" i="39"/>
  <c r="E6" i="12"/>
  <c r="E15" i="12"/>
  <c r="L3" i="12"/>
  <c r="N6" i="12"/>
  <c r="P9" i="12"/>
  <c r="T13" i="56"/>
  <c r="H4" i="52"/>
  <c r="D2" i="18"/>
  <c r="L15" i="12"/>
  <c r="G14" i="12"/>
  <c r="H5" i="42"/>
  <c r="E7" i="60"/>
  <c r="C11" i="55"/>
  <c r="K9" i="1"/>
  <c r="C14" i="42"/>
  <c r="J13" i="42"/>
  <c r="C5" i="39"/>
  <c r="S13" i="56"/>
  <c r="J10" i="56"/>
  <c r="L4" i="9"/>
  <c r="D14" i="49"/>
  <c r="H2" i="39"/>
  <c r="M4" i="9"/>
  <c r="I10" i="1"/>
  <c r="M8" i="28"/>
  <c r="F15" i="12"/>
  <c r="Q9" i="12"/>
  <c r="G4" i="1"/>
  <c r="J10" i="1"/>
  <c r="G20" i="1"/>
  <c r="H3" i="39"/>
  <c r="B5" i="12"/>
  <c r="K4" i="12"/>
  <c r="O15" i="12"/>
  <c r="Q20" i="12"/>
  <c r="C4" i="13"/>
  <c r="H5" i="56"/>
  <c r="I12" i="56"/>
  <c r="S6" i="56"/>
  <c r="V13" i="56"/>
  <c r="J4" i="52"/>
  <c r="C9" i="52"/>
  <c r="F2" i="18"/>
  <c r="C6" i="42"/>
  <c r="D10" i="42"/>
  <c r="N4" i="9"/>
  <c r="S22" i="12"/>
  <c r="F4" i="1"/>
  <c r="B4" i="12"/>
  <c r="S23" i="12"/>
  <c r="C10" i="42"/>
  <c r="C7" i="39"/>
  <c r="O6" i="12"/>
  <c r="N2" i="7"/>
  <c r="G7" i="60"/>
  <c r="F12" i="60"/>
  <c r="G3" i="28"/>
  <c r="H14" i="28"/>
  <c r="K9" i="28"/>
  <c r="C8" i="39"/>
  <c r="G15" i="12"/>
  <c r="P6" i="12"/>
  <c r="J2" i="46"/>
  <c r="F14" i="42"/>
  <c r="H8" i="43"/>
  <c r="V4" i="9"/>
  <c r="J4" i="48"/>
  <c r="D14" i="28"/>
  <c r="O9" i="12"/>
  <c r="K12" i="12"/>
  <c r="B14" i="56"/>
  <c r="F7" i="60"/>
  <c r="P20" i="12"/>
  <c r="V5" i="56"/>
  <c r="J8" i="52"/>
  <c r="F20" i="1"/>
  <c r="F6" i="12"/>
  <c r="N2" i="38"/>
  <c r="C13" i="55"/>
  <c r="C3" i="1"/>
  <c r="E3" i="60"/>
  <c r="H7" i="60"/>
  <c r="C4" i="1"/>
  <c r="G7" i="1"/>
  <c r="K10" i="1"/>
  <c r="K13" i="1"/>
  <c r="H20" i="1"/>
  <c r="D5" i="28"/>
  <c r="G7" i="12"/>
  <c r="R9" i="12"/>
  <c r="K13" i="12"/>
  <c r="G12" i="60"/>
  <c r="C14" i="55"/>
  <c r="C5" i="1"/>
  <c r="H4" i="1"/>
  <c r="I20" i="1"/>
  <c r="H3" i="28"/>
  <c r="H7" i="39"/>
  <c r="B6" i="12"/>
  <c r="F8" i="12"/>
  <c r="L4" i="12"/>
  <c r="P15" i="12"/>
  <c r="R20" i="12"/>
  <c r="C5" i="13"/>
  <c r="I5" i="56"/>
  <c r="H13" i="56"/>
  <c r="U7" i="56"/>
  <c r="S14" i="56"/>
  <c r="C5" i="52"/>
  <c r="B2" i="5"/>
  <c r="G2" i="18"/>
  <c r="D6" i="42"/>
  <c r="J5" i="48"/>
  <c r="F7" i="1"/>
  <c r="L10" i="28"/>
  <c r="G14" i="42"/>
  <c r="W4" i="9"/>
  <c r="E3" i="28"/>
  <c r="G13" i="28"/>
  <c r="G5" i="12"/>
  <c r="K3" i="12"/>
  <c r="H11" i="60"/>
  <c r="B3" i="12"/>
  <c r="G7" i="43"/>
  <c r="E12" i="60"/>
  <c r="Q12" i="12"/>
  <c r="G11" i="56"/>
  <c r="D14" i="42"/>
  <c r="E4" i="28"/>
  <c r="G8" i="43"/>
  <c r="H10" i="39"/>
  <c r="G13" i="43"/>
  <c r="X4" i="9"/>
  <c r="J6" i="48"/>
  <c r="N20" i="12"/>
  <c r="T5" i="56"/>
  <c r="F14" i="39"/>
  <c r="E2" i="38"/>
  <c r="F2" i="38"/>
  <c r="G14" i="28"/>
  <c r="J20" i="1"/>
  <c r="G8" i="12"/>
  <c r="D10" i="52"/>
  <c r="H12" i="60"/>
  <c r="I4" i="1"/>
  <c r="H4" i="28"/>
  <c r="K11" i="28"/>
  <c r="B7" i="12"/>
  <c r="E9" i="12"/>
  <c r="M4" i="12"/>
  <c r="M18" i="12"/>
  <c r="S20" i="12"/>
  <c r="C6" i="13"/>
  <c r="J5" i="56"/>
  <c r="I13" i="56"/>
  <c r="T8" i="56"/>
  <c r="U15" i="56"/>
  <c r="L2" i="46"/>
  <c r="C2" i="5"/>
  <c r="H2" i="18"/>
  <c r="G3" i="60"/>
  <c r="F8" i="60"/>
  <c r="I7" i="1"/>
  <c r="F11" i="1"/>
  <c r="F14" i="1"/>
  <c r="K20" i="1"/>
  <c r="D6" i="28"/>
  <c r="G5" i="28"/>
  <c r="H15" i="28"/>
  <c r="L11" i="28"/>
  <c r="C10" i="39"/>
  <c r="H11" i="39"/>
  <c r="F18" i="12"/>
  <c r="N7" i="12"/>
  <c r="K10" i="12"/>
  <c r="M13" i="12"/>
  <c r="O18" i="12"/>
  <c r="D6" i="52"/>
  <c r="F6" i="42"/>
  <c r="G10" i="42"/>
  <c r="J14" i="39"/>
  <c r="B13" i="56"/>
  <c r="D2" i="38"/>
  <c r="E8" i="60"/>
  <c r="L10" i="1"/>
  <c r="C9" i="39"/>
  <c r="L13" i="12"/>
  <c r="F10" i="42"/>
  <c r="C7" i="1"/>
  <c r="C6" i="40"/>
  <c r="C8" i="1"/>
  <c r="J4" i="1"/>
  <c r="M11" i="28"/>
  <c r="B8" i="12"/>
  <c r="F9" i="12"/>
  <c r="N4" i="12"/>
  <c r="P7" i="12"/>
  <c r="M2" i="46"/>
  <c r="D2" i="5"/>
  <c r="Y4" i="9"/>
  <c r="J7" i="48"/>
  <c r="L13" i="1"/>
  <c r="E5" i="28"/>
  <c r="E18" i="12"/>
  <c r="S9" i="12"/>
  <c r="C15" i="55"/>
  <c r="H3" i="60"/>
  <c r="C16" i="55"/>
  <c r="L7" i="1"/>
  <c r="K21" i="12"/>
  <c r="C7" i="13"/>
  <c r="G6" i="56"/>
  <c r="J13" i="56"/>
  <c r="U8" i="56"/>
  <c r="T16" i="56"/>
  <c r="F10" i="52"/>
  <c r="H15" i="42"/>
  <c r="G8" i="60"/>
  <c r="C17" i="55"/>
  <c r="F8" i="1"/>
  <c r="G11" i="1"/>
  <c r="G14" i="1"/>
  <c r="L20" i="1"/>
  <c r="E6" i="28"/>
  <c r="H5" i="28"/>
  <c r="K3" i="28"/>
  <c r="C11" i="39"/>
  <c r="H12" i="39"/>
  <c r="G18" i="12"/>
  <c r="L10" i="12"/>
  <c r="N13" i="12"/>
  <c r="P18" i="12"/>
  <c r="J2" i="18"/>
  <c r="G6" i="42"/>
  <c r="G14" i="43"/>
  <c r="S11" i="12"/>
  <c r="H6" i="60"/>
  <c r="H19" i="1"/>
  <c r="H8" i="52"/>
  <c r="D15" i="49"/>
  <c r="R3" i="12"/>
  <c r="C7" i="40"/>
  <c r="K4" i="1"/>
  <c r="G8" i="1"/>
  <c r="K12" i="28"/>
  <c r="B9" i="12"/>
  <c r="G9" i="12"/>
  <c r="O4" i="12"/>
  <c r="Q7" i="12"/>
  <c r="L21" i="12"/>
  <c r="H6" i="56"/>
  <c r="G14" i="56"/>
  <c r="V8" i="56"/>
  <c r="U16" i="56"/>
  <c r="F6" i="52"/>
  <c r="G10" i="52"/>
  <c r="N2" i="46"/>
  <c r="H11" i="42"/>
  <c r="Z4" i="9"/>
  <c r="J8" i="48"/>
  <c r="K6" i="1"/>
  <c r="H13" i="1"/>
  <c r="O20" i="12"/>
  <c r="C25" i="56"/>
  <c r="J5" i="42"/>
  <c r="F3" i="60"/>
  <c r="C6" i="1"/>
  <c r="H7" i="1"/>
  <c r="G15" i="28"/>
  <c r="C9" i="1"/>
  <c r="C20" i="55"/>
  <c r="H11" i="1"/>
  <c r="O3" i="1"/>
  <c r="D7" i="28"/>
  <c r="G6" i="28"/>
  <c r="L3" i="28"/>
  <c r="C12" i="39"/>
  <c r="H13" i="39"/>
  <c r="E19" i="12"/>
  <c r="M10" i="12"/>
  <c r="O13" i="12"/>
  <c r="Q18" i="12"/>
  <c r="C9" i="13"/>
  <c r="F2" i="5"/>
  <c r="K2" i="18"/>
  <c r="J15" i="42"/>
  <c r="H14" i="43"/>
  <c r="J9" i="48"/>
  <c r="G4" i="52"/>
  <c r="D13" i="49"/>
  <c r="P23" i="12"/>
  <c r="J12" i="52"/>
  <c r="H10" i="1"/>
  <c r="N15" i="12"/>
  <c r="A2" i="46"/>
  <c r="D15" i="28"/>
  <c r="S12" i="12"/>
  <c r="G4" i="28"/>
  <c r="E4" i="60"/>
  <c r="H8" i="1"/>
  <c r="C8" i="40"/>
  <c r="C21" i="55"/>
  <c r="C10" i="1"/>
  <c r="L4" i="1"/>
  <c r="I8" i="1"/>
  <c r="L14" i="1"/>
  <c r="L12" i="28"/>
  <c r="B10" i="12"/>
  <c r="E10" i="12"/>
  <c r="P4" i="12"/>
  <c r="R7" i="12"/>
  <c r="R21" i="12"/>
  <c r="H14" i="56"/>
  <c r="S9" i="56"/>
  <c r="V16" i="56"/>
  <c r="G6" i="52"/>
  <c r="H10" i="52"/>
  <c r="H7" i="42"/>
  <c r="AA4" i="9"/>
  <c r="I2" i="15"/>
  <c r="G11" i="60"/>
  <c r="K4" i="9"/>
  <c r="E2" i="7"/>
  <c r="C12" i="55"/>
  <c r="J13" i="1"/>
  <c r="H9" i="39"/>
  <c r="Q6" i="12"/>
  <c r="C19" i="55"/>
  <c r="H8" i="60"/>
  <c r="K14" i="1"/>
  <c r="F4" i="60"/>
  <c r="E9" i="60"/>
  <c r="D4" i="49"/>
  <c r="I11" i="1"/>
  <c r="F15" i="1"/>
  <c r="O4" i="1"/>
  <c r="D9" i="28"/>
  <c r="H6" i="28"/>
  <c r="M3" i="28"/>
  <c r="C13" i="39"/>
  <c r="H14" i="39"/>
  <c r="F20" i="12"/>
  <c r="S10" i="12"/>
  <c r="P13" i="12"/>
  <c r="R18" i="12"/>
  <c r="C10" i="13"/>
  <c r="J6" i="56"/>
  <c r="B2" i="47"/>
  <c r="G2" i="5"/>
  <c r="J11" i="42"/>
  <c r="C3" i="43"/>
  <c r="G15" i="43"/>
  <c r="AB4" i="9"/>
  <c r="J10" i="48"/>
  <c r="D2" i="7"/>
  <c r="G4" i="60"/>
  <c r="C9" i="40"/>
  <c r="D5" i="49"/>
  <c r="C11" i="1"/>
  <c r="F5" i="1"/>
  <c r="J8" i="1"/>
  <c r="G15" i="1"/>
  <c r="E9" i="28"/>
  <c r="M12" i="28"/>
  <c r="B14" i="12"/>
  <c r="F10" i="12"/>
  <c r="E21" i="12"/>
  <c r="Q4" i="12"/>
  <c r="S7" i="12"/>
  <c r="L11" i="12"/>
  <c r="L22" i="12"/>
  <c r="T9" i="56"/>
  <c r="S17" i="56"/>
  <c r="H6" i="52"/>
  <c r="H3" i="42"/>
  <c r="D10" i="28"/>
  <c r="G7" i="28"/>
  <c r="K5" i="28"/>
  <c r="F4" i="39"/>
  <c r="J2" i="39"/>
  <c r="E3" i="12"/>
  <c r="G21" i="12"/>
  <c r="Q13" i="12"/>
  <c r="S18" i="12"/>
  <c r="C16" i="13"/>
  <c r="G7" i="56"/>
  <c r="J14" i="56"/>
  <c r="J10" i="52"/>
  <c r="C2" i="47"/>
  <c r="J7" i="42"/>
  <c r="C12" i="42"/>
  <c r="C4" i="43"/>
  <c r="AC4" i="9"/>
  <c r="J11" i="48"/>
  <c r="E4" i="52"/>
  <c r="E6" i="52"/>
  <c r="E8" i="52"/>
  <c r="E10" i="52"/>
  <c r="E12" i="52"/>
  <c r="K2" i="46"/>
  <c r="M2" i="47"/>
  <c r="A2" i="5"/>
  <c r="C2" i="15"/>
  <c r="E2" i="18"/>
  <c r="I3" i="42"/>
  <c r="I5" i="42"/>
  <c r="I7" i="42"/>
  <c r="I9" i="42"/>
  <c r="I11" i="42"/>
  <c r="I13" i="42"/>
  <c r="I15" i="42"/>
  <c r="H5" i="43"/>
  <c r="H13" i="43"/>
  <c r="C8" i="13"/>
  <c r="B12" i="56"/>
  <c r="I6" i="56"/>
  <c r="I10" i="56"/>
  <c r="I14" i="56"/>
  <c r="U5" i="56"/>
  <c r="U9" i="56"/>
  <c r="U13" i="56"/>
  <c r="U17" i="56"/>
  <c r="I4" i="52"/>
  <c r="I6" i="52"/>
  <c r="I8" i="52"/>
  <c r="I10" i="52"/>
  <c r="I12" i="52"/>
  <c r="A2" i="47"/>
  <c r="C2" i="7"/>
  <c r="E2" i="5"/>
  <c r="G2" i="15"/>
  <c r="I2" i="18"/>
  <c r="E4" i="42"/>
  <c r="E6" i="42"/>
  <c r="E8" i="42"/>
  <c r="E10" i="42"/>
  <c r="E12" i="42"/>
  <c r="E14" i="42"/>
  <c r="C5" i="43"/>
  <c r="H7" i="43"/>
  <c r="H15" i="43"/>
  <c r="M21" i="12"/>
  <c r="K23" i="12"/>
  <c r="C11" i="13"/>
  <c r="B15" i="56"/>
  <c r="H7" i="56"/>
  <c r="H11" i="56"/>
  <c r="H15" i="56"/>
  <c r="T6" i="56"/>
  <c r="T10" i="56"/>
  <c r="T14" i="56"/>
  <c r="D3" i="52"/>
  <c r="D5" i="52"/>
  <c r="D7" i="52"/>
  <c r="D9" i="52"/>
  <c r="D11" i="52"/>
  <c r="B2" i="46"/>
  <c r="D2" i="47"/>
  <c r="F2" i="7"/>
  <c r="H2" i="5"/>
  <c r="J2" i="15"/>
  <c r="L2" i="18"/>
  <c r="H4" i="42"/>
  <c r="H6" i="42"/>
  <c r="H8" i="42"/>
  <c r="H10" i="42"/>
  <c r="H12" i="42"/>
  <c r="H14" i="42"/>
  <c r="C8" i="43"/>
  <c r="G9" i="43"/>
  <c r="F12" i="1"/>
  <c r="H14" i="1"/>
  <c r="J19" i="1"/>
  <c r="O9" i="1"/>
  <c r="E7" i="28"/>
  <c r="E15" i="28"/>
  <c r="H9" i="28"/>
  <c r="K4" i="28"/>
  <c r="L9" i="28"/>
  <c r="M14" i="28"/>
  <c r="C14" i="39"/>
  <c r="H4" i="39"/>
  <c r="J7" i="39"/>
  <c r="B11" i="12"/>
  <c r="G6" i="12"/>
  <c r="E12" i="12"/>
  <c r="F19" i="12"/>
  <c r="M3" i="12"/>
  <c r="K5" i="12"/>
  <c r="R6" i="12"/>
  <c r="P8" i="12"/>
  <c r="N10" i="12"/>
  <c r="L12" i="12"/>
  <c r="S13" i="12"/>
  <c r="Q15" i="12"/>
  <c r="O19" i="12"/>
  <c r="O4" i="9"/>
  <c r="AE4" i="9"/>
  <c r="G2" i="38"/>
  <c r="J12" i="48"/>
  <c r="H5" i="1"/>
  <c r="L9" i="1"/>
  <c r="I14" i="1"/>
  <c r="K19" i="1"/>
  <c r="D8" i="28"/>
  <c r="G10" i="28"/>
  <c r="L4" i="28"/>
  <c r="M9" i="28"/>
  <c r="F2" i="39"/>
  <c r="H5" i="39"/>
  <c r="J8" i="39"/>
  <c r="B12" i="12"/>
  <c r="E7" i="12"/>
  <c r="F12" i="12"/>
  <c r="L5" i="12"/>
  <c r="Q8" i="12"/>
  <c r="K14" i="12"/>
  <c r="L23" i="12"/>
  <c r="B16" i="56"/>
  <c r="I7" i="56"/>
  <c r="I11" i="56"/>
  <c r="I15" i="56"/>
  <c r="E2" i="47"/>
  <c r="G2" i="7"/>
  <c r="I2" i="5"/>
  <c r="K2" i="15"/>
  <c r="M2" i="18"/>
  <c r="I4" i="42"/>
  <c r="I6" i="42"/>
  <c r="I8" i="42"/>
  <c r="I10" i="42"/>
  <c r="I12" i="42"/>
  <c r="I14" i="42"/>
  <c r="C9" i="43"/>
  <c r="H9" i="43"/>
  <c r="J7" i="1"/>
  <c r="G12" i="1"/>
  <c r="O10" i="1"/>
  <c r="D18" i="28"/>
  <c r="K15" i="28"/>
  <c r="G19" i="12"/>
  <c r="N3" i="12"/>
  <c r="S6" i="12"/>
  <c r="O10" i="12"/>
  <c r="M12" i="12"/>
  <c r="R15" i="12"/>
  <c r="P19" i="12"/>
  <c r="N21" i="12"/>
  <c r="C12" i="13"/>
  <c r="U6" i="56"/>
  <c r="U10" i="56"/>
  <c r="U14" i="56"/>
  <c r="E3" i="52"/>
  <c r="E5" i="52"/>
  <c r="E7" i="52"/>
  <c r="E9" i="52"/>
  <c r="E11" i="52"/>
  <c r="C2" i="46"/>
  <c r="P4" i="9"/>
  <c r="AF4" i="9"/>
  <c r="H2" i="38"/>
  <c r="J13" i="48"/>
  <c r="C12" i="40"/>
  <c r="C18" i="55"/>
  <c r="D16" i="49"/>
  <c r="G3" i="1"/>
  <c r="I5" i="1"/>
  <c r="F10" i="1"/>
  <c r="H12" i="1"/>
  <c r="J14" i="1"/>
  <c r="L19" i="1"/>
  <c r="O11" i="1"/>
  <c r="E8" i="28"/>
  <c r="E18" i="28"/>
  <c r="H10" i="28"/>
  <c r="M4" i="28"/>
  <c r="L15" i="28"/>
  <c r="F3" i="39"/>
  <c r="H6" i="39"/>
  <c r="F7" i="12"/>
  <c r="G12" i="12"/>
  <c r="O3" i="12"/>
  <c r="N12" i="12"/>
  <c r="S15" i="12"/>
  <c r="O21" i="12"/>
  <c r="J7" i="56"/>
  <c r="J15" i="56"/>
  <c r="V6" i="56"/>
  <c r="V14" i="56"/>
  <c r="F5" i="52"/>
  <c r="F9" i="52"/>
  <c r="F11" i="52"/>
  <c r="F2" i="47"/>
  <c r="H2" i="7"/>
  <c r="J2" i="5"/>
  <c r="L2" i="15"/>
  <c r="N2" i="18"/>
  <c r="G10" i="43"/>
  <c r="K7" i="1"/>
  <c r="K10" i="28"/>
  <c r="J9" i="39"/>
  <c r="B13" i="12"/>
  <c r="E20" i="12"/>
  <c r="M5" i="12"/>
  <c r="K7" i="12"/>
  <c r="R8" i="12"/>
  <c r="P10" i="12"/>
  <c r="L14" i="12"/>
  <c r="Q19" i="12"/>
  <c r="M23" i="12"/>
  <c r="C13" i="13"/>
  <c r="B17" i="56"/>
  <c r="J11" i="56"/>
  <c r="V10" i="56"/>
  <c r="F3" i="52"/>
  <c r="F7" i="52"/>
  <c r="D2" i="46"/>
  <c r="J4" i="42"/>
  <c r="J6" i="42"/>
  <c r="J8" i="42"/>
  <c r="J10" i="42"/>
  <c r="J12" i="42"/>
  <c r="J14" i="42"/>
  <c r="C10" i="43"/>
  <c r="Q4" i="9"/>
  <c r="AG4" i="9"/>
  <c r="I2" i="38"/>
  <c r="J14" i="48"/>
  <c r="Q10" i="12"/>
  <c r="O12" i="12"/>
  <c r="M14" i="12"/>
  <c r="K18" i="12"/>
  <c r="R19" i="12"/>
  <c r="P21" i="12"/>
  <c r="N23" i="12"/>
  <c r="C14" i="13"/>
  <c r="C23" i="56"/>
  <c r="G8" i="56"/>
  <c r="G12" i="56"/>
  <c r="G16" i="56"/>
  <c r="S7" i="56"/>
  <c r="S11" i="56"/>
  <c r="S15" i="56"/>
  <c r="G3" i="52"/>
  <c r="G5" i="52"/>
  <c r="G7" i="52"/>
  <c r="G9" i="52"/>
  <c r="G11" i="52"/>
  <c r="E2" i="46"/>
  <c r="G2" i="47"/>
  <c r="I2" i="7"/>
  <c r="K2" i="5"/>
  <c r="M2" i="15"/>
  <c r="C3" i="42"/>
  <c r="C5" i="42"/>
  <c r="C7" i="42"/>
  <c r="C9" i="42"/>
  <c r="C11" i="42"/>
  <c r="C13" i="42"/>
  <c r="C15" i="42"/>
  <c r="C11" i="43"/>
  <c r="H10" i="43"/>
  <c r="P3" i="12"/>
  <c r="N5" i="12"/>
  <c r="L7" i="12"/>
  <c r="S8" i="12"/>
  <c r="Y13" i="12" s="1" a="1"/>
  <c r="Y13" i="12" s="1"/>
  <c r="B4" i="9"/>
  <c r="R4" i="9"/>
  <c r="AH4" i="9"/>
  <c r="J2" i="38"/>
  <c r="J15" i="48"/>
  <c r="M10" i="28"/>
  <c r="C2" i="39"/>
  <c r="F5" i="39"/>
  <c r="H8" i="39"/>
  <c r="J11" i="39"/>
  <c r="B15" i="12"/>
  <c r="E8" i="12"/>
  <c r="F13" i="12"/>
  <c r="G20" i="12"/>
  <c r="Q3" i="12"/>
  <c r="O5" i="12"/>
  <c r="M7" i="12"/>
  <c r="K9" i="12"/>
  <c r="R10" i="12"/>
  <c r="P12" i="12"/>
  <c r="N14" i="12"/>
  <c r="L18" i="12"/>
  <c r="S19" i="12"/>
  <c r="Q21" i="12"/>
  <c r="O23" i="12"/>
  <c r="C15" i="13"/>
  <c r="C24" i="56"/>
  <c r="H8" i="56"/>
  <c r="H12" i="56"/>
  <c r="H16" i="56"/>
  <c r="T7" i="56"/>
  <c r="T11" i="56"/>
  <c r="T15" i="56"/>
  <c r="H3" i="52"/>
  <c r="H5" i="52"/>
  <c r="H7" i="52"/>
  <c r="H9" i="52"/>
  <c r="H11" i="52"/>
  <c r="F2" i="46"/>
  <c r="H2" i="47"/>
  <c r="J2" i="7"/>
  <c r="L2" i="5"/>
  <c r="N2" i="15"/>
  <c r="D3" i="42"/>
  <c r="D5" i="42"/>
  <c r="D7" i="42"/>
  <c r="D9" i="42"/>
  <c r="D11" i="42"/>
  <c r="D13" i="42"/>
  <c r="D15" i="42"/>
  <c r="G3" i="43"/>
  <c r="G11" i="43"/>
  <c r="C4" i="9"/>
  <c r="S4" i="9"/>
  <c r="AI4" i="9"/>
  <c r="K2" i="38"/>
  <c r="J16" i="48"/>
  <c r="I3" i="52"/>
  <c r="I5" i="52"/>
  <c r="I7" i="52"/>
  <c r="I9" i="52"/>
  <c r="I11" i="52"/>
  <c r="G2" i="46"/>
  <c r="I2" i="47"/>
  <c r="K2" i="7"/>
  <c r="M2" i="5"/>
  <c r="A2" i="18"/>
  <c r="E3" i="42"/>
  <c r="E5" i="42"/>
  <c r="E7" i="42"/>
  <c r="E9" i="42"/>
  <c r="E11" i="42"/>
  <c r="E13" i="42"/>
  <c r="E15" i="42"/>
  <c r="H3" i="43"/>
  <c r="H11" i="43"/>
  <c r="D4" i="9"/>
  <c r="T4" i="9"/>
  <c r="AJ4" i="9"/>
  <c r="L2" i="38"/>
  <c r="J19" i="48"/>
  <c r="S21" i="12"/>
  <c r="V7" i="56"/>
  <c r="J3" i="52"/>
  <c r="J9" i="52"/>
  <c r="H2" i="46"/>
  <c r="J2" i="47"/>
  <c r="L2" i="7"/>
  <c r="N2" i="5"/>
  <c r="B2" i="18"/>
  <c r="F3" i="42"/>
  <c r="F5" i="42"/>
  <c r="F7" i="42"/>
  <c r="F9" i="42"/>
  <c r="F11" i="42"/>
  <c r="F13" i="42"/>
  <c r="F15" i="42"/>
  <c r="G4" i="43"/>
  <c r="G12" i="43"/>
  <c r="F21" i="12"/>
  <c r="S3" i="12"/>
  <c r="Y12" i="12" s="1" a="1"/>
  <c r="Y12" i="12" s="1"/>
  <c r="Q5" i="12"/>
  <c r="O7" i="12"/>
  <c r="M9" i="12"/>
  <c r="K11" i="12"/>
  <c r="R12" i="12"/>
  <c r="P14" i="12"/>
  <c r="N18" i="12"/>
  <c r="L20" i="12"/>
  <c r="Q23" i="12"/>
  <c r="B5" i="56"/>
  <c r="C26" i="56"/>
  <c r="J8" i="56"/>
  <c r="J12" i="56"/>
  <c r="J16" i="56"/>
  <c r="V11" i="56"/>
  <c r="V15" i="56"/>
  <c r="J5" i="52"/>
  <c r="J7" i="52"/>
  <c r="J11" i="52"/>
  <c r="E4" i="9"/>
  <c r="U4" i="9"/>
  <c r="AK4" i="9"/>
  <c r="M2" i="38"/>
  <c r="J20" i="48"/>
  <c r="K22" i="12"/>
  <c r="R23" i="12"/>
  <c r="B6" i="56"/>
  <c r="G5" i="56"/>
  <c r="G9" i="56"/>
  <c r="G13" i="56"/>
  <c r="G17" i="56"/>
  <c r="S8" i="56"/>
  <c r="S12" i="56"/>
  <c r="S16" i="56"/>
  <c r="C4" i="52"/>
  <c r="C6" i="52"/>
  <c r="C8" i="52"/>
  <c r="C10" i="52"/>
  <c r="C12" i="52"/>
  <c r="I2" i="46"/>
  <c r="K2" i="47"/>
  <c r="M2" i="7"/>
  <c r="A2" i="15"/>
  <c r="C2" i="18"/>
  <c r="G3" i="42"/>
  <c r="G5" i="42"/>
  <c r="G7" i="42"/>
  <c r="G9" i="42"/>
  <c r="G11" i="42"/>
  <c r="G13" i="42"/>
  <c r="G15" i="42"/>
  <c r="H4" i="43"/>
  <c r="H12" i="43"/>
  <c r="Y9" i="12" a="1"/>
  <c r="Y9" i="12" s="1"/>
  <c r="Y11" i="12" a="1"/>
  <c r="Y11" i="12" s="1"/>
  <c r="AG2" i="12"/>
  <c r="AF2" i="12"/>
  <c r="AE2" i="12"/>
  <c r="M15" i="48" a="1"/>
  <c r="M15" i="48" l="1"/>
  <c r="Y10" i="12" a="1"/>
  <c r="Y10" i="12" s="1"/>
  <c r="Y8" i="12" a="1"/>
  <c r="Y8" i="12" s="1"/>
  <c r="Y4" i="12" a="1"/>
  <c r="Y4" i="12" s="1"/>
  <c r="Y7" i="12" a="1"/>
  <c r="Y7" i="12" s="1"/>
  <c r="Y6" i="12" a="1"/>
  <c r="Y6" i="12" s="1"/>
  <c r="Y5" i="12" a="1"/>
  <c r="Y5" i="12" s="1"/>
  <c r="Y3" i="12" a="1"/>
  <c r="Y3" i="12" s="1"/>
  <c r="Y15" i="12" a="1"/>
  <c r="Y15" i="12" s="1"/>
  <c r="Y14" i="12" a="1"/>
  <c r="Y14" i="12" s="1"/>
  <c r="E31" i="8"/>
  <c r="F28" i="8"/>
  <c r="E28" i="8"/>
  <c r="E20" i="8"/>
  <c r="H16" i="8"/>
  <c r="G16" i="8"/>
  <c r="F16" i="8"/>
  <c r="E16" i="8"/>
  <c r="G12" i="8"/>
  <c r="F12" i="8"/>
  <c r="E12" i="8"/>
  <c r="L2" i="48" l="1"/>
  <c r="L1" i="48"/>
  <c r="L18" i="48" a="1"/>
  <c r="O3" i="48" a="1"/>
  <c r="K18" i="48" a="1"/>
  <c r="N3" i="48" a="1"/>
  <c r="N3" i="48" l="1"/>
  <c r="K18" i="48"/>
  <c r="O3" i="48"/>
  <c r="L18" i="48"/>
  <c r="C23" i="12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K19" i="48" a="1"/>
  <c r="K20" i="48" a="1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L19" i="48" a="1"/>
  <c r="L20" i="48" a="1"/>
  <c r="L20" i="48" l="1"/>
  <c r="L19" i="48"/>
  <c r="O16" i="48"/>
  <c r="O15" i="48"/>
  <c r="O14" i="48"/>
  <c r="O13" i="48"/>
  <c r="O12" i="48"/>
  <c r="O11" i="48"/>
  <c r="O10" i="48"/>
  <c r="O9" i="48"/>
  <c r="O8" i="48"/>
  <c r="O7" i="48"/>
  <c r="O6" i="48"/>
  <c r="O5" i="48"/>
  <c r="O4" i="48"/>
  <c r="K20" i="48"/>
  <c r="K19" i="48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I23" i="12"/>
  <c r="E25" i="59" s="1"/>
  <c r="H23" i="12"/>
  <c r="O4" i="28"/>
  <c r="F36" i="59"/>
  <c r="F37" i="59"/>
  <c r="O3" i="28"/>
  <c r="O8" i="28"/>
  <c r="O13" i="28"/>
  <c r="O5" i="28"/>
  <c r="O15" i="28"/>
  <c r="O11" i="28"/>
  <c r="F38" i="59"/>
  <c r="O9" i="28"/>
  <c r="F35" i="59"/>
  <c r="S4" i="52"/>
  <c r="S16" i="52"/>
  <c r="S5" i="52"/>
  <c r="S9" i="52"/>
  <c r="F39" i="59"/>
  <c r="O6" i="28" l="1"/>
  <c r="O7" i="28"/>
  <c r="O10" i="28"/>
  <c r="O12" i="28"/>
  <c r="O14" i="28"/>
  <c r="S13" i="52"/>
  <c r="S3" i="52"/>
  <c r="M16" i="56"/>
  <c r="N16" i="56"/>
  <c r="L16" i="56"/>
  <c r="M12" i="56"/>
  <c r="N12" i="56"/>
  <c r="L12" i="56"/>
  <c r="M8" i="56"/>
  <c r="N8" i="56"/>
  <c r="L8" i="56"/>
  <c r="M15" i="56"/>
  <c r="N15" i="56"/>
  <c r="L15" i="56"/>
  <c r="M11" i="56"/>
  <c r="N11" i="56"/>
  <c r="L11" i="56"/>
  <c r="M7" i="56"/>
  <c r="N7" i="56"/>
  <c r="L7" i="56"/>
  <c r="M14" i="56"/>
  <c r="N14" i="56"/>
  <c r="L14" i="56"/>
  <c r="M10" i="56"/>
  <c r="N10" i="56"/>
  <c r="L10" i="56"/>
  <c r="M6" i="56"/>
  <c r="N6" i="56"/>
  <c r="L6" i="56"/>
  <c r="M17" i="56"/>
  <c r="N17" i="56"/>
  <c r="L17" i="56"/>
  <c r="M13" i="56"/>
  <c r="N13" i="56"/>
  <c r="L13" i="56"/>
  <c r="M9" i="56"/>
  <c r="N9" i="56"/>
  <c r="L9" i="56"/>
  <c r="M5" i="56"/>
  <c r="L5" i="56"/>
  <c r="N5" i="56"/>
  <c r="J23" i="12"/>
  <c r="C25" i="59"/>
  <c r="P14" i="56" l="1"/>
  <c r="M20" i="48"/>
  <c r="M19" i="48"/>
  <c r="P8" i="56"/>
  <c r="P15" i="56"/>
  <c r="P9" i="56"/>
  <c r="P13" i="56"/>
  <c r="P10" i="56"/>
  <c r="P5" i="56"/>
  <c r="M19" i="56"/>
  <c r="M20" i="56"/>
  <c r="N19" i="56"/>
  <c r="N20" i="56"/>
  <c r="P6" i="56"/>
  <c r="P11" i="56"/>
  <c r="P16" i="56"/>
  <c r="L20" i="56"/>
  <c r="L19" i="56"/>
  <c r="P17" i="56"/>
  <c r="P7" i="56"/>
  <c r="P12" i="56"/>
  <c r="C12" i="60"/>
  <c r="C11" i="60"/>
  <c r="C10" i="60"/>
  <c r="C9" i="60"/>
  <c r="C8" i="60"/>
  <c r="C7" i="60"/>
  <c r="C6" i="60"/>
  <c r="C5" i="60"/>
  <c r="C4" i="60"/>
  <c r="C3" i="60"/>
  <c r="L35" i="59"/>
  <c r="L22" i="56" l="1"/>
  <c r="I9" i="59" s="1"/>
  <c r="M22" i="56"/>
  <c r="I10" i="59" s="1"/>
  <c r="N22" i="56"/>
  <c r="I11" i="59" s="1"/>
  <c r="K3" i="60"/>
  <c r="L37" i="59"/>
  <c r="L38" i="59"/>
  <c r="L39" i="59"/>
  <c r="L36" i="59"/>
  <c r="M10" i="60"/>
  <c r="M5" i="60"/>
  <c r="M9" i="60"/>
  <c r="M6" i="60"/>
  <c r="K8" i="60"/>
  <c r="L12" i="60"/>
  <c r="L6" i="60"/>
  <c r="K6" i="60"/>
  <c r="M8" i="60"/>
  <c r="L10" i="60"/>
  <c r="K10" i="60"/>
  <c r="L8" i="60"/>
  <c r="L5" i="60"/>
  <c r="K5" i="60"/>
  <c r="L9" i="60"/>
  <c r="K9" i="60"/>
  <c r="M11" i="60"/>
  <c r="M3" i="60" l="1"/>
  <c r="P6" i="60"/>
  <c r="Q6" i="60"/>
  <c r="K4" i="60"/>
  <c r="K7" i="60"/>
  <c r="P9" i="60"/>
  <c r="Q9" i="60"/>
  <c r="P5" i="60"/>
  <c r="Q5" i="60"/>
  <c r="K12" i="60"/>
  <c r="M12" i="60"/>
  <c r="M4" i="60"/>
  <c r="Q8" i="60"/>
  <c r="P8" i="60"/>
  <c r="L11" i="60"/>
  <c r="L7" i="60"/>
  <c r="L3" i="60"/>
  <c r="M7" i="60"/>
  <c r="P10" i="60"/>
  <c r="Q10" i="60"/>
  <c r="L4" i="60"/>
  <c r="K11" i="60"/>
  <c r="Q11" i="60" l="1"/>
  <c r="P11" i="60"/>
  <c r="Q12" i="60"/>
  <c r="P12" i="60"/>
  <c r="Q7" i="60"/>
  <c r="P7" i="60"/>
  <c r="Q4" i="60"/>
  <c r="P4" i="60"/>
  <c r="Q3" i="60"/>
  <c r="P3" i="60"/>
  <c r="S9" i="60" l="1"/>
  <c r="D14" i="59" s="1"/>
  <c r="S3" i="60"/>
  <c r="D8" i="59" s="1"/>
  <c r="S10" i="60"/>
  <c r="D15" i="59" s="1"/>
  <c r="S6" i="60"/>
  <c r="D11" i="59" s="1"/>
  <c r="S8" i="60"/>
  <c r="D13" i="59" s="1"/>
  <c r="S5" i="60"/>
  <c r="D10" i="59" s="1"/>
  <c r="S4" i="60"/>
  <c r="D9" i="59" s="1"/>
  <c r="S12" i="60"/>
  <c r="D17" i="59" s="1"/>
  <c r="S7" i="60"/>
  <c r="D12" i="59" s="1"/>
  <c r="S11" i="60"/>
  <c r="D16" i="59" s="1"/>
  <c r="Q5" i="48" l="1" a="1"/>
  <c r="Q5" i="48" s="1"/>
  <c r="AF4" i="12" s="1"/>
  <c r="Q8" i="48" a="1"/>
  <c r="Q8" i="48" s="1"/>
  <c r="AF7" i="12" s="1"/>
  <c r="Q13" i="48" a="1"/>
  <c r="Q13" i="48" s="1"/>
  <c r="AF12" i="12" s="1"/>
  <c r="Q16" i="48" a="1"/>
  <c r="Q16" i="48" s="1"/>
  <c r="AF15" i="12" s="1"/>
  <c r="Q12" i="48" a="1"/>
  <c r="Q12" i="48" s="1"/>
  <c r="AF11" i="12" s="1"/>
  <c r="Q7" i="48" a="1"/>
  <c r="Q7" i="48" s="1"/>
  <c r="AF6" i="12" s="1"/>
  <c r="Q15" i="48" a="1"/>
  <c r="Q15" i="48" s="1"/>
  <c r="AF14" i="12" s="1"/>
  <c r="Q6" i="48" a="1"/>
  <c r="Q6" i="48" s="1"/>
  <c r="AF5" i="12" s="1"/>
  <c r="Q11" i="48" a="1"/>
  <c r="Q11" i="48" s="1"/>
  <c r="AF10" i="12" s="1"/>
  <c r="Q14" i="48" a="1"/>
  <c r="Q14" i="48" s="1"/>
  <c r="AF13" i="12" s="1"/>
  <c r="Q9" i="48" a="1"/>
  <c r="Q9" i="48" s="1"/>
  <c r="AF8" i="12" s="1"/>
  <c r="Q4" i="48" a="1"/>
  <c r="Q4" i="48" s="1"/>
  <c r="AF3" i="12" s="1"/>
  <c r="Q10" i="48" a="1"/>
  <c r="Q10" i="48" s="1"/>
  <c r="AF9" i="12" s="1"/>
  <c r="J4" i="43" l="1" a="1"/>
  <c r="J4" i="43" s="1"/>
  <c r="Q4" i="42" s="1"/>
  <c r="J5" i="43" a="1"/>
  <c r="J5" i="43" s="1"/>
  <c r="Q5" i="42" s="1"/>
  <c r="J6" i="43" a="1"/>
  <c r="J6" i="43" s="1"/>
  <c r="Q6" i="42" s="1"/>
  <c r="J7" i="43" a="1"/>
  <c r="J7" i="43" s="1"/>
  <c r="Q7" i="42" s="1"/>
  <c r="J8" i="43" a="1"/>
  <c r="J8" i="43" s="1"/>
  <c r="Q8" i="42" s="1"/>
  <c r="J9" i="43" a="1"/>
  <c r="J9" i="43" s="1"/>
  <c r="Q9" i="42" s="1"/>
  <c r="J10" i="43" a="1"/>
  <c r="J10" i="43" s="1"/>
  <c r="Q10" i="42" s="1"/>
  <c r="J11" i="43" a="1"/>
  <c r="J11" i="43" s="1"/>
  <c r="Q11" i="42" s="1"/>
  <c r="J12" i="43" a="1"/>
  <c r="J12" i="43" s="1"/>
  <c r="Q12" i="42" s="1"/>
  <c r="J13" i="43" a="1"/>
  <c r="J13" i="43" s="1"/>
  <c r="Q13" i="42" s="1"/>
  <c r="J14" i="43" a="1"/>
  <c r="J14" i="43" s="1"/>
  <c r="Q14" i="42" s="1"/>
  <c r="J15" i="43" a="1"/>
  <c r="J15" i="43" s="1"/>
  <c r="Q15" i="42" s="1"/>
  <c r="J3" i="43" a="1"/>
  <c r="J3" i="43" s="1"/>
  <c r="Q3" i="42" s="1"/>
  <c r="F12" i="43"/>
  <c r="F13" i="43"/>
  <c r="F14" i="43"/>
  <c r="F15" i="43"/>
  <c r="P4" i="42"/>
  <c r="P5" i="42"/>
  <c r="P6" i="42"/>
  <c r="P7" i="42"/>
  <c r="P8" i="42"/>
  <c r="P9" i="42"/>
  <c r="P10" i="42"/>
  <c r="P11" i="42"/>
  <c r="P12" i="42"/>
  <c r="P13" i="42"/>
  <c r="P14" i="42"/>
  <c r="P15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3" i="42"/>
  <c r="K126" i="15" l="1" a="1"/>
  <c r="K126" i="15" s="1"/>
  <c r="L126" i="15" a="1"/>
  <c r="L126" i="15" s="1"/>
  <c r="M126" i="15" a="1"/>
  <c r="M126" i="15" s="1"/>
  <c r="N126" i="15" a="1"/>
  <c r="N126" i="15" s="1"/>
  <c r="K127" i="15" a="1"/>
  <c r="K127" i="15" s="1"/>
  <c r="L127" i="15" a="1"/>
  <c r="L127" i="15" s="1"/>
  <c r="M127" i="15" a="1"/>
  <c r="M127" i="15" s="1"/>
  <c r="N127" i="15" a="1"/>
  <c r="N127" i="15" s="1"/>
  <c r="K128" i="15" a="1"/>
  <c r="K128" i="15" s="1"/>
  <c r="L128" i="15" a="1"/>
  <c r="L128" i="15" s="1"/>
  <c r="M128" i="15" a="1"/>
  <c r="M128" i="15" s="1"/>
  <c r="N128" i="15" a="1"/>
  <c r="N128" i="15" s="1"/>
  <c r="K130" i="15"/>
  <c r="L130" i="15"/>
  <c r="M130" i="15"/>
  <c r="N130" i="15"/>
  <c r="K131" i="15"/>
  <c r="L131" i="15"/>
  <c r="M131" i="15"/>
  <c r="N131" i="15"/>
  <c r="K136" i="15" a="1"/>
  <c r="K136" i="15" s="1"/>
  <c r="L136" i="15" a="1"/>
  <c r="L136" i="15" s="1"/>
  <c r="M136" i="15" a="1"/>
  <c r="M136" i="15" s="1"/>
  <c r="N136" i="15" a="1"/>
  <c r="N136" i="15" s="1"/>
  <c r="K137" i="15" a="1"/>
  <c r="K137" i="15" s="1"/>
  <c r="L137" i="15" a="1"/>
  <c r="L137" i="15" s="1"/>
  <c r="M137" i="15" a="1"/>
  <c r="M137" i="15" s="1"/>
  <c r="N137" i="15" a="1"/>
  <c r="N137" i="15" s="1"/>
  <c r="K138" i="15" a="1"/>
  <c r="K138" i="15" s="1"/>
  <c r="L138" i="15" a="1"/>
  <c r="L138" i="15" s="1"/>
  <c r="M138" i="15" a="1"/>
  <c r="M138" i="15" s="1"/>
  <c r="N138" i="15" a="1"/>
  <c r="N138" i="15" s="1"/>
  <c r="L133" i="15" l="1"/>
  <c r="K133" i="15"/>
  <c r="L140" i="15"/>
  <c r="N140" i="15"/>
  <c r="M133" i="15"/>
  <c r="N133" i="15"/>
  <c r="M140" i="15"/>
  <c r="K140" i="15"/>
  <c r="K125" i="7" l="1" a="1"/>
  <c r="K125" i="7" s="1"/>
  <c r="L125" i="7" a="1"/>
  <c r="L125" i="7" s="1"/>
  <c r="M125" i="7" a="1"/>
  <c r="M125" i="7" s="1"/>
  <c r="N125" i="7" a="1"/>
  <c r="N125" i="7" s="1"/>
  <c r="K126" i="7" a="1"/>
  <c r="K126" i="7" s="1"/>
  <c r="L126" i="7" a="1"/>
  <c r="L126" i="7" s="1"/>
  <c r="M126" i="7" a="1"/>
  <c r="M126" i="7" s="1"/>
  <c r="N126" i="7" a="1"/>
  <c r="N126" i="7" s="1"/>
  <c r="K128" i="7" a="1"/>
  <c r="K128" i="7" s="1"/>
  <c r="L128" i="7" a="1"/>
  <c r="L128" i="7" s="1"/>
  <c r="M128" i="7" a="1"/>
  <c r="M128" i="7" s="1"/>
  <c r="N128" i="7" a="1"/>
  <c r="N128" i="7" s="1"/>
  <c r="K124" i="47" a="1"/>
  <c r="K124" i="47" s="1"/>
  <c r="L124" i="47" a="1"/>
  <c r="L124" i="47" s="1"/>
  <c r="M124" i="47" a="1"/>
  <c r="M124" i="47" s="1"/>
  <c r="N124" i="47" a="1"/>
  <c r="N124" i="47" s="1"/>
  <c r="K125" i="47" a="1"/>
  <c r="K125" i="47" s="1"/>
  <c r="L125" i="47" a="1"/>
  <c r="L125" i="47" s="1"/>
  <c r="M125" i="47" a="1"/>
  <c r="M125" i="47" s="1"/>
  <c r="N125" i="47" a="1"/>
  <c r="N125" i="47" s="1"/>
  <c r="K127" i="47" a="1"/>
  <c r="K127" i="47" s="1"/>
  <c r="L127" i="47" a="1"/>
  <c r="L127" i="47" s="1"/>
  <c r="M127" i="47" a="1"/>
  <c r="M127" i="47" s="1"/>
  <c r="N127" i="47" a="1"/>
  <c r="N127" i="47" s="1"/>
  <c r="K124" i="46" a="1"/>
  <c r="K124" i="46" s="1"/>
  <c r="L124" i="46" a="1"/>
  <c r="L124" i="46" s="1"/>
  <c r="M124" i="46" a="1"/>
  <c r="M124" i="46" s="1"/>
  <c r="N124" i="46" a="1"/>
  <c r="N124" i="46" s="1"/>
  <c r="K125" i="46" a="1"/>
  <c r="K125" i="46" s="1"/>
  <c r="L125" i="46" a="1"/>
  <c r="L125" i="46" s="1"/>
  <c r="M125" i="46" a="1"/>
  <c r="M125" i="46" s="1"/>
  <c r="N125" i="46" a="1"/>
  <c r="N125" i="46" s="1"/>
  <c r="K127" i="46" a="1"/>
  <c r="K127" i="46" s="1"/>
  <c r="L127" i="46" a="1"/>
  <c r="L127" i="46" s="1"/>
  <c r="M127" i="46" a="1"/>
  <c r="M127" i="46" s="1"/>
  <c r="N127" i="46" a="1"/>
  <c r="N127" i="46" s="1"/>
  <c r="AD4" i="12" l="1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AE9" i="12" l="1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F11" i="57"/>
  <c r="F12" i="57"/>
  <c r="F13" i="57"/>
  <c r="F14" i="57"/>
  <c r="H14" i="12" l="1"/>
  <c r="K17" i="40" s="1"/>
  <c r="U13" i="12"/>
  <c r="I15" i="12"/>
  <c r="H13" i="12"/>
  <c r="K16" i="40" s="1"/>
  <c r="U12" i="12"/>
  <c r="U14" i="12"/>
  <c r="U15" i="12"/>
  <c r="I14" i="12"/>
  <c r="K126" i="5" a="1"/>
  <c r="K126" i="5" s="1"/>
  <c r="L126" i="5" a="1"/>
  <c r="L126" i="5" s="1"/>
  <c r="M126" i="5" a="1"/>
  <c r="M126" i="5" s="1"/>
  <c r="N126" i="5" a="1"/>
  <c r="N126" i="5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K129" i="5"/>
  <c r="L129" i="5"/>
  <c r="M129" i="5"/>
  <c r="N129" i="5"/>
  <c r="K130" i="5"/>
  <c r="L130" i="5"/>
  <c r="M130" i="5"/>
  <c r="N130" i="5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K136" i="5" a="1"/>
  <c r="K136" i="5" s="1"/>
  <c r="L136" i="5" a="1"/>
  <c r="L136" i="5" s="1"/>
  <c r="M136" i="5" a="1"/>
  <c r="M136" i="5" s="1"/>
  <c r="N136" i="5" a="1"/>
  <c r="N136" i="5" s="1"/>
  <c r="K138" i="5"/>
  <c r="K139" i="5" s="1"/>
  <c r="E18" i="55" s="1"/>
  <c r="L138" i="5"/>
  <c r="L139" i="5" s="1"/>
  <c r="E19" i="55" s="1"/>
  <c r="M138" i="5"/>
  <c r="M139" i="5" s="1"/>
  <c r="E20" i="55" s="1"/>
  <c r="N138" i="5"/>
  <c r="N139" i="5" s="1"/>
  <c r="E21" i="55" s="1"/>
  <c r="L132" i="5" l="1"/>
  <c r="E14" i="13" s="1"/>
  <c r="J14" i="13" s="1"/>
  <c r="K132" i="5"/>
  <c r="E13" i="13" s="1"/>
  <c r="J13" i="13" s="1"/>
  <c r="N132" i="5"/>
  <c r="E16" i="13" s="1"/>
  <c r="J16" i="13" s="1"/>
  <c r="M132" i="5"/>
  <c r="E15" i="13" s="1"/>
  <c r="J15" i="13" s="1"/>
  <c r="H12" i="12"/>
  <c r="K15" i="40" s="1"/>
  <c r="I12" i="12"/>
  <c r="J14" i="12"/>
  <c r="I13" i="12"/>
  <c r="J13" i="12" s="1"/>
  <c r="H15" i="12"/>
  <c r="K18" i="40" s="1"/>
  <c r="J12" i="12" l="1"/>
  <c r="J15" i="12"/>
  <c r="I13" i="13" l="1"/>
  <c r="I14" i="13"/>
  <c r="I15" i="13"/>
  <c r="I16" i="13"/>
  <c r="H15" i="13"/>
  <c r="H14" i="13"/>
  <c r="H13" i="13" l="1"/>
  <c r="H16" i="13"/>
  <c r="L11" i="39" l="1"/>
  <c r="L12" i="39"/>
  <c r="L13" i="39"/>
  <c r="L14" i="39"/>
  <c r="K23" i="18"/>
  <c r="K25" i="18" s="1" a="1"/>
  <c r="K25" i="18" s="1"/>
  <c r="K11" i="39" s="1"/>
  <c r="L23" i="18"/>
  <c r="L25" i="18" s="1" a="1"/>
  <c r="L25" i="18" s="1"/>
  <c r="K12" i="39" s="1"/>
  <c r="M23" i="18"/>
  <c r="M25" i="18" s="1" a="1"/>
  <c r="M25" i="18" s="1"/>
  <c r="K13" i="39" s="1"/>
  <c r="N23" i="18"/>
  <c r="N25" i="18" s="1" a="1"/>
  <c r="N25" i="18" s="1"/>
  <c r="K14" i="39" s="1"/>
  <c r="O3" i="39" l="1" a="1"/>
  <c r="O3" i="39" s="1"/>
  <c r="O4" i="39" a="1"/>
  <c r="O4" i="39" s="1"/>
  <c r="O5" i="39" a="1"/>
  <c r="O5" i="39" s="1"/>
  <c r="O6" i="39" a="1"/>
  <c r="O6" i="39" s="1"/>
  <c r="O7" i="39" a="1"/>
  <c r="O7" i="39" s="1"/>
  <c r="O8" i="39" a="1"/>
  <c r="O8" i="39" s="1"/>
  <c r="O9" i="39" a="1"/>
  <c r="O9" i="39" s="1"/>
  <c r="O10" i="39" a="1"/>
  <c r="O10" i="39" s="1"/>
  <c r="O11" i="39" a="1"/>
  <c r="O11" i="39" s="1"/>
  <c r="O12" i="39" a="1"/>
  <c r="O12" i="39" s="1"/>
  <c r="O13" i="39" a="1"/>
  <c r="O13" i="39" s="1"/>
  <c r="O14" i="39" a="1"/>
  <c r="O14" i="39" s="1"/>
  <c r="O2" i="39" a="1"/>
  <c r="O2" i="39" s="1"/>
  <c r="G11" i="39"/>
  <c r="G12" i="39"/>
  <c r="G13" i="39"/>
  <c r="G14" i="39"/>
  <c r="G3" i="39"/>
  <c r="G4" i="39"/>
  <c r="G5" i="39"/>
  <c r="G6" i="39"/>
  <c r="G7" i="39"/>
  <c r="G8" i="39"/>
  <c r="G9" i="39"/>
  <c r="G10" i="39"/>
  <c r="G2" i="39"/>
  <c r="T4" i="28" l="1"/>
  <c r="T5" i="28"/>
  <c r="T6" i="28"/>
  <c r="T7" i="28"/>
  <c r="T8" i="28"/>
  <c r="T9" i="28"/>
  <c r="T10" i="28"/>
  <c r="T11" i="28"/>
  <c r="T12" i="28"/>
  <c r="T13" i="28"/>
  <c r="T14" i="28"/>
  <c r="T15" i="28"/>
  <c r="S6" i="28"/>
  <c r="S7" i="28"/>
  <c r="S8" i="28"/>
  <c r="S9" i="28"/>
  <c r="S10" i="28"/>
  <c r="S11" i="28"/>
  <c r="S12" i="28"/>
  <c r="S13" i="28"/>
  <c r="S14" i="28"/>
  <c r="S15" i="28"/>
  <c r="S4" i="28"/>
  <c r="S5" i="28"/>
  <c r="K25" i="38" l="1"/>
  <c r="M12" i="1" s="1"/>
  <c r="L25" i="38"/>
  <c r="M13" i="1" s="1"/>
  <c r="M25" i="38"/>
  <c r="M14" i="1" s="1"/>
  <c r="N25" i="38"/>
  <c r="M15" i="1" s="1"/>
  <c r="K24" i="38"/>
  <c r="I11" i="39" s="1"/>
  <c r="M11" i="39" s="1"/>
  <c r="L24" i="38"/>
  <c r="I12" i="39" s="1"/>
  <c r="M12" i="39" s="1"/>
  <c r="M24" i="38"/>
  <c r="I13" i="39" s="1"/>
  <c r="M13" i="39" s="1"/>
  <c r="N24" i="38"/>
  <c r="I14" i="39" s="1"/>
  <c r="M14" i="39" s="1"/>
  <c r="K23" i="38"/>
  <c r="L23" i="38"/>
  <c r="M23" i="38"/>
  <c r="N23" i="38"/>
  <c r="J4" i="28" l="1"/>
  <c r="J5" i="28"/>
  <c r="J6" i="28"/>
  <c r="J7" i="28"/>
  <c r="J8" i="28"/>
  <c r="J9" i="28"/>
  <c r="J10" i="28"/>
  <c r="J11" i="28"/>
  <c r="J12" i="28"/>
  <c r="J13" i="28"/>
  <c r="J14" i="28"/>
  <c r="J15" i="28"/>
  <c r="J3" i="28"/>
  <c r="U12" i="28"/>
  <c r="U13" i="28"/>
  <c r="U14" i="28"/>
  <c r="U15" i="28"/>
  <c r="N15" i="28" l="1"/>
  <c r="N14" i="28"/>
  <c r="N13" i="28" l="1"/>
  <c r="N12" i="28"/>
  <c r="Y4" i="1" a="1"/>
  <c r="Y4" i="1" s="1"/>
  <c r="Y5" i="1" a="1"/>
  <c r="Y5" i="1" s="1"/>
  <c r="Y6" i="1" a="1"/>
  <c r="Y6" i="1" s="1"/>
  <c r="Y7" i="1" a="1"/>
  <c r="Y7" i="1" s="1"/>
  <c r="Y8" i="1" a="1"/>
  <c r="Y8" i="1" s="1"/>
  <c r="Y9" i="1" a="1"/>
  <c r="Y9" i="1" s="1"/>
  <c r="Y10" i="1" a="1"/>
  <c r="Y10" i="1" s="1"/>
  <c r="Y11" i="1" a="1"/>
  <c r="Y11" i="1" s="1"/>
  <c r="Y12" i="1" a="1"/>
  <c r="Y12" i="1" s="1"/>
  <c r="Y13" i="1" a="1"/>
  <c r="Y13" i="1" s="1"/>
  <c r="Y14" i="1" a="1"/>
  <c r="Y14" i="1" s="1"/>
  <c r="Y15" i="1" a="1"/>
  <c r="Y15" i="1" s="1"/>
  <c r="Y3" i="1" a="1"/>
  <c r="Y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X14" i="1" a="1"/>
  <c r="X14" i="1" s="1"/>
  <c r="X15" i="1" a="1"/>
  <c r="X15" i="1" s="1"/>
  <c r="X3" i="1" a="1"/>
  <c r="X3" i="1" s="1"/>
  <c r="N12" i="1" l="1"/>
  <c r="P12" i="1"/>
  <c r="N13" i="1"/>
  <c r="P13" i="1"/>
  <c r="N14" i="1"/>
  <c r="S14" i="1" s="1"/>
  <c r="P14" i="1"/>
  <c r="N15" i="1"/>
  <c r="P15" i="1"/>
  <c r="S12" i="1" l="1"/>
  <c r="S13" i="1"/>
  <c r="S15" i="1"/>
  <c r="Q15" i="1"/>
  <c r="T14" i="1"/>
  <c r="R14" i="1"/>
  <c r="Q13" i="1"/>
  <c r="T12" i="1"/>
  <c r="R12" i="1"/>
  <c r="T15" i="1"/>
  <c r="R15" i="1"/>
  <c r="Q14" i="1"/>
  <c r="T13" i="1"/>
  <c r="R13" i="1"/>
  <c r="Q12" i="1"/>
  <c r="F17" i="57" l="1"/>
  <c r="S23" i="52" l="1"/>
  <c r="F10" i="57" l="1"/>
  <c r="F9" i="57"/>
  <c r="F8" i="57"/>
  <c r="F7" i="57"/>
  <c r="F6" i="57"/>
  <c r="F5" i="57"/>
  <c r="F4" i="57"/>
  <c r="F3" i="57"/>
  <c r="F2" i="57"/>
  <c r="B138" i="5" l="1"/>
  <c r="B139" i="5" s="1"/>
  <c r="E9" i="55" s="1"/>
  <c r="C138" i="5"/>
  <c r="C139" i="5" s="1"/>
  <c r="E10" i="55" s="1"/>
  <c r="D138" i="5"/>
  <c r="D139" i="5" s="1"/>
  <c r="E11" i="55" s="1"/>
  <c r="E138" i="5"/>
  <c r="E139" i="5" s="1"/>
  <c r="E12" i="55" s="1"/>
  <c r="F138" i="5"/>
  <c r="F139" i="5" s="1"/>
  <c r="E13" i="55" s="1"/>
  <c r="G138" i="5"/>
  <c r="G139" i="5" s="1"/>
  <c r="E14" i="55" s="1"/>
  <c r="H138" i="5"/>
  <c r="H139" i="5" s="1"/>
  <c r="E15" i="55" s="1"/>
  <c r="I138" i="5"/>
  <c r="I139" i="5" s="1"/>
  <c r="E16" i="55" s="1"/>
  <c r="J138" i="5"/>
  <c r="J139" i="5" s="1"/>
  <c r="E17" i="55" s="1"/>
  <c r="C21" i="12" l="1"/>
  <c r="C22" i="12"/>
  <c r="L2" i="40"/>
  <c r="J2" i="40"/>
  <c r="I2" i="40"/>
  <c r="F2" i="40"/>
  <c r="E2" i="40"/>
  <c r="D2" i="40"/>
  <c r="D82" i="8"/>
  <c r="G39" i="59" l="1"/>
  <c r="H39" i="59"/>
  <c r="G38" i="59"/>
  <c r="H38" i="59"/>
  <c r="H22" i="12"/>
  <c r="C23" i="59" s="1"/>
  <c r="H21" i="12"/>
  <c r="C26" i="59" s="1"/>
  <c r="P2" i="40"/>
  <c r="I21" i="12" l="1"/>
  <c r="I22" i="12"/>
  <c r="J21" i="12" l="1"/>
  <c r="E38" i="59" s="1"/>
  <c r="E26" i="59"/>
  <c r="J22" i="12"/>
  <c r="E39" i="59" s="1"/>
  <c r="E23" i="59"/>
  <c r="T16" i="52"/>
  <c r="T4" i="52"/>
  <c r="T9" i="52"/>
  <c r="T5" i="52"/>
  <c r="T23" i="52"/>
  <c r="T13" i="52" l="1"/>
  <c r="T3" i="52"/>
  <c r="B131" i="15" l="1"/>
  <c r="C131" i="15"/>
  <c r="D131" i="15"/>
  <c r="E131" i="15"/>
  <c r="F131" i="15"/>
  <c r="G131" i="15"/>
  <c r="H131" i="15"/>
  <c r="I131" i="15"/>
  <c r="J131" i="15"/>
  <c r="B130" i="15"/>
  <c r="C130" i="15"/>
  <c r="D130" i="15"/>
  <c r="E130" i="15"/>
  <c r="F130" i="15"/>
  <c r="G130" i="15"/>
  <c r="H130" i="15"/>
  <c r="I130" i="15"/>
  <c r="J130" i="15"/>
  <c r="B128" i="15" a="1"/>
  <c r="B128" i="15" s="1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B127" i="15" a="1"/>
  <c r="B127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B126" i="15" a="1"/>
  <c r="B126" i="15" s="1"/>
  <c r="L2" i="39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Q6" i="39" l="1" a="1"/>
  <c r="Q6" i="39" s="1"/>
  <c r="Q10" i="39" a="1"/>
  <c r="Q10" i="39" s="1"/>
  <c r="Q14" i="39" a="1"/>
  <c r="Q14" i="39" s="1"/>
  <c r="Q3" i="39" a="1"/>
  <c r="Q3" i="39" s="1"/>
  <c r="Q7" i="39" a="1"/>
  <c r="Q7" i="39" s="1"/>
  <c r="Q11" i="39" a="1"/>
  <c r="Q11" i="39" s="1"/>
  <c r="Q2" i="39" a="1"/>
  <c r="Q2" i="39" s="1"/>
  <c r="Q4" i="39" a="1"/>
  <c r="Q4" i="39" s="1"/>
  <c r="Q8" i="39" a="1"/>
  <c r="Q8" i="39" s="1"/>
  <c r="Q12" i="39" a="1"/>
  <c r="Q12" i="39" s="1"/>
  <c r="Q5" i="39" a="1"/>
  <c r="Q5" i="39" s="1"/>
  <c r="Q9" i="39" a="1"/>
  <c r="Q9" i="39" s="1"/>
  <c r="Q13" i="39" a="1"/>
  <c r="Q13" i="39" s="1"/>
  <c r="B134" i="5" a="1"/>
  <c r="B134" i="5" s="1"/>
  <c r="F5" i="56" s="1"/>
  <c r="C134" i="5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B130" i="5"/>
  <c r="C130" i="5"/>
  <c r="D130" i="5"/>
  <c r="E130" i="5"/>
  <c r="F130" i="5"/>
  <c r="G130" i="5"/>
  <c r="H130" i="5"/>
  <c r="I130" i="5"/>
  <c r="J130" i="5"/>
  <c r="B129" i="5"/>
  <c r="C129" i="5"/>
  <c r="D129" i="5"/>
  <c r="E129" i="5"/>
  <c r="F129" i="5"/>
  <c r="G129" i="5"/>
  <c r="H129" i="5"/>
  <c r="I129" i="5"/>
  <c r="J129" i="5"/>
  <c r="B127" i="5" a="1"/>
  <c r="B127" i="5" s="1"/>
  <c r="D4" i="13" s="1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B126" i="5" a="1"/>
  <c r="B126" i="5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B126" i="7" l="1" a="1"/>
  <c r="B126" i="7" s="1"/>
  <c r="C126" i="7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B128" i="7" a="1"/>
  <c r="B128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B125" i="7" a="1"/>
  <c r="B125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C20" i="12" l="1"/>
  <c r="G37" i="59" l="1"/>
  <c r="H37" i="59"/>
  <c r="I20" i="12"/>
  <c r="H20" i="12" l="1"/>
  <c r="J20" i="12" s="1"/>
  <c r="E37" i="59" s="1"/>
  <c r="C19" i="12" l="1"/>
  <c r="L40" i="8"/>
  <c r="G36" i="59" l="1"/>
  <c r="H36" i="59"/>
  <c r="I19" i="12"/>
  <c r="E28" i="59" s="1"/>
  <c r="H19" i="12"/>
  <c r="C28" i="59" s="1"/>
  <c r="J19" i="12" l="1"/>
  <c r="E36" i="59" s="1"/>
  <c r="P15" i="48" l="1"/>
  <c r="P16" i="48"/>
  <c r="P14" i="48"/>
  <c r="P13" i="48"/>
  <c r="P10" i="48"/>
  <c r="P7" i="48"/>
  <c r="P9" i="48"/>
  <c r="P11" i="48"/>
  <c r="P8" i="48"/>
  <c r="P12" i="48"/>
  <c r="P5" i="48"/>
  <c r="P6" i="48"/>
  <c r="P4" i="48"/>
  <c r="P3" i="1"/>
  <c r="P4" i="1"/>
  <c r="P5" i="1"/>
  <c r="P6" i="1"/>
  <c r="P7" i="1"/>
  <c r="P8" i="1"/>
  <c r="P9" i="1"/>
  <c r="P10" i="1"/>
  <c r="P11" i="1"/>
  <c r="AA4" i="1" l="1" a="1"/>
  <c r="AA4" i="1" s="1"/>
  <c r="AA15" i="1" a="1"/>
  <c r="AA15" i="1" s="1"/>
  <c r="AA5" i="1" a="1"/>
  <c r="AA5" i="1" s="1"/>
  <c r="AA12" i="1" a="1"/>
  <c r="AA12" i="1" s="1"/>
  <c r="AA13" i="1" a="1"/>
  <c r="AA13" i="1" s="1"/>
  <c r="AA14" i="1" a="1"/>
  <c r="AA14" i="1" s="1"/>
  <c r="AA11" i="1" a="1"/>
  <c r="AA11" i="1" s="1"/>
  <c r="AA3" i="1" a="1"/>
  <c r="AA3" i="1" s="1"/>
  <c r="AA6" i="1" a="1"/>
  <c r="AA6" i="1" s="1"/>
  <c r="AA7" i="1" a="1"/>
  <c r="AA7" i="1" s="1"/>
  <c r="AA8" i="1" a="1"/>
  <c r="AA8" i="1" s="1"/>
  <c r="AA9" i="1" a="1"/>
  <c r="AA9" i="1" s="1"/>
  <c r="AA10" i="1" a="1"/>
  <c r="AA10" i="1" s="1"/>
  <c r="R5" i="48" a="1"/>
  <c r="R5" i="48" s="1"/>
  <c r="R7" i="48" a="1"/>
  <c r="R7" i="48" s="1"/>
  <c r="R9" i="48" a="1"/>
  <c r="R9" i="48" s="1"/>
  <c r="R11" i="48" a="1"/>
  <c r="R11" i="48" s="1"/>
  <c r="R13" i="48" a="1"/>
  <c r="R13" i="48" s="1"/>
  <c r="R8" i="48" a="1"/>
  <c r="R8" i="48" s="1"/>
  <c r="R10" i="48" a="1"/>
  <c r="R10" i="48" s="1"/>
  <c r="R14" i="48" a="1"/>
  <c r="R14" i="48" s="1"/>
  <c r="R16" i="48" a="1"/>
  <c r="R16" i="48" s="1"/>
  <c r="R6" i="48" a="1"/>
  <c r="R6" i="48" s="1"/>
  <c r="R12" i="48" a="1"/>
  <c r="R12" i="48" s="1"/>
  <c r="R15" i="48" a="1"/>
  <c r="R15" i="48" s="1"/>
  <c r="R4" i="48" a="1"/>
  <c r="R4" i="48" s="1"/>
  <c r="H136" i="5" a="1"/>
  <c r="H136" i="5" s="1"/>
  <c r="B136" i="5" a="1"/>
  <c r="B136" i="5" s="1"/>
  <c r="J136" i="5" a="1"/>
  <c r="J136" i="5" s="1"/>
  <c r="E136" i="5" a="1"/>
  <c r="E136" i="5" s="1"/>
  <c r="C136" i="5" a="1"/>
  <c r="C136" i="5" s="1"/>
  <c r="D136" i="5" a="1"/>
  <c r="D136" i="5" s="1"/>
  <c r="I136" i="5" a="1"/>
  <c r="I136" i="5" s="1"/>
  <c r="G136" i="5" a="1"/>
  <c r="G136" i="5" s="1"/>
  <c r="F136" i="5" a="1"/>
  <c r="F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B127" i="47" a="1"/>
  <c r="B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B125" i="47" a="1"/>
  <c r="B125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B124" i="47" a="1"/>
  <c r="B124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S15" i="48" l="1"/>
  <c r="AG14" i="12"/>
  <c r="S16" i="48"/>
  <c r="AG15" i="12"/>
  <c r="S12" i="48"/>
  <c r="AG11" i="12"/>
  <c r="S11" i="48"/>
  <c r="AG10" i="12"/>
  <c r="S6" i="48"/>
  <c r="AG5" i="12"/>
  <c r="S5" i="48"/>
  <c r="AG4" i="12"/>
  <c r="S14" i="48"/>
  <c r="AG13" i="12"/>
  <c r="S9" i="48"/>
  <c r="AG8" i="12"/>
  <c r="S8" i="48"/>
  <c r="AG7" i="12"/>
  <c r="S13" i="48"/>
  <c r="AG12" i="12"/>
  <c r="S10" i="48"/>
  <c r="AG9" i="12"/>
  <c r="S7" i="48"/>
  <c r="AG6" i="12"/>
  <c r="S4" i="48"/>
  <c r="AG3" i="12"/>
  <c r="E125" i="46" a="1"/>
  <c r="E125" i="46" s="1"/>
  <c r="E127" i="46" a="1"/>
  <c r="E127" i="46" s="1"/>
  <c r="E124" i="46" a="1"/>
  <c r="E124" i="46" s="1"/>
  <c r="C127" i="46" a="1"/>
  <c r="C127" i="46" s="1"/>
  <c r="C125" i="46" a="1"/>
  <c r="C125" i="46" s="1"/>
  <c r="C124" i="46" a="1"/>
  <c r="C124" i="46" s="1"/>
  <c r="F124" i="46" a="1"/>
  <c r="F124" i="46" s="1"/>
  <c r="F125" i="46" a="1"/>
  <c r="F125" i="46" s="1"/>
  <c r="F127" i="46" a="1"/>
  <c r="F127" i="46" s="1"/>
  <c r="I124" i="46" a="1"/>
  <c r="I124" i="46" s="1"/>
  <c r="I127" i="46" a="1"/>
  <c r="I127" i="46" s="1"/>
  <c r="I125" i="46" a="1"/>
  <c r="I125" i="46" s="1"/>
  <c r="D127" i="46" a="1"/>
  <c r="D127" i="46" s="1"/>
  <c r="D125" i="46" a="1"/>
  <c r="D125" i="46" s="1"/>
  <c r="D124" i="46" a="1"/>
  <c r="D124" i="46" s="1"/>
  <c r="H127" i="46" a="1"/>
  <c r="H127" i="46" s="1"/>
  <c r="H125" i="46" a="1"/>
  <c r="H125" i="46" s="1"/>
  <c r="H124" i="46" a="1"/>
  <c r="H124" i="46" s="1"/>
  <c r="G127" i="46" a="1"/>
  <c r="G127" i="46" s="1"/>
  <c r="G124" i="46" a="1"/>
  <c r="G124" i="46" s="1"/>
  <c r="G125" i="46" a="1"/>
  <c r="G125" i="46" s="1"/>
  <c r="J124" i="46" a="1"/>
  <c r="J124" i="46" s="1"/>
  <c r="J127" i="46" a="1"/>
  <c r="J127" i="46" s="1"/>
  <c r="J125" i="46" a="1"/>
  <c r="J125" i="46" s="1"/>
  <c r="B127" i="46" a="1"/>
  <c r="B127" i="46" s="1"/>
  <c r="B124" i="46" a="1"/>
  <c r="B124" i="46" s="1"/>
  <c r="B125" i="46" a="1"/>
  <c r="B125" i="46" s="1"/>
  <c r="T6" i="48" l="1" a="1"/>
  <c r="T6" i="48" s="1"/>
  <c r="T4" i="48" a="1"/>
  <c r="T4" i="48" s="1"/>
  <c r="T9" i="48" a="1"/>
  <c r="T9" i="48" s="1"/>
  <c r="T5" i="48" a="1"/>
  <c r="T5" i="48" s="1"/>
  <c r="T12" i="48" a="1"/>
  <c r="T12" i="48" s="1"/>
  <c r="T11" i="48" a="1"/>
  <c r="T11" i="48" s="1"/>
  <c r="T14" i="48" a="1"/>
  <c r="T14" i="48" s="1"/>
  <c r="T10" i="48" a="1"/>
  <c r="T10" i="48" s="1"/>
  <c r="T15" i="48" a="1"/>
  <c r="T15" i="48" s="1"/>
  <c r="T7" i="48" a="1"/>
  <c r="T7" i="48" s="1"/>
  <c r="T8" i="48" a="1"/>
  <c r="T8" i="48" s="1"/>
  <c r="T13" i="48" a="1"/>
  <c r="T13" i="48" s="1"/>
  <c r="T16" i="48" a="1"/>
  <c r="T16" i="48" s="1"/>
  <c r="B138" i="15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N12" i="13" l="1"/>
  <c r="N11" i="13"/>
  <c r="N7" i="13"/>
  <c r="N10" i="13"/>
  <c r="N6" i="13"/>
  <c r="N9" i="13"/>
  <c r="N5" i="13"/>
  <c r="N8" i="13"/>
  <c r="N4" i="13"/>
  <c r="N14" i="13"/>
  <c r="N15" i="13"/>
  <c r="N13" i="13"/>
  <c r="N16" i="13"/>
  <c r="F10" i="43"/>
  <c r="F11" i="43"/>
  <c r="F3" i="43"/>
  <c r="F4" i="43"/>
  <c r="F5" i="43"/>
  <c r="F6" i="43"/>
  <c r="F7" i="43"/>
  <c r="F8" i="43"/>
  <c r="F9" i="43"/>
  <c r="Q1" i="42" l="1"/>
  <c r="P1" i="42"/>
  <c r="O1" i="42"/>
  <c r="N1" i="42"/>
  <c r="M1" i="42"/>
  <c r="L1" i="42"/>
  <c r="O3" i="42" l="1"/>
  <c r="O15" i="42"/>
  <c r="S15" i="42" s="1"/>
  <c r="O12" i="42"/>
  <c r="S12" i="42" s="1"/>
  <c r="O13" i="42"/>
  <c r="S13" i="42" s="1"/>
  <c r="O14" i="42"/>
  <c r="S14" i="42" s="1"/>
  <c r="O11" i="42"/>
  <c r="C18" i="12"/>
  <c r="G35" i="59" l="1"/>
  <c r="H35" i="59"/>
  <c r="O10" i="42"/>
  <c r="S10" i="42" s="1"/>
  <c r="O6" i="42"/>
  <c r="S6" i="42" s="1"/>
  <c r="O9" i="42"/>
  <c r="D20" i="1"/>
  <c r="D19" i="1"/>
  <c r="N35" i="59" l="1"/>
  <c r="N38" i="59"/>
  <c r="N39" i="59"/>
  <c r="N37" i="59"/>
  <c r="N36" i="59"/>
  <c r="M35" i="59"/>
  <c r="M38" i="59"/>
  <c r="M39" i="59"/>
  <c r="M37" i="59"/>
  <c r="M36" i="59"/>
  <c r="O7" i="42"/>
  <c r="O8" i="42"/>
  <c r="O4" i="42"/>
  <c r="O5" i="42"/>
  <c r="I18" i="12"/>
  <c r="E27" i="59" s="1"/>
  <c r="H18" i="12" l="1"/>
  <c r="C27" i="59" s="1"/>
  <c r="J18" i="12" l="1"/>
  <c r="E35" i="59" s="1"/>
  <c r="M2" i="13" l="1"/>
  <c r="N2" i="13"/>
  <c r="L2" i="13"/>
  <c r="J25" i="38" l="1"/>
  <c r="I25" i="38"/>
  <c r="H25" i="38"/>
  <c r="G25" i="38"/>
  <c r="F25" i="38"/>
  <c r="E25" i="38"/>
  <c r="D25" i="38"/>
  <c r="C25" i="38"/>
  <c r="B25" i="38"/>
  <c r="M4" i="1" l="1"/>
  <c r="T4" i="1" s="1"/>
  <c r="M6" i="1"/>
  <c r="T6" i="1" s="1"/>
  <c r="M10" i="1"/>
  <c r="T10" i="1" s="1"/>
  <c r="M8" i="1"/>
  <c r="T8" i="1" s="1"/>
  <c r="M5" i="1"/>
  <c r="T5" i="1" s="1"/>
  <c r="M9" i="1"/>
  <c r="T9" i="1" s="1"/>
  <c r="M3" i="1"/>
  <c r="T3" i="1" s="1"/>
  <c r="M7" i="1"/>
  <c r="T7" i="1" s="1"/>
  <c r="M11" i="1"/>
  <c r="T11" i="1" s="1"/>
  <c r="N3" i="1"/>
  <c r="R3" i="1" s="1"/>
  <c r="N4" i="1"/>
  <c r="R4" i="1" s="1"/>
  <c r="N5" i="1"/>
  <c r="R5" i="1" s="1"/>
  <c r="N6" i="1"/>
  <c r="R6" i="1" s="1"/>
  <c r="N7" i="1"/>
  <c r="R7" i="1" s="1"/>
  <c r="N8" i="1"/>
  <c r="R8" i="1" s="1"/>
  <c r="N9" i="1"/>
  <c r="R9" i="1" s="1"/>
  <c r="N10" i="1"/>
  <c r="R10" i="1" s="1"/>
  <c r="N11" i="1"/>
  <c r="R11" i="1" s="1"/>
  <c r="Z5" i="1" l="1" a="1"/>
  <c r="Z5" i="1" s="1"/>
  <c r="Z7" i="1" a="1"/>
  <c r="Z7" i="1" s="1"/>
  <c r="Z9" i="1" a="1"/>
  <c r="Z9" i="1" s="1"/>
  <c r="Z11" i="1" a="1"/>
  <c r="Z11" i="1" s="1"/>
  <c r="Z13" i="1" a="1"/>
  <c r="Z13" i="1" s="1"/>
  <c r="Z15" i="1" a="1"/>
  <c r="Z15" i="1" s="1"/>
  <c r="Z6" i="1" a="1"/>
  <c r="Z6" i="1" s="1"/>
  <c r="Z10" i="1" a="1"/>
  <c r="Z10" i="1" s="1"/>
  <c r="Z14" i="1" a="1"/>
  <c r="Z14" i="1" s="1"/>
  <c r="Z4" i="1" a="1"/>
  <c r="Z4" i="1" s="1"/>
  <c r="Z8" i="1" a="1"/>
  <c r="Z8" i="1" s="1"/>
  <c r="Z12" i="1" a="1"/>
  <c r="Z12" i="1" s="1"/>
  <c r="Z3" i="1" a="1"/>
  <c r="Z3" i="1" s="1"/>
  <c r="V6" i="1" a="1"/>
  <c r="V6" i="1" s="1"/>
  <c r="V9" i="1" a="1"/>
  <c r="V9" i="1" s="1"/>
  <c r="V14" i="1" a="1"/>
  <c r="V14" i="1" s="1"/>
  <c r="V8" i="1" a="1"/>
  <c r="V8" i="1" s="1"/>
  <c r="V3" i="1" a="1"/>
  <c r="V3" i="1" s="1"/>
  <c r="V4" i="1" a="1"/>
  <c r="V4" i="1" s="1"/>
  <c r="V7" i="1" a="1"/>
  <c r="V7" i="1" s="1"/>
  <c r="V12" i="1" a="1"/>
  <c r="V12" i="1" s="1"/>
  <c r="V15" i="1" a="1"/>
  <c r="V15" i="1" s="1"/>
  <c r="V11" i="1" a="1"/>
  <c r="V11" i="1" s="1"/>
  <c r="V5" i="1" a="1"/>
  <c r="V5" i="1" s="1"/>
  <c r="V10" i="1" a="1"/>
  <c r="V10" i="1" s="1"/>
  <c r="V13" i="1" a="1"/>
  <c r="V13" i="1" s="1"/>
  <c r="J23" i="38"/>
  <c r="J24" i="38"/>
  <c r="H23" i="38"/>
  <c r="H24" i="38"/>
  <c r="D24" i="38"/>
  <c r="D23" i="38"/>
  <c r="I23" i="38"/>
  <c r="I24" i="38"/>
  <c r="E24" i="38"/>
  <c r="E23" i="38"/>
  <c r="C24" i="38"/>
  <c r="C23" i="38"/>
  <c r="F23" i="38"/>
  <c r="F24" i="38"/>
  <c r="B24" i="38"/>
  <c r="B23" i="38"/>
  <c r="G23" i="38"/>
  <c r="G24" i="38"/>
  <c r="Q11" i="1"/>
  <c r="Q7" i="1"/>
  <c r="Q3" i="1"/>
  <c r="Q10" i="1"/>
  <c r="Q6" i="1"/>
  <c r="Q9" i="1"/>
  <c r="Q5" i="1"/>
  <c r="Q8" i="1"/>
  <c r="Q4" i="1"/>
  <c r="I10" i="39" l="1"/>
  <c r="M10" i="39" s="1"/>
  <c r="I5" i="39"/>
  <c r="M5" i="39" s="1"/>
  <c r="I4" i="39"/>
  <c r="M4" i="39" s="1"/>
  <c r="I7" i="39"/>
  <c r="M7" i="39" s="1"/>
  <c r="I9" i="39"/>
  <c r="M9" i="39" s="1"/>
  <c r="I8" i="39"/>
  <c r="M8" i="39" s="1"/>
  <c r="I6" i="39"/>
  <c r="M6" i="39" s="1"/>
  <c r="I2" i="39"/>
  <c r="M2" i="39" s="1"/>
  <c r="I3" i="39"/>
  <c r="M3" i="39" s="1"/>
  <c r="U4" i="1" a="1"/>
  <c r="U4" i="1" s="1"/>
  <c r="U7" i="1" a="1"/>
  <c r="U7" i="1" s="1"/>
  <c r="U12" i="1" a="1"/>
  <c r="U12" i="1" s="1"/>
  <c r="U15" i="1" a="1"/>
  <c r="U15" i="1" s="1"/>
  <c r="U9" i="1" a="1"/>
  <c r="U9" i="1" s="1"/>
  <c r="U5" i="1" a="1"/>
  <c r="U5" i="1" s="1"/>
  <c r="U10" i="1" a="1"/>
  <c r="U10" i="1" s="1"/>
  <c r="U13" i="1" a="1"/>
  <c r="U13" i="1" s="1"/>
  <c r="U11" i="1" a="1"/>
  <c r="U11" i="1" s="1"/>
  <c r="U6" i="1" a="1"/>
  <c r="U6" i="1" s="1"/>
  <c r="U14" i="1" a="1"/>
  <c r="U14" i="1" s="1"/>
  <c r="U8" i="1" a="1"/>
  <c r="U8" i="1" s="1"/>
  <c r="U3" i="1" a="1"/>
  <c r="U3" i="1" s="1"/>
  <c r="N4" i="39" l="1" a="1"/>
  <c r="N4" i="39" s="1"/>
  <c r="N9" i="39" a="1"/>
  <c r="N9" i="39" s="1"/>
  <c r="N12" i="39" a="1"/>
  <c r="N12" i="39" s="1"/>
  <c r="N7" i="39" a="1"/>
  <c r="N7" i="39" s="1"/>
  <c r="N10" i="39" a="1"/>
  <c r="N10" i="39" s="1"/>
  <c r="N2" i="39" a="1"/>
  <c r="N2" i="39" s="1"/>
  <c r="N5" i="39" a="1"/>
  <c r="N5" i="39" s="1"/>
  <c r="N8" i="39" a="1"/>
  <c r="N8" i="39" s="1"/>
  <c r="N13" i="39" a="1"/>
  <c r="N13" i="39" s="1"/>
  <c r="N3" i="39" a="1"/>
  <c r="N3" i="39" s="1"/>
  <c r="N6" i="39" a="1"/>
  <c r="N6" i="39" s="1"/>
  <c r="N11" i="39" a="1"/>
  <c r="N11" i="39" s="1"/>
  <c r="N14" i="39" a="1"/>
  <c r="N14" i="39" s="1"/>
  <c r="U2" i="12"/>
  <c r="U11" i="12" l="1"/>
  <c r="U7" i="12"/>
  <c r="U3" i="12"/>
  <c r="U10" i="12"/>
  <c r="U9" i="12"/>
  <c r="U8" i="12"/>
  <c r="U6" i="12"/>
  <c r="U5" i="12"/>
  <c r="U4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8" i="1"/>
  <c r="S4" i="1"/>
  <c r="S3" i="1"/>
  <c r="S5" i="1" l="1"/>
  <c r="S7" i="1"/>
  <c r="S11" i="1"/>
  <c r="S9" i="1"/>
  <c r="S6" i="1"/>
  <c r="S10" i="1"/>
  <c r="W5" i="1" l="1" a="1"/>
  <c r="W5" i="1" s="1"/>
  <c r="AB5" i="1" s="1"/>
  <c r="W12" i="1" a="1"/>
  <c r="W12" i="1" s="1"/>
  <c r="AB12" i="1" s="1"/>
  <c r="W9" i="1" a="1"/>
  <c r="W9" i="1" s="1"/>
  <c r="W8" i="1" a="1"/>
  <c r="W8" i="1" s="1"/>
  <c r="AB8" i="1" s="1"/>
  <c r="W7" i="1" a="1"/>
  <c r="W7" i="1" s="1"/>
  <c r="AB7" i="1" s="1"/>
  <c r="W6" i="1" a="1"/>
  <c r="W6" i="1" s="1"/>
  <c r="AB6" i="1" s="1"/>
  <c r="W13" i="1" a="1"/>
  <c r="W13" i="1" s="1"/>
  <c r="AB13" i="1" s="1"/>
  <c r="W4" i="1" a="1"/>
  <c r="W4" i="1" s="1"/>
  <c r="AB4" i="1" s="1"/>
  <c r="W15" i="1" a="1"/>
  <c r="W15" i="1" s="1"/>
  <c r="AB15" i="1" s="1"/>
  <c r="W10" i="1" a="1"/>
  <c r="W10" i="1" s="1"/>
  <c r="AB10" i="1" s="1"/>
  <c r="W14" i="1" a="1"/>
  <c r="W14" i="1" s="1"/>
  <c r="AB14" i="1" s="1"/>
  <c r="W11" i="1" a="1"/>
  <c r="W11" i="1" s="1"/>
  <c r="AB11" i="1" s="1"/>
  <c r="W3" i="1" a="1"/>
  <c r="W3" i="1" s="1"/>
  <c r="AB3" i="1" s="1"/>
  <c r="AB9" i="1"/>
  <c r="AC6" i="1" l="1" a="1"/>
  <c r="AC6" i="1" s="1"/>
  <c r="D10" i="40" s="1"/>
  <c r="AC9" i="1" a="1"/>
  <c r="AC9" i="1" s="1"/>
  <c r="D11" i="40" s="1"/>
  <c r="AC14" i="1" a="1"/>
  <c r="AC14" i="1" s="1"/>
  <c r="D17" i="40" s="1"/>
  <c r="AC4" i="1" a="1"/>
  <c r="AC4" i="1" s="1"/>
  <c r="D13" i="40" s="1"/>
  <c r="AC7" i="1" a="1"/>
  <c r="AC7" i="1" s="1"/>
  <c r="D7" i="40" s="1"/>
  <c r="AC12" i="1" a="1"/>
  <c r="AC12" i="1" s="1"/>
  <c r="D15" i="40" s="1"/>
  <c r="AC15" i="1" a="1"/>
  <c r="AC15" i="1" s="1"/>
  <c r="D18" i="40" s="1"/>
  <c r="AC5" i="1" a="1"/>
  <c r="AC5" i="1" s="1"/>
  <c r="D12" i="40" s="1"/>
  <c r="AC10" i="1" a="1"/>
  <c r="AC10" i="1" s="1"/>
  <c r="D8" i="40" s="1"/>
  <c r="AC13" i="1" a="1"/>
  <c r="AC13" i="1" s="1"/>
  <c r="D16" i="40" s="1"/>
  <c r="AC3" i="1" a="1"/>
  <c r="AC3" i="1" s="1"/>
  <c r="D14" i="40" s="1"/>
  <c r="AC8" i="1" a="1"/>
  <c r="AC8" i="1" s="1"/>
  <c r="D6" i="40" s="1"/>
  <c r="AC11" i="1" a="1"/>
  <c r="AC11" i="1" s="1"/>
  <c r="D9" i="40" s="1"/>
  <c r="E7" i="49" l="1"/>
  <c r="E4" i="49"/>
  <c r="E10" i="49"/>
  <c r="E11" i="49"/>
  <c r="E12" i="49"/>
  <c r="E16" i="49"/>
  <c r="E15" i="49"/>
  <c r="E14" i="49"/>
  <c r="E13" i="49"/>
  <c r="E9" i="49"/>
  <c r="E6" i="49"/>
  <c r="E5" i="49"/>
  <c r="E8" i="49"/>
  <c r="S11" i="42"/>
  <c r="S9" i="42" l="1"/>
  <c r="S3" i="42"/>
  <c r="S5" i="42"/>
  <c r="S7" i="42"/>
  <c r="S8" i="42"/>
  <c r="S4" i="42"/>
  <c r="U5" i="42" l="1" a="1"/>
  <c r="U5" i="42" s="1"/>
  <c r="L12" i="40" s="1"/>
  <c r="U10" i="42" a="1"/>
  <c r="U10" i="42" s="1"/>
  <c r="L8" i="40" s="1"/>
  <c r="U13" i="42" a="1"/>
  <c r="U13" i="42" s="1"/>
  <c r="L16" i="40" s="1"/>
  <c r="U4" i="42" a="1"/>
  <c r="U4" i="42" s="1"/>
  <c r="L13" i="40" s="1"/>
  <c r="U15" i="42" a="1"/>
  <c r="U15" i="42" s="1"/>
  <c r="L18" i="40" s="1"/>
  <c r="U8" i="42" a="1"/>
  <c r="U8" i="42" s="1"/>
  <c r="L6" i="40" s="1"/>
  <c r="U11" i="42" a="1"/>
  <c r="U11" i="42" s="1"/>
  <c r="L9" i="40" s="1"/>
  <c r="U3" i="42" a="1"/>
  <c r="U3" i="42" s="1"/>
  <c r="L14" i="40" s="1"/>
  <c r="U7" i="42" a="1"/>
  <c r="U7" i="42" s="1"/>
  <c r="L7" i="40" s="1"/>
  <c r="U6" i="42" a="1"/>
  <c r="U6" i="42" s="1"/>
  <c r="L10" i="40" s="1"/>
  <c r="U9" i="42" a="1"/>
  <c r="U9" i="42" s="1"/>
  <c r="L11" i="40" s="1"/>
  <c r="U14" i="42" a="1"/>
  <c r="U14" i="42" s="1"/>
  <c r="L17" i="40" s="1"/>
  <c r="U12" i="42" a="1"/>
  <c r="U12" i="42" s="1"/>
  <c r="L15" i="40" s="1"/>
  <c r="K8" i="49" l="1"/>
  <c r="I12" i="55"/>
  <c r="P12" i="55" s="1"/>
  <c r="K5" i="49"/>
  <c r="I13" i="55"/>
  <c r="P13" i="55" s="1"/>
  <c r="K10" i="49"/>
  <c r="I11" i="55"/>
  <c r="P11" i="55" s="1"/>
  <c r="K15" i="49"/>
  <c r="I20" i="55"/>
  <c r="P20" i="55" s="1"/>
  <c r="K12" i="49"/>
  <c r="I9" i="55"/>
  <c r="K11" i="49"/>
  <c r="I10" i="55"/>
  <c r="P10" i="55" s="1"/>
  <c r="K13" i="49"/>
  <c r="I18" i="55"/>
  <c r="P18" i="55" s="1"/>
  <c r="K16" i="49"/>
  <c r="I21" i="55"/>
  <c r="P21" i="55" s="1"/>
  <c r="K9" i="49"/>
  <c r="I15" i="55"/>
  <c r="P15" i="55" s="1"/>
  <c r="K7" i="49"/>
  <c r="I17" i="55"/>
  <c r="P17" i="55" s="1"/>
  <c r="K14" i="49"/>
  <c r="I19" i="55"/>
  <c r="P19" i="55" s="1"/>
  <c r="K6" i="49"/>
  <c r="I16" i="55"/>
  <c r="P16" i="55" s="1"/>
  <c r="K4" i="49"/>
  <c r="I14" i="55"/>
  <c r="P14" i="55" s="1"/>
  <c r="U1" i="28"/>
  <c r="T1" i="28"/>
  <c r="S1" i="28"/>
  <c r="V12" i="28" l="1"/>
  <c r="V14" i="28"/>
  <c r="V13" i="28"/>
  <c r="V15" i="28"/>
  <c r="U11" i="28"/>
  <c r="U10" i="28" l="1"/>
  <c r="U9" i="28" l="1"/>
  <c r="U8" i="28" l="1"/>
  <c r="U7" i="28" l="1"/>
  <c r="U6" i="28" l="1"/>
  <c r="V6" i="28" l="1"/>
  <c r="U5" i="28" l="1"/>
  <c r="U4" i="28" l="1"/>
  <c r="U3" i="28" l="1"/>
  <c r="T3" i="28" l="1"/>
  <c r="N17" i="8" l="1"/>
  <c r="V8" i="28" l="1"/>
  <c r="N4" i="28"/>
  <c r="V5" i="28"/>
  <c r="N9" i="28"/>
  <c r="N11" i="28"/>
  <c r="N6" i="28"/>
  <c r="N10" i="28"/>
  <c r="N3" i="28"/>
  <c r="N7" i="28"/>
  <c r="N16" i="8"/>
  <c r="V4" i="28"/>
  <c r="V10" i="28"/>
  <c r="S3" i="28"/>
  <c r="V3" i="28" s="1"/>
  <c r="V7" i="28"/>
  <c r="O13" i="8"/>
  <c r="O21" i="8" s="1"/>
  <c r="N5" i="28" l="1"/>
  <c r="N8" i="28"/>
  <c r="V11" i="28"/>
  <c r="V9" i="28"/>
  <c r="X5" i="28" s="1"/>
  <c r="I12" i="40" s="1"/>
  <c r="N22" i="8"/>
  <c r="N21" i="8"/>
  <c r="X11" i="28" l="1"/>
  <c r="I9" i="40" s="1"/>
  <c r="I7" i="49" s="1"/>
  <c r="I10" i="49"/>
  <c r="H11" i="55"/>
  <c r="N11" i="55" s="1"/>
  <c r="X12" i="28"/>
  <c r="I15" i="40" s="1"/>
  <c r="X8" i="28"/>
  <c r="I6" i="40" s="1"/>
  <c r="X7" i="28"/>
  <c r="I7" i="40" s="1"/>
  <c r="X13" i="28"/>
  <c r="I16" i="40" s="1"/>
  <c r="X4" i="28"/>
  <c r="I13" i="40" s="1"/>
  <c r="X14" i="28"/>
  <c r="I17" i="40" s="1"/>
  <c r="X9" i="28"/>
  <c r="I11" i="40" s="1"/>
  <c r="X15" i="28"/>
  <c r="I18" i="40" s="1"/>
  <c r="X10" i="28"/>
  <c r="I8" i="40" s="1"/>
  <c r="X6" i="28"/>
  <c r="I10" i="40" s="1"/>
  <c r="X3" i="28"/>
  <c r="I14" i="40" s="1"/>
  <c r="H17" i="55" l="1"/>
  <c r="N17" i="55" s="1"/>
  <c r="I16" i="49"/>
  <c r="H21" i="55"/>
  <c r="N21" i="55" s="1"/>
  <c r="I14" i="49"/>
  <c r="H19" i="55"/>
  <c r="N19" i="55" s="1"/>
  <c r="I12" i="49"/>
  <c r="H9" i="55"/>
  <c r="N9" i="55" s="1"/>
  <c r="I9" i="49"/>
  <c r="H15" i="55"/>
  <c r="N15" i="55" s="1"/>
  <c r="I5" i="49"/>
  <c r="H13" i="55"/>
  <c r="N13" i="55" s="1"/>
  <c r="I8" i="49"/>
  <c r="H12" i="55"/>
  <c r="N12" i="55" s="1"/>
  <c r="I15" i="49"/>
  <c r="H20" i="55"/>
  <c r="N20" i="55" s="1"/>
  <c r="I4" i="49"/>
  <c r="H14" i="55"/>
  <c r="N14" i="55" s="1"/>
  <c r="I6" i="49"/>
  <c r="H16" i="55"/>
  <c r="N16" i="55" s="1"/>
  <c r="I11" i="49"/>
  <c r="H10" i="55"/>
  <c r="N10" i="55" s="1"/>
  <c r="I13" i="49"/>
  <c r="H18" i="55"/>
  <c r="N18" i="55" s="1"/>
  <c r="I140" i="15"/>
  <c r="J140" i="15"/>
  <c r="H140" i="15"/>
  <c r="B140" i="15"/>
  <c r="G140" i="15"/>
  <c r="F140" i="15"/>
  <c r="E140" i="15"/>
  <c r="C140" i="15"/>
  <c r="D140" i="15"/>
  <c r="N22" i="55" l="1"/>
  <c r="AC2" i="12"/>
  <c r="AD2" i="12"/>
  <c r="O17" i="55" l="1"/>
  <c r="O11" i="55"/>
  <c r="O13" i="55"/>
  <c r="O9" i="55"/>
  <c r="O16" i="55"/>
  <c r="O10" i="55"/>
  <c r="O19" i="55"/>
  <c r="O20" i="55"/>
  <c r="O21" i="55"/>
  <c r="O18" i="55"/>
  <c r="O14" i="55"/>
  <c r="O15" i="55"/>
  <c r="O12" i="55"/>
  <c r="G23" i="18"/>
  <c r="G25" i="18" s="1" a="1"/>
  <c r="G25" i="18" s="1"/>
  <c r="K7" i="39" s="1"/>
  <c r="B23" i="18"/>
  <c r="H23" i="18"/>
  <c r="H25" i="18" s="1" a="1"/>
  <c r="H25" i="18" s="1"/>
  <c r="K8" i="39" s="1"/>
  <c r="C23" i="18"/>
  <c r="C25" i="18" s="1" a="1"/>
  <c r="C25" i="18" s="1"/>
  <c r="K3" i="39" s="1"/>
  <c r="I23" i="18"/>
  <c r="I25" i="18" s="1" a="1"/>
  <c r="I25" i="18" s="1"/>
  <c r="K9" i="39" s="1"/>
  <c r="J23" i="18"/>
  <c r="J25" i="18" s="1" a="1"/>
  <c r="J25" i="18" s="1"/>
  <c r="K10" i="39" s="1"/>
  <c r="E23" i="18"/>
  <c r="D23" i="18"/>
  <c r="F23" i="18"/>
  <c r="F25" i="18" s="1" a="1"/>
  <c r="F25" i="18" s="1"/>
  <c r="K6" i="39" s="1"/>
  <c r="D25" i="18" l="1" a="1"/>
  <c r="D25" i="18" s="1"/>
  <c r="K4" i="39" s="1"/>
  <c r="E25" i="18" a="1"/>
  <c r="E25" i="18" s="1"/>
  <c r="K5" i="39" s="1"/>
  <c r="B25" i="18" a="1"/>
  <c r="B25" i="18" s="1"/>
  <c r="K2" i="39" s="1"/>
  <c r="P3" i="39" l="1" a="1"/>
  <c r="P3" i="39" s="1"/>
  <c r="R3" i="39" s="1"/>
  <c r="P6" i="39" a="1"/>
  <c r="P6" i="39" s="1"/>
  <c r="R6" i="39" s="1"/>
  <c r="P11" i="39" a="1"/>
  <c r="P11" i="39" s="1"/>
  <c r="R11" i="39" s="1"/>
  <c r="P14" i="39" a="1"/>
  <c r="P14" i="39" s="1"/>
  <c r="R14" i="39" s="1"/>
  <c r="P4" i="39" a="1"/>
  <c r="P4" i="39" s="1"/>
  <c r="R4" i="39" s="1"/>
  <c r="P9" i="39" a="1"/>
  <c r="P9" i="39" s="1"/>
  <c r="R9" i="39" s="1"/>
  <c r="P12" i="39" a="1"/>
  <c r="P12" i="39" s="1"/>
  <c r="R12" i="39" s="1"/>
  <c r="P7" i="39" a="1"/>
  <c r="P7" i="39" s="1"/>
  <c r="R7" i="39" s="1"/>
  <c r="P10" i="39" a="1"/>
  <c r="P10" i="39" s="1"/>
  <c r="R10" i="39" s="1"/>
  <c r="P2" i="39" a="1"/>
  <c r="P2" i="39" s="1"/>
  <c r="R2" i="39" s="1"/>
  <c r="P5" i="39" a="1"/>
  <c r="P5" i="39" s="1"/>
  <c r="R5" i="39" s="1"/>
  <c r="P8" i="39" a="1"/>
  <c r="P8" i="39" s="1"/>
  <c r="R8" i="39" s="1"/>
  <c r="P13" i="39" a="1"/>
  <c r="P13" i="39" s="1"/>
  <c r="R13" i="39" s="1"/>
  <c r="B133" i="15"/>
  <c r="H4" i="13" s="1"/>
  <c r="S5" i="39" l="1" a="1"/>
  <c r="S5" i="39" s="1"/>
  <c r="E10" i="40" s="1"/>
  <c r="S8" i="39" a="1"/>
  <c r="S8" i="39" s="1"/>
  <c r="E11" i="40" s="1"/>
  <c r="S13" i="39" a="1"/>
  <c r="S13" i="39" s="1"/>
  <c r="E17" i="40" s="1"/>
  <c r="S3" i="39" a="1"/>
  <c r="S3" i="39" s="1"/>
  <c r="E13" i="40" s="1"/>
  <c r="S6" i="39" a="1"/>
  <c r="S6" i="39" s="1"/>
  <c r="E7" i="40" s="1"/>
  <c r="S11" i="39" a="1"/>
  <c r="S11" i="39" s="1"/>
  <c r="E15" i="40" s="1"/>
  <c r="S14" i="39" a="1"/>
  <c r="S14" i="39" s="1"/>
  <c r="E18" i="40" s="1"/>
  <c r="S4" i="39" a="1"/>
  <c r="S4" i="39" s="1"/>
  <c r="E12" i="40" s="1"/>
  <c r="S9" i="39" a="1"/>
  <c r="S9" i="39" s="1"/>
  <c r="E8" i="40" s="1"/>
  <c r="S12" i="39" a="1"/>
  <c r="S12" i="39" s="1"/>
  <c r="E16" i="40" s="1"/>
  <c r="S7" i="39" a="1"/>
  <c r="S7" i="39" s="1"/>
  <c r="E6" i="40" s="1"/>
  <c r="S10" i="39" a="1"/>
  <c r="S10" i="39" s="1"/>
  <c r="E9" i="40" s="1"/>
  <c r="S2" i="39" a="1"/>
  <c r="S2" i="39" s="1"/>
  <c r="E14" i="40" s="1"/>
  <c r="D133" i="15"/>
  <c r="H6" i="13" s="1"/>
  <c r="J133" i="15"/>
  <c r="H12" i="13" s="1"/>
  <c r="I133" i="15"/>
  <c r="H11" i="13" s="1"/>
  <c r="G133" i="15"/>
  <c r="H9" i="13" s="1"/>
  <c r="F133" i="15"/>
  <c r="H8" i="13" s="1"/>
  <c r="H133" i="15"/>
  <c r="H10" i="13" s="1"/>
  <c r="E133" i="15"/>
  <c r="H7" i="13" s="1"/>
  <c r="C133" i="15"/>
  <c r="H5" i="13" s="1"/>
  <c r="F7" i="49" l="1"/>
  <c r="F10" i="49"/>
  <c r="F11" i="49"/>
  <c r="F4" i="49"/>
  <c r="F16" i="49"/>
  <c r="F15" i="49"/>
  <c r="F14" i="49"/>
  <c r="F13" i="49"/>
  <c r="F9" i="49"/>
  <c r="F12" i="49"/>
  <c r="F6" i="49"/>
  <c r="F5" i="49"/>
  <c r="F8" i="49"/>
  <c r="M5" i="13"/>
  <c r="M9" i="13"/>
  <c r="M12" i="13"/>
  <c r="M7" i="13"/>
  <c r="M11" i="13"/>
  <c r="M13" i="13"/>
  <c r="M15" i="13"/>
  <c r="M10" i="13"/>
  <c r="M8" i="13"/>
  <c r="M6" i="13"/>
  <c r="M14" i="13"/>
  <c r="M16" i="13"/>
  <c r="M4" i="13"/>
  <c r="E132" i="5" l="1"/>
  <c r="E7" i="13" s="1"/>
  <c r="J7" i="13" s="1"/>
  <c r="F132" i="5"/>
  <c r="E8" i="13" s="1"/>
  <c r="J8" i="13" s="1"/>
  <c r="G132" i="5"/>
  <c r="E9" i="13" s="1"/>
  <c r="J9" i="13" s="1"/>
  <c r="H132" i="5"/>
  <c r="E10" i="13" s="1"/>
  <c r="J10" i="13" s="1"/>
  <c r="I132" i="5"/>
  <c r="E11" i="13" s="1"/>
  <c r="J11" i="13" s="1"/>
  <c r="J132" i="5"/>
  <c r="E12" i="13" s="1"/>
  <c r="J12" i="13" s="1"/>
  <c r="D132" i="5" l="1"/>
  <c r="E6" i="13" s="1"/>
  <c r="J6" i="13" s="1"/>
  <c r="C132" i="5"/>
  <c r="E5" i="13" s="1"/>
  <c r="B132" i="5"/>
  <c r="E4" i="13" s="1"/>
  <c r="J4" i="13" s="1"/>
  <c r="L5" i="13" l="1"/>
  <c r="J5" i="13"/>
  <c r="K5" i="13" s="1"/>
  <c r="K6" i="13"/>
  <c r="K7" i="13"/>
  <c r="K8" i="13"/>
  <c r="K9" i="13"/>
  <c r="K10" i="13"/>
  <c r="K11" i="13"/>
  <c r="K12" i="13"/>
  <c r="L9" i="13"/>
  <c r="L12" i="13"/>
  <c r="L6" i="13"/>
  <c r="L8" i="13"/>
  <c r="L7" i="13"/>
  <c r="L4" i="13"/>
  <c r="L13" i="13"/>
  <c r="P13" i="13" s="1"/>
  <c r="L14" i="13"/>
  <c r="P14" i="13" s="1"/>
  <c r="L15" i="13"/>
  <c r="P15" i="13" s="1"/>
  <c r="L16" i="13"/>
  <c r="P16" i="13" s="1"/>
  <c r="L11" i="13"/>
  <c r="L10" i="13"/>
  <c r="Z2" i="12"/>
  <c r="AB2" i="12"/>
  <c r="AA2" i="12"/>
  <c r="W2" i="12"/>
  <c r="X2" i="12"/>
  <c r="V2" i="12"/>
  <c r="AH2" i="12" l="1"/>
  <c r="K14" i="13"/>
  <c r="K13" i="13"/>
  <c r="K16" i="13"/>
  <c r="K15" i="13"/>
  <c r="K4" i="13"/>
  <c r="P5" i="13"/>
  <c r="P11" i="13"/>
  <c r="P7" i="13"/>
  <c r="P10" i="13"/>
  <c r="P4" i="13"/>
  <c r="P9" i="13"/>
  <c r="P6" i="13"/>
  <c r="P8" i="13"/>
  <c r="P12" i="13"/>
  <c r="R5" i="13" l="1" a="1"/>
  <c r="R5" i="13" s="1"/>
  <c r="F13" i="40" s="1"/>
  <c r="R8" i="13" a="1"/>
  <c r="R8" i="13" s="1"/>
  <c r="F7" i="40" s="1"/>
  <c r="R13" i="13" a="1"/>
  <c r="R13" i="13" s="1"/>
  <c r="F15" i="40" s="1"/>
  <c r="R16" i="13" a="1"/>
  <c r="R16" i="13" s="1"/>
  <c r="F18" i="40" s="1"/>
  <c r="R6" i="13" a="1"/>
  <c r="R6" i="13" s="1"/>
  <c r="F12" i="40" s="1"/>
  <c r="R11" i="13" a="1"/>
  <c r="R11" i="13" s="1"/>
  <c r="F8" i="40" s="1"/>
  <c r="R14" i="13" a="1"/>
  <c r="R14" i="13" s="1"/>
  <c r="F16" i="40" s="1"/>
  <c r="R9" i="13" a="1"/>
  <c r="R9" i="13" s="1"/>
  <c r="F6" i="40" s="1"/>
  <c r="R12" i="13" a="1"/>
  <c r="R12" i="13" s="1"/>
  <c r="F9" i="40" s="1"/>
  <c r="R4" i="13" a="1"/>
  <c r="R4" i="13" s="1"/>
  <c r="F14" i="40" s="1"/>
  <c r="R7" i="13" a="1"/>
  <c r="R7" i="13" s="1"/>
  <c r="F10" i="40" s="1"/>
  <c r="R10" i="13" a="1"/>
  <c r="R10" i="13" s="1"/>
  <c r="F11" i="40" s="1"/>
  <c r="R15" i="13" a="1"/>
  <c r="R15" i="13" s="1"/>
  <c r="F17" i="40" s="1"/>
  <c r="I4" i="12"/>
  <c r="H3" i="12"/>
  <c r="K14" i="40" s="1"/>
  <c r="I8" i="12"/>
  <c r="H4" i="12"/>
  <c r="K13" i="40" s="1"/>
  <c r="H10" i="12"/>
  <c r="K8" i="40" l="1"/>
  <c r="C24" i="59"/>
  <c r="G15" i="49"/>
  <c r="G17" i="40"/>
  <c r="G9" i="49"/>
  <c r="G11" i="40"/>
  <c r="G4" i="49"/>
  <c r="G6" i="40"/>
  <c r="G16" i="49"/>
  <c r="G18" i="40"/>
  <c r="G8" i="49"/>
  <c r="G10" i="40"/>
  <c r="G14" i="49"/>
  <c r="G16" i="40"/>
  <c r="G13" i="49"/>
  <c r="G15" i="40"/>
  <c r="G12" i="49"/>
  <c r="G14" i="40"/>
  <c r="G6" i="49"/>
  <c r="G8" i="40"/>
  <c r="G5" i="49"/>
  <c r="G7" i="40"/>
  <c r="G7" i="49"/>
  <c r="G9" i="40"/>
  <c r="G10" i="49"/>
  <c r="G12" i="40"/>
  <c r="G11" i="49"/>
  <c r="G13" i="40"/>
  <c r="P9" i="55"/>
  <c r="J4" i="12"/>
  <c r="I10" i="12"/>
  <c r="I11" i="12"/>
  <c r="H5" i="12"/>
  <c r="K12" i="40" s="1"/>
  <c r="I9" i="12"/>
  <c r="I7" i="12"/>
  <c r="I5" i="12"/>
  <c r="H11" i="12"/>
  <c r="K9" i="40" s="1"/>
  <c r="I3" i="12"/>
  <c r="J3" i="12" s="1"/>
  <c r="H6" i="12"/>
  <c r="K10" i="40" s="1"/>
  <c r="H8" i="12"/>
  <c r="K6" i="40" s="1"/>
  <c r="I6" i="12"/>
  <c r="H7" i="12"/>
  <c r="K7" i="40" s="1"/>
  <c r="H9" i="12"/>
  <c r="K11" i="40" s="1"/>
  <c r="P22" i="55" l="1"/>
  <c r="Q9" i="55" s="1"/>
  <c r="H8" i="40" a="1"/>
  <c r="H8" i="40" s="1"/>
  <c r="G16" i="55" s="1"/>
  <c r="H13" i="40" a="1"/>
  <c r="H13" i="40" s="1"/>
  <c r="G10" i="55" s="1"/>
  <c r="H16" i="40" a="1"/>
  <c r="H16" i="40" s="1"/>
  <c r="G19" i="55" s="1"/>
  <c r="H11" i="40" a="1"/>
  <c r="H11" i="40" s="1"/>
  <c r="G15" i="55" s="1"/>
  <c r="H14" i="40" a="1"/>
  <c r="H14" i="40" s="1"/>
  <c r="G9" i="55" s="1"/>
  <c r="H6" i="40" a="1"/>
  <c r="H6" i="40" s="1"/>
  <c r="G14" i="55" s="1"/>
  <c r="L14" i="55" s="1"/>
  <c r="H9" i="40" a="1"/>
  <c r="H9" i="40" s="1"/>
  <c r="G17" i="55" s="1"/>
  <c r="H12" i="40" a="1"/>
  <c r="H12" i="40" s="1"/>
  <c r="G11" i="55" s="1"/>
  <c r="H17" i="40" a="1"/>
  <c r="H17" i="40" s="1"/>
  <c r="G20" i="55" s="1"/>
  <c r="H7" i="40" a="1"/>
  <c r="H7" i="40" s="1"/>
  <c r="G13" i="55" s="1"/>
  <c r="H10" i="40" a="1"/>
  <c r="H10" i="40" s="1"/>
  <c r="G12" i="55" s="1"/>
  <c r="H15" i="40" a="1"/>
  <c r="H15" i="40" s="1"/>
  <c r="G18" i="55" s="1"/>
  <c r="H18" i="40" a="1"/>
  <c r="H18" i="40" s="1"/>
  <c r="G21" i="55" s="1"/>
  <c r="J10" i="12"/>
  <c r="E24" i="59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H4" i="49" l="1"/>
  <c r="Q16" i="55"/>
  <c r="Q14" i="55"/>
  <c r="Q17" i="55"/>
  <c r="Q15" i="55"/>
  <c r="Q18" i="55"/>
  <c r="Q10" i="55"/>
  <c r="Q20" i="55"/>
  <c r="Q12" i="55"/>
  <c r="Q19" i="55"/>
  <c r="Q21" i="55"/>
  <c r="Q11" i="55"/>
  <c r="Q13" i="55"/>
  <c r="AB7" i="12" a="1"/>
  <c r="AB7" i="12" s="1"/>
  <c r="AH7" i="12" s="1"/>
  <c r="H16" i="49"/>
  <c r="L21" i="55"/>
  <c r="H9" i="49"/>
  <c r="L15" i="55"/>
  <c r="H8" i="49"/>
  <c r="L12" i="55"/>
  <c r="H15" i="49"/>
  <c r="L20" i="55"/>
  <c r="H6" i="49"/>
  <c r="L16" i="55"/>
  <c r="H5" i="49"/>
  <c r="L13" i="55"/>
  <c r="H13" i="49"/>
  <c r="L18" i="55"/>
  <c r="H10" i="49"/>
  <c r="L11" i="55"/>
  <c r="H14" i="49"/>
  <c r="L19" i="55"/>
  <c r="H7" i="49"/>
  <c r="L17" i="55"/>
  <c r="H12" i="49"/>
  <c r="L9" i="55"/>
  <c r="H11" i="49"/>
  <c r="L10" i="55"/>
  <c r="AB14" i="12" a="1"/>
  <c r="AB14" i="12" s="1"/>
  <c r="AH14" i="12" s="1"/>
  <c r="AB11" i="12" a="1"/>
  <c r="AB11" i="12" s="1"/>
  <c r="AH11" i="12" s="1"/>
  <c r="AB5" i="12" a="1"/>
  <c r="AB5" i="12" s="1"/>
  <c r="AH5" i="12" s="1"/>
  <c r="AB4" i="12" a="1"/>
  <c r="AB4" i="12" s="1"/>
  <c r="AH4" i="12" s="1"/>
  <c r="AB9" i="12" a="1"/>
  <c r="AB9" i="12" s="1"/>
  <c r="AH9" i="12" s="1"/>
  <c r="AB8" i="12" a="1"/>
  <c r="AB8" i="12" s="1"/>
  <c r="AH8" i="12" s="1"/>
  <c r="AB15" i="12" a="1"/>
  <c r="AB15" i="12" s="1"/>
  <c r="AH15" i="12" s="1"/>
  <c r="AB6" i="12" a="1"/>
  <c r="AB6" i="12" s="1"/>
  <c r="AH6" i="12" s="1"/>
  <c r="AB13" i="12" a="1"/>
  <c r="AB13" i="12" s="1"/>
  <c r="AK13" i="12" s="1"/>
  <c r="AB12" i="12" a="1"/>
  <c r="AB12" i="12" s="1"/>
  <c r="AK12" i="12" s="1"/>
  <c r="AB3" i="12" a="1"/>
  <c r="AB3" i="12" s="1"/>
  <c r="AK3" i="12" s="1"/>
  <c r="AB10" i="12" a="1"/>
  <c r="AB10" i="12" s="1"/>
  <c r="AK10" i="12" s="1"/>
  <c r="AK7" i="12" l="1"/>
  <c r="AH10" i="12"/>
  <c r="AH12" i="12"/>
  <c r="AH13" i="12"/>
  <c r="AH3" i="12"/>
  <c r="AK8" i="12"/>
  <c r="AK15" i="12"/>
  <c r="AK14" i="12"/>
  <c r="L22" i="55"/>
  <c r="M14" i="55" s="1"/>
  <c r="AK11" i="12"/>
  <c r="AK4" i="12"/>
  <c r="AK6" i="12"/>
  <c r="AK9" i="12"/>
  <c r="AK5" i="12"/>
  <c r="AJ6" i="12" l="1" a="1"/>
  <c r="AJ6" i="12" s="1"/>
  <c r="J10" i="40" s="1"/>
  <c r="J8" i="49" s="1"/>
  <c r="AJ9" i="12" a="1"/>
  <c r="AJ9" i="12" s="1"/>
  <c r="AJ15" i="12" a="1"/>
  <c r="AJ15" i="12" s="1"/>
  <c r="AJ5" i="12" a="1"/>
  <c r="AJ5" i="12" s="1"/>
  <c r="AJ13" i="12" a="1"/>
  <c r="AJ13" i="12" s="1"/>
  <c r="M16" i="55"/>
  <c r="AJ7" i="12" a="1"/>
  <c r="AJ7" i="12" s="1"/>
  <c r="M17" i="55"/>
  <c r="AJ11" i="12" a="1"/>
  <c r="AJ11" i="12" s="1"/>
  <c r="AJ12" i="12" a="1"/>
  <c r="AJ12" i="12" s="1"/>
  <c r="M18" i="55"/>
  <c r="AJ14" i="12" a="1"/>
  <c r="AJ14" i="12" s="1"/>
  <c r="J17" i="40" s="1"/>
  <c r="AJ4" i="12" a="1"/>
  <c r="AJ4" i="12" s="1"/>
  <c r="J13" i="40" s="1"/>
  <c r="M12" i="55"/>
  <c r="M9" i="55"/>
  <c r="M15" i="55"/>
  <c r="M20" i="55"/>
  <c r="AJ10" i="12" a="1"/>
  <c r="AJ10" i="12" s="1"/>
  <c r="J8" i="40" s="1"/>
  <c r="M13" i="55"/>
  <c r="AJ3" i="12" a="1"/>
  <c r="AJ3" i="12" s="1"/>
  <c r="J14" i="40" s="1"/>
  <c r="AJ8" i="12" a="1"/>
  <c r="AJ8" i="12" s="1"/>
  <c r="M21" i="55"/>
  <c r="M19" i="55"/>
  <c r="M10" i="55"/>
  <c r="M11" i="55"/>
  <c r="M10" i="40" l="1"/>
  <c r="F12" i="55"/>
  <c r="J12" i="55" s="1"/>
  <c r="J7" i="40"/>
  <c r="J5" i="49" s="1"/>
  <c r="J16" i="40"/>
  <c r="F19" i="55" s="1"/>
  <c r="J19" i="55" s="1"/>
  <c r="J12" i="40"/>
  <c r="M12" i="40" s="1"/>
  <c r="J15" i="40"/>
  <c r="F18" i="55" s="1"/>
  <c r="J18" i="55" s="1"/>
  <c r="J18" i="40"/>
  <c r="M18" i="40" s="1"/>
  <c r="J9" i="40"/>
  <c r="M9" i="40" s="1"/>
  <c r="J11" i="40"/>
  <c r="F15" i="55" s="1"/>
  <c r="J15" i="55" s="1"/>
  <c r="J6" i="40"/>
  <c r="M6" i="40" s="1"/>
  <c r="J14" i="49"/>
  <c r="M7" i="40"/>
  <c r="F13" i="55"/>
  <c r="J13" i="55" s="1"/>
  <c r="J6" i="49"/>
  <c r="F16" i="55"/>
  <c r="J16" i="55" s="1"/>
  <c r="M8" i="40"/>
  <c r="J11" i="49"/>
  <c r="F10" i="55"/>
  <c r="J10" i="55" s="1"/>
  <c r="M13" i="40"/>
  <c r="J15" i="49"/>
  <c r="F20" i="55"/>
  <c r="J20" i="55" s="1"/>
  <c r="M17" i="40"/>
  <c r="J12" i="49"/>
  <c r="F9" i="55"/>
  <c r="J9" i="55" s="1"/>
  <c r="M14" i="40"/>
  <c r="M16" i="40" l="1"/>
  <c r="J10" i="49"/>
  <c r="F11" i="55"/>
  <c r="J11" i="55" s="1"/>
  <c r="F17" i="55"/>
  <c r="J17" i="55" s="1"/>
  <c r="J7" i="49"/>
  <c r="M15" i="40"/>
  <c r="F21" i="55"/>
  <c r="J21" i="55" s="1"/>
  <c r="J16" i="49"/>
  <c r="J13" i="49"/>
  <c r="M11" i="40"/>
  <c r="J9" i="49"/>
  <c r="F14" i="55"/>
  <c r="J14" i="55" s="1"/>
  <c r="J4" i="49"/>
  <c r="N6" i="40" l="1" a="1"/>
  <c r="N6" i="40" s="1"/>
  <c r="L4" i="49" s="1"/>
  <c r="N12" i="40" a="1"/>
  <c r="N12" i="40" s="1"/>
  <c r="L10" i="49" s="1"/>
  <c r="N10" i="40" a="1"/>
  <c r="N10" i="40" s="1"/>
  <c r="L8" i="49" s="1"/>
  <c r="J22" i="55"/>
  <c r="K14" i="55" s="1"/>
  <c r="R14" i="55" s="1"/>
  <c r="N16" i="40" a="1"/>
  <c r="N16" i="40" s="1"/>
  <c r="L14" i="49" s="1"/>
  <c r="N17" i="40" a="1"/>
  <c r="N17" i="40" s="1"/>
  <c r="L15" i="49" s="1"/>
  <c r="N18" i="40" a="1"/>
  <c r="N18" i="40" s="1"/>
  <c r="L16" i="49" s="1"/>
  <c r="N13" i="40" a="1"/>
  <c r="N13" i="40" s="1"/>
  <c r="L11" i="49" s="1"/>
  <c r="N9" i="40" a="1"/>
  <c r="N9" i="40" s="1"/>
  <c r="L7" i="49" s="1"/>
  <c r="N11" i="40" a="1"/>
  <c r="N11" i="40" s="1"/>
  <c r="L9" i="49" s="1"/>
  <c r="N8" i="40" a="1"/>
  <c r="N8" i="40" s="1"/>
  <c r="L6" i="49" s="1"/>
  <c r="N15" i="40" a="1"/>
  <c r="N15" i="40" s="1"/>
  <c r="L13" i="49" s="1"/>
  <c r="N14" i="40" a="1"/>
  <c r="N14" i="40" s="1"/>
  <c r="L12" i="49" s="1"/>
  <c r="N7" i="40" a="1"/>
  <c r="N7" i="40" s="1"/>
  <c r="L5" i="49" s="1"/>
  <c r="K10" i="55"/>
  <c r="R10" i="55" s="1"/>
  <c r="K20" i="55"/>
  <c r="R20" i="55" s="1"/>
  <c r="K16" i="55"/>
  <c r="R16" i="55" s="1"/>
  <c r="K19" i="55"/>
  <c r="R19" i="55" s="1"/>
  <c r="K13" i="55"/>
  <c r="R13" i="55" s="1"/>
  <c r="K17" i="55"/>
  <c r="R17" i="55" s="1"/>
  <c r="K21" i="55"/>
  <c r="R21" i="55" s="1"/>
  <c r="K12" i="55"/>
  <c r="R12" i="55" s="1"/>
  <c r="K15" i="55"/>
  <c r="R15" i="55" s="1"/>
  <c r="K11" i="55"/>
  <c r="R11" i="55" s="1"/>
  <c r="K18" i="55"/>
  <c r="R18" i="55" s="1"/>
  <c r="K9" i="55"/>
  <c r="R9" i="55" s="1"/>
  <c r="S18" i="55" l="1"/>
  <c r="S15" i="55"/>
  <c r="S12" i="55"/>
  <c r="S11" i="55"/>
  <c r="S17" i="55"/>
  <c r="S13" i="55"/>
  <c r="S16" i="55"/>
  <c r="S20" i="55"/>
  <c r="S10" i="55"/>
  <c r="S21" i="55"/>
  <c r="S19" i="55"/>
  <c r="S14" i="55"/>
  <c r="R3" i="55"/>
  <c r="S9" i="55"/>
  <c r="S3" i="55" l="1"/>
  <c r="E13" i="59"/>
  <c r="E12" i="59"/>
  <c r="E15" i="59"/>
  <c r="E16" i="59"/>
  <c r="E8" i="59"/>
  <c r="E9" i="59"/>
  <c r="E11" i="59"/>
  <c r="E10" i="59"/>
  <c r="E17" i="59"/>
  <c r="E14" i="59"/>
  <c r="K35" i="59" l="1"/>
  <c r="O35" i="59" s="1"/>
  <c r="K39" i="59"/>
  <c r="O39" i="59" s="1"/>
  <c r="K38" i="59"/>
  <c r="O38" i="59" s="1"/>
  <c r="K37" i="59"/>
  <c r="O37" i="59" s="1"/>
  <c r="K36" i="59"/>
  <c r="O36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3CF43430-B7F3-4480-9E3F-D416A913C781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Timestamp="1715316220"&gt;&lt;FQL&gt;&lt;Q&gt;FC0000ZA^FG_MCAP_IDX(0,,,USD)&lt;/Q&gt;&lt;R&gt;1&lt;/R&gt;&lt;C&gt;1&lt;/C&gt;&lt;D xsi:type="xsd:double"&gt;310831.56&lt;/D&gt;&lt;/FQL&gt;&lt;FQL&gt;&lt;Q&gt;EWI^FREF_MARKET_VALUE_COMPANY(0,,,USD,,0,,"LEGACY")&lt;/Q&gt;&lt;R&gt;1&lt;/R&gt;&lt;C&gt;1&lt;/C&gt;&lt;D xsi:type="xsd:double"&gt;429.10425&lt;/D&gt;&lt;/FQL&gt;&lt;FQL&gt;&lt;Q&gt;EWD^FREF_MARKET_VALUE_COMPANY(0,,,USD,,0,,"LEGACY")&lt;/Q&gt;&lt;R&gt;1&lt;/R&gt;&lt;C&gt;1&lt;/C&gt;&lt;D xsi:type="xsd:double"&gt;357.717&lt;/D&gt;&lt;/FQL&gt;&lt;FQL&gt;&lt;Q&gt;FC0000SE^FMA_MCAP(0,,,USD,"PORTAGG")&lt;/Q&gt;&lt;R&gt;1&lt;/R&gt;&lt;C&gt;1&lt;/C&gt;&lt;D xsi:type="xsd:double"&gt;1027795.8&lt;/D&gt;&lt;/FQL&gt;&lt;FQL&gt;&lt;Q&gt;EWN^FREF_MARKET_VALUE_COMPANY(0,,,USD,,0,,"LEGACY")&lt;/Q&gt;&lt;R&gt;1&lt;/R&gt;&lt;C&gt;1&lt;/C&gt;&lt;D xsi:type="xsd:double"&gt;287.109&lt;/D&gt;&lt;/FQL&gt;&lt;FQL&gt;&lt;Q&gt;FC0000NL^FMA_MCAP(0,,,USD,"PORTAGG")&lt;/Q&gt;&lt;R&gt;1&lt;/R&gt;&lt;C&gt;1&lt;/C&gt;&lt;D xsi:type="xsd:double"&gt;1128662.8&lt;/D&gt;&lt;/FQL&gt;&lt;FQL&gt;&lt;Q&gt;EWQ^FREF_MARKET_VALUE_COMPANY(0,,,USD,,0,,"LEGACY")&lt;/Q&gt;&lt;R&gt;1&lt;/R&gt;&lt;C&gt;1&lt;/C&gt;&lt;D xsi:type="xsd:double"&gt;654.732&lt;/D&gt;&lt;/FQL&gt;&lt;FQL&gt;&lt;Q&gt;FC0000FR^FMA_MCAP(0,,,USD,"PORTAGG")&lt;/Q&gt;&lt;R&gt;1&lt;/R&gt;&lt;C&gt;1&lt;/C&gt;&lt;D xsi:type="xsd:double"&gt;3417779.5&lt;/D&gt;&lt;/FQL&gt;&lt;FQL&gt;&lt;Q&gt;SPY^FREF_MARKET_VALUE_COMPANY(0,,,USD,,0,,"LEGACY")&lt;/Q&gt;&lt;R&gt;1&lt;/R&gt;&lt;C&gt;1&lt;/C&gt;&lt;D xsi:type="xsd:double"&gt;514204.742457&lt;/D&gt;&lt;/FQL&gt;&lt;FQL&gt;&lt;Q&gt;FC0000US^FMA_MCAP(0,,,USD,"PORTAGG")&lt;/Q&gt;&lt;R&gt;1&lt;/R&gt;&lt;C&gt;1&lt;/C&gt;&lt;D xsi:type="xsd:double"&gt;54421530&lt;/D&gt;&lt;/FQL&gt;&lt;FQL&gt;&lt;Q&gt;QQQ^FREF_MARKET_VALUE_COMPANY(0,,,USD,,0,,"LEGACY")&lt;/Q&gt;&lt;R&gt;1&lt;/R&gt;&lt;C&gt;1&lt;/C&gt;&lt;D xsi:type="xsd:double"&gt;258878.74&lt;/D&gt;&lt;/FQL&gt;&lt;FQL&gt;&lt;Q&gt;EWU^FREF_MARKET_VALUE_COMPANY(0,,,USD,,0,,"LEGACY")&lt;/Q&gt;&lt;R&gt;1&lt;/R&gt;&lt;C&gt;1&lt;/C&gt;&lt;D xsi:type="xsd:double"&gt;2812.68&lt;/D&gt;&lt;/FQL&gt;&lt;FQL&gt;&lt;Q&gt;FC0000GB^FMA_MCAP(0,,,USD,"PORTAGG")&lt;/Q&gt;&lt;R&gt;1&lt;/R&gt;&lt;C&gt;1&lt;/C&gt;&lt;D xsi:type="xsd:double"&gt;3254713.3&lt;/D&gt;&lt;/FQL&gt;&lt;FQL&gt;&lt;Q&gt;EWL^FREF_MARKET_VALUE_COMPANY(0,,,USD,,0,,"LEGACY")&lt;/Q&gt;&lt;R&gt;1&lt;/R&gt;&lt;C&gt;1&lt;/C&gt;&lt;D xsi:type="xsd:double"&gt;1125.0225&lt;/D&gt;&lt;/FQL&gt;&lt;FQL&gt;&lt;Q&gt;FC0000CH^FMA_MCAP(0,,,USD,"PORTAGG")&lt;/Q&gt;&lt;R&gt;1&lt;/R&gt;&lt;C&gt;1&lt;/C&gt;&lt;D xsi:type="xsd:double"&gt;2087703.9&lt;/D&gt;&lt;/FQL&gt;&lt;FQL&gt;&lt;Q&gt;EWJ^FREF_MARKET_VALUE_COMPANY(0,,,USD,,0,,"LEGACY")&lt;/Q&gt;&lt;R&gt;1&lt;/R&gt;&lt;C&gt;1&lt;/C&gt;&lt;D xsi:type="xsd:double"&gt;16719.381&lt;/D&gt;&lt;/FQL&gt;&lt;FQL&gt;&lt;Q&gt;FC0000JP^FMA_MCAP(0,,,USD,"PORTAGG")&lt;/Q&gt;&lt;R&gt;1&lt;/R&gt;&lt;C&gt;1&lt;/C&gt;&lt;D xsi:type="xsd:double"&gt;6391685&lt;/D&gt;&lt;/FQL&gt;&lt;FQL&gt;&lt;Q&gt;EWG^FREF_MARKET_VALUE_COMPANY(0,,,USD,,0,,"LEGACY")&lt;/Q&gt;&lt;R&gt;1&lt;/R&gt;&lt;C&gt;1&lt;/C&gt;&lt;D xsi:type="xsd:double"&gt;971.418&lt;/D&gt;&lt;/FQL&gt;&lt;FQL&gt;&lt;Q&gt;FC0000DE^FMA_MCAP(0,,,USD,"PORTAGG")&lt;/Q&gt;&lt;R&gt;1&lt;/R&gt;&lt;C&gt;1&lt;/C&gt;&lt;D xsi:type="xsd:double"&gt;2306288&lt;/D&gt;&lt;/FQL&gt;&lt;FQL&gt;&lt;Q&gt;EWC^FREF_MARKET_VALUE_COMPANY(0,,,USD,,0,,"LEGACY")&lt;/Q&gt;&lt;R&gt;1&lt;/R&gt;&lt;C&gt;1&lt;/C&gt;&lt;D xsi:type="xsd:double"&gt;2744.676&lt;/D&gt;&lt;/FQL&gt;&lt;FQL&gt;&lt;Q&gt;FC0000CA^FMA_MCAP(0,,,USD,"PORTAGG")&lt;/Q&gt;&lt;R&gt;1&lt;/R&gt;&lt;C&gt;1&lt;/C&gt;&lt;D xsi:type="xsd:double"&gt;2753637.5&lt;/D&gt;&lt;/FQL&gt;&lt;FQL&gt;&lt;Q&gt;EWA^FREF_MARKET_VALUE_COMPANY(0,,,USD,,0,,"LEGACY")&lt;/Q&gt;&lt;R&gt;1&lt;/R&gt;&lt;C&gt;1&lt;/C&gt;&lt;D xsi:type="xsd:double"&gt;1733.892&lt;/D&gt;&lt;/FQL&gt;&lt;FQL&gt;&lt;Q&gt;FC0000AU^FMA_MCAP(0,,,USD,"PORTAGG")&lt;/Q&gt;&lt;R&gt;1&lt;/R&gt;&lt;C&gt;1&lt;/C&gt;&lt;D xsi:type="xsd:double"&gt;1676362.5&lt;/D&gt;&lt;/FQL&gt;&lt;FQL&gt;&lt;Q&gt;ENZL^FREF_MARKET_VALUE_COMPANY(0,,,USD,,0,,"LEGACY")&lt;/Q&gt;&lt;R&gt;1&lt;/R&gt;&lt;C&gt;1&lt;/C&gt;&lt;D xsi:type="xsd:double"&gt;88.296&lt;/D&gt;&lt;/FQL&gt;&lt;FQL&gt;&lt;Q&gt;FC0000NZ^FMA_MCAP(0,,,USD,"PORTAGG")&lt;/Q&gt;&lt;R&gt;1&lt;/R&gt;&lt;C&gt;1&lt;/C&gt;&lt;D xsi:type="xsd:double"&gt;89841.945&lt;/D&gt;&lt;/FQL&gt;&lt;FQL&gt;&lt;Q&gt;NQG00809^FG_COMPANY_NAME&lt;/Q&gt;&lt;R&gt;1&lt;/R&gt;&lt;C&gt;1&lt;/C&gt;&lt;D xsi:type="xsd:string"&gt;Nasdaq South Africa&lt;/D&gt;&lt;/FQL&gt;&lt;FQL&gt;&lt;Q&gt;CC_ZA^FG_COMPANY_NAME&lt;/Q&gt;&lt;R&gt;1&lt;/R&gt;&lt;C&gt;1&lt;/C&gt;&lt;D xsi:type="xsd:string"&gt;South Africa&lt;/D&gt;&lt;/FQL&gt;&lt;FQL&gt;&lt;Q&gt;NQG00809^FMA_MCAP(0,,,USD,"PORTAGG")&lt;/Q&gt;&lt;R&gt;0&lt;/R&gt;&lt;C&gt;0&lt;/C&gt;&lt;/FQL&gt;&lt;FQL&gt;&lt;Q&gt;FC0000IT^FMA_MCAP(0,,,USD,"PORTAGG")&lt;/Q&gt;&lt;R&gt;1&lt;/R&gt;&lt;C&gt;1&lt;/C&gt;&lt;D xsi:type="xsd:double"&gt;884369.7&lt;/D&gt;&lt;/FQL&gt;&lt;FQL&gt;&lt;Q&gt;DUMMY^ECON_EXPR_DATA('FDS_ECON[NTCPMIMFGSA@IT]',,,M)&lt;/Q&gt;&lt;R&gt;1&lt;/R&gt;&lt;C&gt;1&lt;/C&gt;&lt;D xsi:type="xsd:double"&gt;47.30108&lt;/D&gt;&lt;/FQL&gt;&lt;FQL&gt;&lt;Q&gt;DUMMY^ECON_EXPR_DATA('FDS_ECON[NTCPMIMFGMESA@US]',,,M)&lt;/Q&gt;&lt;R&gt;1&lt;/R&gt;&lt;C&gt;1&lt;/C&gt;&lt;D xsi:type="xsd:double"&gt;49.9503&lt;/D&gt;&lt;/FQL&gt;&lt;FQL&gt;&lt;Q&gt;DUMMY^ECON_EXPR_DATA('FDS_ECON[]',,,M)&lt;/Q&gt;&lt;R&gt;0&lt;/R&gt;&lt;C&gt;0&lt;/C&gt;&lt;/FQL&gt;&lt;FQL&gt;&lt;Q&gt;DUMMY^ECON_EXPR_DATA('FDS_ECON[NTCPMIMFGSA@NL]',,,M)&lt;/Q&gt;&lt;R&gt;1&lt;/R&gt;&lt;C&gt;1&lt;/C&gt;&lt;D xsi:type="xsd:double"&gt;51.31471&lt;/D&gt;&lt;/FQL&gt;&lt;FQL&gt;&lt;Q&gt;DUMMY^ECON_EXPR_DATA('FDS_ECON[NTCPMIMFGSA@CA]',,,M)&lt;/Q&gt;&lt;R&gt;1&lt;/R&gt;&lt;C&gt;1&lt;/C&gt;&lt;D xsi:type="xsd:double"&gt;49.43967&lt;/D&gt;&lt;/FQL&gt;&lt;FQL&gt;&lt;Q&gt;DUMMY^ECON_EXPR_DATA('FDS_ECON[NTCPMIMFGSA@CH]',,,M)&lt;/Q&gt;&lt;R&gt;1&lt;/R&gt;&lt;C&gt;1&lt;/C&gt;&lt;D xsi:type="xsd:double"&gt;41.378143&lt;/D&gt;&lt;/FQL&gt;&lt;FQL&gt;&lt;Q&gt;DUMMY^ECON_EXPR_DATA('FDS_ECON[NTCPMIMFGSA@FR]',,,M)&lt;/Q&gt;&lt;R&gt;1&lt;/R&gt;&lt;C&gt;1&lt;/C&gt;&lt;D xsi:type="xsd:double"&gt;45.28704&lt;/D&gt;&lt;/FQL&gt;&lt;FQL&gt;&lt;Q&gt;DUMMY^ECON_EXPR_DATA('FDS_ECON[NTCPMIMFGSA@NZ]',,,M)&lt;/Q&gt;&lt;R&gt;1&lt;/R&gt;&lt;C&gt;1&lt;/C&gt;&lt;D xsi:type="xsd:double"&gt;48.932884&lt;/D&gt;&lt;/FQL&gt;&lt;FQL&gt;&lt;Q&gt;DUMMY^ECON_EXPR_DATA('FDS_ECON[NTCPMIMFGSA@GB]',,,M)&lt;/Q&gt;&lt;R&gt;1&lt;/R&gt;&lt;C&gt;1&lt;/C&gt;&lt;D xsi:type="xsd:double"&gt;49.074535&lt;/D&gt;&lt;/FQL&gt;&lt;FQL&gt;&lt;Q&gt;DUMMY^ECON_EXPR_DATA('FDS_ECON[NTCPMIMFGSA@JP]',,,M)&lt;/Q&gt;&lt;R&gt;1&lt;/R&gt;&lt;C&gt;1&lt;/C&gt;&lt;D xsi:type="xsd:double"&gt;49.568592&lt;/D&gt;&lt;/FQL&gt;&lt;FQL&gt;&lt;Q&gt;DUMMY^ECON_EXPR_DATA('FDS_ECON[NTCPMIMFGSA@DE]',,,M)&lt;/Q&gt;&lt;R&gt;1&lt;/R&gt;&lt;C&gt;1&lt;/C&gt;&lt;D xsi:type="xsd:double"&gt;42.45923&lt;/D&gt;&lt;/FQL&gt;&lt;FQL&gt;&lt;Q&gt;DUMMY^ECON_EXPR_DATA('FDS_ECON[NTCPMIMFGSA@AU]',,,M)&lt;/Q&gt;&lt;R&gt;1&lt;/R&gt;&lt;C&gt;1&lt;/C&gt;&lt;D xsi:type="xsd:double"&gt;49.583427&lt;/D&gt;&lt;/FQL&gt;&lt;FQL&gt;&lt;Q&gt;CAGDPY@FR^EE_ACTUAL_ANNUAL(MED,+1)&lt;/Q&gt;&lt;R&gt;1&lt;/R&gt;&lt;C&gt;1&lt;/C&gt;&lt;D xsi:type="xsd:double"&gt;-0.8&lt;/D&gt;&lt;/FQL&gt;&lt;FQL&gt;&lt;Q&gt;CAGDPY@AU^EE_ACTUAL_ANNUAL(MED,+1)&lt;/Q&gt;&lt;R&gt;1&lt;/R&gt;&lt;C&gt;1&lt;/C&gt;&lt;D xsi:type="xsd:double"&gt;0.5&lt;/D&gt;&lt;/FQL&gt;&lt;FQL&gt;&lt;Q&gt;USDITL^FG_PRICE_CHANGE(0,-3AM)&lt;/Q&gt;&lt;R&gt;1&lt;/R&gt;&lt;C&gt;1&lt;/C&gt;&lt;D xsi:type="xsd:double"&gt;0.09279251&lt;/D&gt;&lt;/FQL&gt;&lt;FQL&gt;&lt;Q&gt;USDANG^FG_PRICE_CHANGE(0,-3AM)&lt;/Q&gt;&lt;R&gt;1&lt;/R&gt;&lt;C&gt;1&lt;/C&gt;&lt;D xsi:type="xsd:double"&gt;0&lt;/D&gt;&lt;/FQL&gt;&lt;FQL&gt;&lt;Q&gt;USDUSD^FG_PRICE_CHANGE(0,-3AM)&lt;/Q&gt;&lt;R&gt;1&lt;/R&gt;&lt;C&gt;1&lt;/C&gt;&lt;D xsi:type="xsd:double"&gt;0&lt;/D&gt;&lt;/FQL&gt;&lt;FQL&gt;&lt;Q&gt;USDGBP^FG_PRICE_CHANGE(0,-3AM)&lt;/Q&gt;&lt;R&gt;1&lt;/R&gt;&lt;C&gt;1&lt;/C&gt;&lt;D xsi:type="xsd:double"&gt;0.9710312&lt;/D&gt;&lt;/FQL&gt;&lt;FQL&gt;&lt;Q&gt;USDJPY^FG_PRICE_CHANGE(0,-3AM)&lt;/Q&gt;&lt;R&gt;1&lt;/R&gt;&lt;C&gt;1&lt;/C&gt;&lt;D xsi:type="xsd:double"&gt;4.1854978&lt;/D&gt;&lt;/FQL&gt;&lt;FQL&gt;&lt;Q&gt;USDCAD^FG_PRICE_CHANGE(0,-3AM)&lt;/Q&gt;&lt;R&gt;1&lt;/R&gt;&lt;C&gt;1&lt;/C&gt;&lt;D xsi:type="xsd:double"&gt;1.7160058&lt;/D&gt;&lt;/FQL&gt;&lt;FQL&gt;&lt;Q&gt;USDNZD^FG_PRICE_CHANGE(0,-3AM)&lt;/Q&gt;&lt;R&gt;1&lt;/R&gt;&lt;C&gt;1&lt;/C&gt;&lt;D xsi:type="xsd:double"&gt;2.0430207&lt;/D&gt;&lt;/FQL&gt;&lt;FQL&gt;&lt;Q&gt;EWA^FMA_EPS(NTMA,-20AY,0,CY,,"PORTAGG","MEANR")&lt;/Q&gt;&lt;R&gt;20&lt;/R&gt;&lt;C&gt;1&lt;/C&gt;&lt;D xsi:type="xsd:double"&gt;1.18421421757289&lt;/D&gt;&lt;D xsi:type="xsd:double"&gt;1.35622936034371&lt;/D&gt;&lt;D xsi:type="xsd:double"&gt;1.68223219538503&lt;/D&gt;&lt;D xsi:type="xsd:double"&gt;2.01218211762237&lt;/D&gt;&lt;D xsi:type="xsd:double"&gt;1.47822239950882&lt;/D&gt;&lt;D xsi:type="xsd:double"&gt;1.49861477471222&lt;/D&gt;&lt;D xsi:type="xsd:double"&gt;2.04832230944667&lt;/D&gt;&lt;D xsi:type="xsd:double"&gt;2.08841813329258&lt;/D&gt;&lt;D xsi:type="xsd:double"&gt;1.8915836506348&lt;/D&gt;&lt;D xsi:type="xsd:double"&gt;1.71909344341549&lt;/D&gt;&lt;D xsi:type="xsd:double"&gt;1.51920222936301&lt;/D&gt;&lt;D xsi:type="xsd:double"&gt;1.20321447580294&lt;/D&gt;&lt;D xsi:type="xsd:double"&gt;1.28201594869045&lt;/D&gt;&lt;D xsi:type="xsd:double"&gt;1.44580701527009&lt;/D&gt;&lt;D xsi:type="xsd:double"&gt;1.37894957605166&lt;/D&gt;&lt;D xsi:type="xsd:double"&gt;1.3179970851092&lt;/D&gt;&lt;D xsi:type="xsd:double"&gt;1.26256164176903&lt;/D&gt;&lt;D xsi:type="xsd:double"&gt;1.41909398824033&lt;/D&gt;&lt;D xsi:type="xsd:double"&gt;1.56850336770513&lt;/D&gt;&lt;D xsi:type="xsd:double"&gt;1.47892717787447&lt;/D&gt;&lt;/FQL&gt;&lt;FQL&gt;&lt;Q&gt;ENZL^JULIAN(P_PRICE_RETURNS_PR('52W',2,-10AY,0,AM).DATES)&lt;/Q&gt;&lt;R&gt;121&lt;/R&gt;&lt;C&gt;1&lt;/C&gt;&lt;D xsi:type="xsd:long"&gt;41768&lt;/D&gt;&lt;D xsi:type="xsd:long"&gt;41799&lt;/D&gt;&lt;D xsi:type="xsd:long"&gt;41829&lt;/D&gt;&lt;D xsi:type="xsd:long"&gt;41859&lt;/D&gt;&lt;D xsi:type="xsd:long"&gt;41891&lt;/D&gt;&lt;D xsi:type="xsd:long"&gt;41921&lt;/D&gt;&lt;D xsi:type="xsd:long"&gt;41950&lt;/D&gt;&lt;D xsi:type="xsd:long"&gt;41982&lt;/D&gt;&lt;D xsi:type="xsd:long"&gt;42013&lt;/D&gt;&lt;D xsi:type="xsd:long"&gt;42044&lt;/D&gt;&lt;D xsi:type="xsd:long"&gt;42072&lt;/D&gt;&lt;D xsi:type="xsd:long"&gt;42103&lt;/D&gt;&lt;D xsi:type="xsd:long"&gt;42132&lt;/D&gt;&lt;D xsi:type="xsd:long"&gt;42164&lt;/D&gt;&lt;D xsi:type="xsd:long"&gt;42194&lt;/D&gt;&lt;D xsi:type="xsd:long"&gt;42223&lt;/D&gt;&lt;D xsi:type="xsd:long"&gt;42256&lt;/D&gt;&lt;D xsi:type="xsd:long"&gt;42286&lt;/D&gt;&lt;D xsi:type="xsd:long"&gt;42317&lt;/D&gt;&lt;D xsi:type="xsd:long"&gt;42347&lt;/D&gt;&lt;D xsi:type="xsd:long"&gt;42377&lt;/D&gt;&lt;D xsi:type="xsd:long"&gt;42409&lt;/D&gt;&lt;D xsi:type="xsd:long"&gt;42438&lt;/D&gt;&lt;D xsi:type="xsd:long"&gt;42468&lt;/D&gt;&lt;D xsi:type="xsd:long"&gt;42499&lt;/D&gt;&lt;D xsi:type="xsd:long"&gt;42530&lt;/D&gt;&lt;D xsi:type="xsd:long"&gt;42559&lt;/D&gt;&lt;D xsi:type="xsd:long"&gt;42591&lt;/D&gt;&lt;D xsi:type="xsd:long"&gt;42622&lt;/D&gt;&lt;D xsi:type="xsd:long"&gt;42650&lt;/D&gt;&lt;D xsi:type="xsd:long"&gt;42683&lt;/D&gt;&lt;D xsi:type="xsd:long"&gt;42713&lt;/D&gt;&lt;D xsi:type="xsd:long"&gt;42744&lt;/D&gt;&lt;D xsi:type="xsd:long"&gt;42775&lt;/D&gt;&lt;D xsi:type="xsd:long"&gt;42803&lt;/D&gt;&lt;D xsi:type="xsd:long"&gt;42832&lt;/D&gt;&lt;D xsi:type="xsd:long"&gt;42864&lt;/D&gt;&lt;D xsi:type="xsd:long"&gt;42895&lt;/D&gt;&lt;D xsi:type="xsd:long"&gt;42923&lt;/D&gt;&lt;D xsi:type="xsd:long"&gt;42956&lt;/D&gt;&lt;D xsi:type="xsd:long"&gt;42986&lt;/D&gt;&lt;D xsi:type="xsd:long"&gt;43017&lt;/D&gt;&lt;D xsi:type="xsd:long"&gt;43048&lt;/D&gt;&lt;D xsi:type="xsd:long"&gt;43077&lt;/D&gt;&lt;D xsi:type="xsd:long"&gt;43109&lt;/D&gt;&lt;D xsi:type="xsd:long"&gt;43140&lt;/D&gt;&lt;D xsi:type="xsd:long"&gt;43168&lt;/D&gt;&lt;D xsi:type="xsd:long"&gt;43199&lt;/D&gt;&lt;D xsi:type="xsd:long"&gt;43229&lt;/D&gt;&lt;D xsi:type="xsd:long"&gt;43259&lt;/D&gt;&lt;D xsi:type="xsd:long"&gt;43290&lt;/D&gt;&lt;D xsi:type="xsd:long"&gt;43321&lt;/D&gt;&lt;D xsi:type="xsd:long"&gt;43350&lt;/D&gt;&lt;D xsi:type="xsd:long"&gt;43382&lt;/D&gt;&lt;D xsi:type="xsd:long"&gt;43413&lt;/D&gt;&lt;D xsi:type="xsd:long"&gt;43441&lt;/D&gt;&lt;D xsi:type="xsd:long"&gt;43474&lt;/D&gt;&lt;D xsi:type="xsd:long"&gt;43504&lt;/D&gt;&lt;D xsi:type="xsd:long"&gt;43532&lt;/D&gt;&lt;D xsi:type="xsd:long"&gt;43564&lt;/D&gt;&lt;D xsi:type="xsd:long"&gt;43594&lt;/D&gt;&lt;D xsi:type="xsd:long"&gt;43623&lt;/D&gt;&lt;D xsi:type="xsd:long"&gt;43655&lt;/D&gt;&lt;D xsi:type="xsd:long"&gt;43686&lt;/D&gt;&lt;D xsi:type="xsd:long"&gt;43717&lt;/D&gt;&lt;D xsi:type="xsd:long"&gt;43747&lt;/D&gt;&lt;D xsi:type="xsd:long"&gt;43777&lt;/D&gt;&lt;D xsi:type="xsd:long"&gt;43808&lt;/D&gt;&lt;D xsi:type="xsd:long"&gt;43839&lt;/D&gt;&lt;D xsi:type="xsd:long"&gt;43868&lt;/D&gt;&lt;D xsi:type="xsd:long"&gt;43899&lt;/D&gt;&lt;D xsi:type="xsd:long"&gt;43930&lt;/D&gt;&lt;D xsi:type="xsd:long"&gt;43959&lt;/D&gt;&lt;D xsi:type="xsd:long"&gt;43991&lt;/D&gt;&lt;D xsi:type="xsd:long"&gt;44021&lt;/D&gt;&lt;D xsi:type="xsd:long"&gt;44050&lt;/D&gt;&lt;D xsi:type="xsd:long"&gt;44083&lt;/D&gt;&lt;D xsi:type="xsd:long"&gt;44113&lt;/D&gt;&lt;D xsi:type="xsd:long"&gt;44144&lt;/D&gt;&lt;D xsi:type="xsd:long"&gt;44174&lt;/D&gt;&lt;D xsi:type="xsd:long"&gt;44204&lt;/D&gt;&lt;D xsi:type="xsd:long"&gt;44236&lt;/D&gt;&lt;D xsi:type="xsd:long"&gt;44264&lt;/D&gt;&lt;D xsi:type="xsd:long"&gt;44295&lt;/D&gt;&lt;D xsi:type="xsd:long"&gt;44323&lt;/D&gt;&lt;D xsi:type="xsd:long"&gt;44356&lt;/D&gt;&lt;D xsi:type="xsd:long"&gt;44386&lt;/D&gt;&lt;D xsi:type="xsd:long"&gt;44417&lt;/D&gt;&lt;D xsi:type="xsd:long"&gt;44448&lt;/D&gt;&lt;D xsi:type="xsd:long"&gt;44477&lt;/D&gt;&lt;D xsi:type="xsd:long"&gt;44509&lt;/D&gt;&lt;D xsi:type="xsd:long"&gt;44539&lt;/D&gt;&lt;D xsi:type="xsd:long"&gt;44568&lt;/D&gt;&lt;D xsi:type="xsd:long"&gt;44601&lt;/D&gt;&lt;D xsi:type="xsd:long"&gt;44629&lt;/D&gt;&lt;D xsi:type="xsd:long"&gt;44659&lt;/D&gt;&lt;D xsi:type="xsd:long"&gt;44690&lt;/D&gt;&lt;D xsi:type="xsd:long"&gt;44721&lt;/D&gt;&lt;D xsi:type="xsd:long"&gt;44750&lt;/D&gt;&lt;D xsi:type="xsd:long"&gt;44782&lt;/D&gt;&lt;D xsi:type="xsd:long"&gt;44813&lt;/D&gt;&lt;D xsi:type="xsd:long"&gt;44841&lt;/D&gt;&lt;D xsi:type="xsd:long"&gt;44874&lt;/D&gt;&lt;D xsi:type="xsd:long"&gt;44904&lt;/D&gt;&lt;D xsi:type="xsd:long"&gt;44935&lt;/D&gt;&lt;D xsi:type="xsd:long"&gt;44966&lt;/D&gt;&lt;D xsi:type="xsd:long"&gt;44994&lt;/D&gt;&lt;D xsi:type="xsd:long"&gt;45022&lt;/D&gt;&lt;D xsi:type="xsd:long"&gt;45055&lt;/D&gt;&lt;D xsi:type="xsd:long"&gt;45086&lt;/D&gt;&lt;D xsi:type="xsd:long"&gt;45114&lt;/D&gt;&lt;D xsi:type="xsd:long"&gt;45147&lt;/D&gt;&lt;D xsi:type="xsd:long"&gt;45177&lt;/D&gt;&lt;D xsi:type="xsd:long"&gt;45208&lt;/D&gt;&lt;D xsi:type="xsd:long"&gt;45239&lt;/D&gt;&lt;D xsi:type="xsd:long"&gt;45268&lt;/D&gt;&lt;D xsi:type="xsd:long"&gt;45300&lt;/D&gt;&lt;D xsi:type="xsd:long"&gt;45331&lt;/D&gt;&lt;D xsi:type="xsd:long"&gt;45359&lt;/D&gt;&lt;D xsi:type="xsd:long"&gt;45391&lt;/D&gt;&lt;D xsi:type="xsd:long"&gt;45421&lt;/D&gt;&lt;/FQL&gt;&lt;FQL&gt;&lt;Q&gt;EWD^FMA_DIV_YLD(NTMA,-10AY,0,AM,"PORTAGG","MEANR")&lt;/Q&gt;&lt;R&gt;121&lt;/R&gt;&lt;C&gt;1&lt;/C&gt;&lt;D xsi:type="xsd:double"&gt;4.1243482592008&lt;/D&gt;&lt;D xsi:type="xsd:double"&gt;4.05408187348991&lt;/D&gt;&lt;D xsi:type="xsd:double"&gt;4.16071019190159&lt;/D&gt;&lt;D xsi:type="xsd:double"&gt;4.37720207104654&lt;/D&gt;&lt;D xsi:type="xsd:double"&gt;4.23405839384919&lt;/D&gt;&lt;D xsi:type="xsd:double"&gt;4.46250538523322&lt;/D&gt;&lt;D xsi:type="xsd:double"&gt;4.17339509043396&lt;/D&gt;&lt;D xsi:type="xsd:double"&gt;4.10790798591417&lt;/D&gt;&lt;D xsi:type="xsd:double"&gt;4.1537943816742&lt;/D&gt;&lt;D xsi:type="xsd:double"&gt;3.79781381019383&lt;/D&gt;&lt;D xsi:type="xsd:double"&gt;3.69025276983569&lt;/D&gt;&lt;D xsi:type="xsd:double"&gt;3.61380222639076&lt;/D&gt;&lt;D xsi:type="xsd:double"&gt;3.842182667258&lt;/D&gt;&lt;D xsi:type="xsd:double"&gt;3.94629840746436&lt;/D&gt;&lt;D xsi:type="xsd:double"&gt;4.06678146726919&lt;/D&gt;&lt;D xsi:type="xsd:double"&gt;3.98437900954015&lt;/D&gt;&lt;D xsi:type="xsd:double"&gt;4.27313337916514&lt;/D&gt;&lt;D xsi:type="xsd:double"&gt;4.31015168727001&lt;/D&gt;&lt;D xsi:type="xsd:double"&gt;4.16605258915655&lt;/D&gt;&lt;D xsi:type="xsd:double"&gt;4.33706332294324&lt;/D&gt;&lt;D xsi:type="xsd:double"&gt;4.60362251734442&lt;/D&gt;&lt;D xsi:type="xsd:double"&gt;4.71088068118852&lt;/D&gt;&lt;D xsi:type="xsd:double"&gt;4.30635785431664&lt;/D&gt;&lt;D xsi:type="xsd:double"&gt;4.39523332943867&lt;/D&gt;&lt;D xsi:type="xsd:double"&gt;4.41767135374233&lt;/D&gt;&lt;D xsi:type="xsd:double"&gt;4.4526651229249&lt;/D&gt;&lt;D xsi:type="xsd:double"&gt;4.50718948749514&lt;/D&gt;&lt;D xsi:type="xsd:double"&gt;4.22501835647228&lt;/D&gt;&lt;D xsi:type="xsd:double"&gt;4.22129046246409&lt;/D&gt;&lt;D xsi:type="xsd:double"&gt;4.15570652068197&lt;/D&gt;&lt;D xsi:type="xsd:double"&gt;4.09375521025254&lt;/D&gt;&lt;D xsi:type="xsd:double"&gt;3.8795934791461&lt;/D&gt;&lt;D xsi:type="xsd:double"&gt;3.92021182399506&lt;/D&gt;&lt;D xsi:type="xsd:double"&gt;3.67359804229765&lt;/D&gt;&lt;D xsi:type="xsd:double"&gt;3.6320494099763&lt;/D&gt;&lt;D xsi:type="xsd:double"&gt;3.66103139069368&lt;/D&gt;&lt;D xsi:type="xsd:double"&gt;3.48945370177046&lt;/D&gt;&lt;D xsi:type="xsd:double"&gt;3.53038431692621&lt;/D&gt;&lt;D xsi:type="xsd:double"&gt;3.58400856421004&lt;/D&gt;&lt;D xsi:type="xsd:double"&gt;3.69395798071909&lt;/D&gt;&lt;D xsi:type="xsd:double"&gt;3.76128239325648&lt;/D&gt;&lt;D xsi:type="xsd:double"&gt;3.54251715134294&lt;/D&gt;&lt;D xsi:type="xsd:double"&gt;3.58410027579861&lt;/D&gt;&lt;D xsi:type="xsd:double"&gt;3.68967703110684&lt;/D&gt;&lt;D xsi:type="xsd:double"&gt;3.63213353311301&lt;/D&gt;&lt;D xsi:type="xsd:double"&gt;4.02556926118666&lt;/D&gt;&lt;D xsi:type="xsd:double"&gt;3.83733383035062&lt;/D&gt;&lt;D xsi:type="xsd:double"&gt;4.13773902685719&lt;/D&gt;&lt;D xsi:type="xsd:double"&gt;3.94887643577668&lt;/D&gt;&lt;D xsi:type="xsd:double"&gt;4.11126866658142&lt;/D&gt;&lt;D xsi:type="xsd:double"&gt;4.17762319549991&lt;/D&gt;&lt;D xsi:type="xsd:double"&gt;4.06044752471532&lt;/D&gt;&lt;D xsi:type="xsd:double"&gt;4.12125759641621&lt;/D&gt;&lt;D xsi:type="xsd:double"&gt;4.10323534382657&lt;/D&gt;&lt;D xsi:type="xsd:double"&gt;4.38320485486567&lt;/D&gt;&lt;D xsi:type="xsd:double"&gt;4.61837695091697&lt;/D&gt;&lt;D xsi:type="xsd:double"&gt;4.53523999866356&lt;/D&gt;&lt;D xsi:type="xsd:double"&gt;4.30921531394334&lt;/D&gt;&lt;D xsi:type="xsd:double"&gt;4.21106658217359&lt;/D&gt;&lt;D xsi:type="xsd:double"&gt;4.0813007732108&lt;/D&gt;&lt;D xsi:type="xsd:double"&gt;4.22805486239178&lt;/D&gt;&lt;D xsi:type="xsd:double"&gt;4.29288616063058&lt;/D&gt;&lt;D xsi:type="xsd:double"&gt;4.13884044864102&lt;/D&gt;&lt;D xsi:type="xsd:double"&gt;4.2744558551353&lt;/D&gt;&lt;D xsi:type="xsd:double"&gt;4.07619114244912&lt;/D&gt;&lt;D xsi:type="xsd:double"&gt;3.98362538555552&lt;/D&gt;&lt;D xsi:type="xsd:double"&gt;3.65923323131066&lt;/D&gt;&lt;D xsi:type="xsd:double"&gt;3.6969050881513&lt;/D&gt;&lt;D xsi:type="xsd:double"&gt;3.56872439891472&lt;/D&gt;&lt;D xsi:type="xsd:double"&gt;3.47953523605967&lt;/D&gt;&lt;D xsi:type="xsd:double"&gt;4.16941688826205&lt;/D&gt;&lt;D xsi:type="xsd:double"&gt;3.62115870518343&lt;/D&gt;&lt;D xsi:type="xsd:double"&gt;3.30612151878215&lt;/D&gt;&lt;D xsi:type="xsd:double"&gt;2.94810982498786&lt;/D&gt;&lt;D xsi:type="xsd:double"&gt;2.99665017771844&lt;/D&gt;&lt;D xsi:type="xsd:double"&gt;3.02889405300453&lt;/D&gt;&lt;D xsi:type="xsd:double"&gt;2.96311652273509&lt;/D&gt;&lt;D xsi:type="xsd:double"&gt;2.98396139017017&lt;/D&gt;&lt;D xsi:type="xsd:double"&gt;3.03382503810547&lt;/D&gt;&lt;D xsi:type="xsd:double"&gt;3.01348373165081&lt;/D&gt;&lt;D xsi:type="xsd:double"&gt;2.99594323113798&lt;/D&gt;&lt;D xsi:type="xsd:double"&gt;3.01006319058251&lt;/D&gt;&lt;D xsi:type="xsd:double"&gt;2.8367623048791&lt;/D&gt;&lt;D xsi:type="xsd:double"&gt;2.70183986695356&lt;/D&gt;&lt;D xsi:type="xsd:double"&gt;2.78921353776975&lt;/D&gt;&lt;D xsi:type="xsd:double"&gt;2.67692084411636&lt;/D&gt;&lt;D xsi:type="xsd:double"&gt;2.67209223700779&lt;/D&gt;&lt;D xsi:type="xsd:double"&gt;2.73248916255417&lt;/D&gt;&lt;D xsi:type="xsd:double"&gt;2.75308186139255&lt;/D&gt;&lt;D xsi:type="xsd:double"&gt;2.9314624385972&lt;/D&gt;&lt;D xsi:type="xsd:double"&gt;2.99145760462457&lt;/D&gt;&lt;D xsi:type="xsd:double"&gt;2.91606843619888&lt;/D&gt;&lt;D xsi:type="xsd:double"&gt;2.88173368247728&lt;/D&gt;&lt;D xsi:type="xsd:double"&gt;2.8598043131371&lt;/D&gt;&lt;D xsi:type="xsd:double"&gt;3.26028542986515&lt;/D&gt;&lt;D xsi:type="xsd:double"&gt;3.10341377039914&lt;/D&gt;&lt;D xsi:type="xsd:double"&gt;3.61801148836439&lt;/D&gt;&lt;D xsi:type="xsd:double"&gt;3.3002436950013&lt;/D&gt;&lt;D xsi:type="xsd:double"&gt;3.62770700447285&lt;/D&gt;&lt;D xsi:type="xsd:double"&gt;3.55058294388299&lt;/D&gt;&lt;D xsi:type="xsd:double"&gt;3.66067426980071&lt;/D&gt;&lt;D xsi:type="xsd:double"&gt;3.79716123185371&lt;/D&gt;&lt;D xsi:type="xsd:double"&gt;3.71405659978638&lt;/D&gt;&lt;D xsi:type="xsd:double"&gt;3.59821764389788&lt;/D&gt;&lt;D xsi:type="xsd:double"&gt;3.5388324276565&lt;/D&gt;&lt;D xsi:type="xsd:double"&gt;3.50629073622912&lt;/D&gt;&lt;D xsi:type="xsd:double"&gt;3.56002862879105&lt;/D&gt;&lt;D xsi:type="xsd:double"&gt;3.71913940336648&lt;/D&gt;&lt;D xsi:type="xsd:double"&gt;3.73402252941214&lt;/D&gt;&lt;D xsi:type="xsd:double"&gt;3.70548307316871&lt;/D&gt;&lt;D xsi:type="xsd:double"&gt;3.82724350690733&lt;/D&gt;&lt;D xsi:type="xsd:double"&gt;3.87211210338883&lt;/D&gt;&lt;D xsi:type="xsd:double"&gt;3.96927758132237&lt;/D&gt;&lt;D xsi:type="xsd:double"&gt;3.86308063608638&lt;/D&gt;&lt;D xsi:type="xsd:double"&gt;3.83592132685954&lt;/D&gt;&lt;D xsi:type="xsd:double"&gt;3.03411570136736&lt;/D&gt;&lt;D xsi:type="xsd:double"&gt;3.00415747956679&lt;/D&gt;&lt;D xsi:type="xsd:double"&gt;3.3550856027335&lt;/D&gt;&lt;D xsi:type="xsd:double"&gt;3.21872576126583&lt;/D&gt;&lt;D xsi:type="xsd:double"&gt;3.24130164419883&lt;/D&gt;&lt;D xsi:type="xsd:double"&gt;3.24874056705176&lt;/D&gt;&lt;/FQL&gt;&lt;FQL&gt;&lt;Q&gt;EWQ^FMA_PE(NTMA,-10AY,0,AM,"PORTAGG","MEANR")&lt;/Q&gt;&lt;R&gt;121&lt;/R&gt;&lt;C&gt;1&lt;/C&gt;&lt;D xsi:type="xsd:double"&gt;14.0611974107165&lt;/D&gt;&lt;D xsi:type="xsd:double"&gt;14.4626755606172&lt;/D&gt;&lt;D xsi:type="xsd:double"&gt;13.7131351773243&lt;/D&gt;&lt;D xsi:type="xsd:double"&gt;13.054013761082&lt;/D&gt;&lt;D xsi:type="xsd:double"&gt;13.7886308515126&lt;/D&gt;&lt;D xsi:type="xsd:double"&gt;12.8310552454943&lt;/D&gt;&lt;D xsi:type="xsd:double"&gt;13.1257042522807&lt;/D&gt;&lt;D xsi:type="xsd:double"&gt;13.6449326433676&lt;/D&gt;&lt;D xsi:type="xsd:double"&gt;13.5183553642329&lt;/D&gt;&lt;D xsi:type="xsd:double"&gt;15.4224852188846&lt;/D&gt;&lt;D xsi:type="xsd:double"&gt;16.2787237874534&lt;/D&gt;&lt;D xsi:type="xsd:double"&gt;17.0287289976463&lt;/D&gt;&lt;D xsi:type="xsd:double"&gt;16.4598808836378&lt;/D&gt;&lt;D xsi:type="xsd:double"&gt;15.5616653564889&lt;/D&gt;&lt;D xsi:type="xsd:double"&gt;15.0472191332616&lt;/D&gt;&lt;D xsi:type="xsd:double"&gt;15.8796368128583&lt;/D&gt;&lt;D xsi:type="xsd:double"&gt;14.4262484819307&lt;/D&gt;&lt;D xsi:type="xsd:double"&gt;14.6264557862971&lt;/D&gt;&lt;D xsi:type="xsd:double"&gt;15.2124153418205&lt;/D&gt;&lt;D xsi:type="xsd:double"&gt;14.5453762028312&lt;/D&gt;&lt;D xsi:type="xsd:double"&gt;13.6482204024616&lt;/D&gt;&lt;D xsi:type="xsd:double"&gt;13.0564116057037&lt;/D&gt;&lt;D xsi:type="xsd:double"&gt;14.4250727513895&lt;/D&gt;&lt;D xsi:type="xsd:double"&gt;14.0965319396562&lt;/D&gt;&lt;D xsi:type="xsd:double"&gt;14.1433302448258&lt;/D&gt;&lt;D xsi:type="xsd:double"&gt;14.2208988774604&lt;/D&gt;&lt;D xsi:type="xsd:double"&gt;13.4433692054303&lt;/D&gt;&lt;D xsi:type="xsd:double"&gt;14.1065181528972&lt;/D&gt;&lt;D xsi:type="xsd:double"&gt;14.0818527749777&lt;/D&gt;&lt;D xsi:type="xsd:double"&gt;13.8071108488435&lt;/D&gt;&lt;D xsi:type="xsd:double"&gt;13.9010945097637&lt;/D&gt;&lt;D xsi:type="xsd:double"&gt;14.3963557909099&lt;/D&gt;&lt;D xsi:type="xsd:double"&gt;14.6137992411619&lt;/D&gt;&lt;D xsi:type="xsd:double"&gt;14.2483318085172&lt;/D&gt;&lt;D xsi:type="xsd:double"&gt;14.4751834007836&lt;/D&gt;&lt;D xsi:type="xsd:double"&gt;14.9268719457641&lt;/D&gt;&lt;D xsi:type="xsd:double"&gt;15.4657445747727&lt;/D&gt;&lt;D xsi:type="xsd:double"&gt;15.0857833266054&lt;/D&gt;&lt;D xsi:type="xsd:double"&gt;14.6050509647534&lt;/D&gt;&lt;D xsi:type="xsd:double"&gt;14.6146550211842&lt;/D&gt;&lt;D xsi:type="xsd:double"&gt;14.5938546318309&lt;/D&gt;&lt;D xsi:type="xsd:double"&gt;15.2028650400946&lt;/D&gt;&lt;D xsi:type="xsd:double"&gt;15.1050623500264&lt;/D&gt;&lt;D xsi:type="xsd:double"&gt;15.0807403721605&lt;/D&gt;&lt;D xsi:type="xsd:double"&gt;15.2791594556237&lt;/D&gt;&lt;D xsi:type="xsd:double"&gt;14.0302646214365&lt;/D&gt;&lt;D xsi:type="xsd:double"&gt;14.5561082665678&lt;/D&gt;&lt;D xsi:type="xsd:double"&gt;14.4104209542654&lt;/D&gt;&lt;D xsi:type="xsd:double"&gt;14.8402097806541&lt;/D&gt;&lt;D xsi:type="xsd:double"&gt;14.360214453195&lt;/D&gt;&lt;D xsi:type="xsd:double"&gt;14.0744901829058&lt;/D&gt;&lt;D xsi:type="xsd:double"&gt;14.0901954550804&lt;/D&gt;&lt;D xsi:type="xsd:double"&gt;13.3790089075246&lt;/D&gt;&lt;D xsi:type="xsd:double"&gt;13.345047118116&lt;/D&gt;&lt;D xsi:type="xsd:double"&gt;12.8255122560701&lt;/D&gt;&lt;D xsi:type="xsd:double"&gt;12.1528409970108&lt;/D&gt;&lt;D xsi:type="xsd:double"&gt;12.2733250969159&lt;/D&gt;&lt;D xsi:type="xsd:double"&gt;12.7518756264487&lt;/D&gt;&lt;D xsi:type="xsd:double"&gt;13.389551665396&lt;/D&gt;&lt;D xsi:type="xsd:double"&gt;13.8092575104258&lt;/D&gt;&lt;D xsi:type="xsd:double"&gt;13.4685248128253&lt;/D&gt;&lt;D xsi:type="xsd:double"&gt;13.5480177128308&lt;/D&gt;&lt;D xsi:type="xsd:double"&gt;13.9362261199452&lt;/D&gt;&lt;D xsi:type="xsd:double"&gt;13.5032006423679&lt;/D&gt;&lt;D xsi:type="xsd:double"&gt;14.0366820326133&lt;/D&gt;&lt;D xsi:type="xsd:double"&gt;13.7807533272941&lt;/D&gt;&lt;D xsi:type="xsd:double"&gt;14.7464585429046&lt;/D&gt;&lt;D xsi:type="xsd:double"&gt;14.5841647873829&lt;/D&gt;&lt;D xsi:type="xsd:double"&gt;15.0207802655767&lt;/D&gt;&lt;D xsi:type="xsd:double"&gt;15.0173055439694&lt;/D&gt;&lt;D xsi:type="xsd:double"&gt;12.1531486167061&lt;/D&gt;&lt;D xsi:type="xsd:double"&gt;14.4908623134977&lt;/D&gt;&lt;D xsi:type="xsd:double"&gt;16.8083931155547&lt;/D&gt;&lt;D xsi:type="xsd:double"&gt;19.2245357237631&lt;/D&gt;&lt;D xsi:type="xsd:double"&gt;18.9420199041457&lt;/D&gt;&lt;D xsi:type="xsd:double"&gt;19.5873112514267&lt;/D&gt;&lt;D xsi:type="xsd:double"&gt;19.354697164928&lt;/D&gt;&lt;D xsi:type="xsd:double"&gt;18.447506381397&lt;/D&gt;&lt;D xsi:type="xsd:double"&gt;18.8765154935587&lt;/D&gt;&lt;D xsi:type="xsd:double"&gt;18.6850091858444&lt;/D&gt;&lt;D xsi:type="xsd:double"&gt;18.2940848987736&lt;/D&gt;&lt;D xsi:type="xsd:double"&gt;17.9717558013052&lt;/D&gt;&lt;D xsi:type="xsd:double"&gt;18.1749561530317&lt;/D&gt;&lt;D xsi:type="xsd:double"&gt;18.3359406113143&lt;/D&gt;&lt;D xsi:type="xsd:double"&gt;17.9645279217465&lt;/D&gt;&lt;D xsi:type="xsd:double"&gt;17.995777060839&lt;/D&gt;&lt;D xsi:type="xsd:double"&gt;17.2489959662251&lt;/D&gt;&lt;D xsi:type="xsd:double"&gt;16.8049686213087&lt;/D&gt;&lt;D xsi:type="xsd:double"&gt;16.2713228451041&lt;/D&gt;&lt;D xsi:type="xsd:double"&gt;15.4921927356172&lt;/D&gt;&lt;D xsi:type="xsd:double"&gt;15.9394567734205&lt;/D&gt;&lt;D xsi:type="xsd:double"&gt;15.5928069293862&lt;/D&gt;&lt;D xsi:type="xsd:double"&gt;15.859900146071&lt;/D&gt;&lt;D xsi:type="xsd:double"&gt;15.1507841929371&lt;/D&gt;&lt;D xsi:type="xsd:double"&gt;13.293764848201&lt;/D&gt;&lt;D xsi:type="xsd:double"&gt;13.1845817953236&lt;/D&gt;&lt;D xsi:type="xsd:double"&gt;11.8692965421386&lt;/D&gt;&lt;D xsi:type="xsd:double"&gt;12.0794718828091&lt;/D&gt;&lt;D xsi:type="xsd:double"&gt;11.2125345377942&lt;/D&gt;&lt;D xsi:type="xsd:double"&gt;11.7381131902151&lt;/D&gt;&lt;D xsi:type="xsd:double"&gt;11.217122843445&lt;/D&gt;&lt;D xsi:type="xsd:double"&gt;10.4347177804475&lt;/D&gt;&lt;D xsi:type="xsd:double"&gt;11.4882437034699&lt;/D&gt;&lt;D xsi:type="xsd:double"&gt;12.1441439091093&lt;/D&gt;&lt;D xsi:type="xsd:double"&gt;12.6356978067542&lt;/D&gt;&lt;D xsi:type="xsd:double"&gt;13.268119911041&lt;/D&gt;&lt;D xsi:type="xsd:double"&gt;13.2842890235569&lt;/D&gt;&lt;D xsi:type="xsd:double"&gt;13.3527528230257&lt;/D&gt;&lt;D xsi:type="xsd:double"&gt;13.398198502993&lt;/D&gt;&lt;D xsi:type="xsd:double"&gt;13.0086663808605&lt;/D&gt;&lt;D xsi:type="xsd:double"&gt;12.7596550186892&lt;/D&gt;&lt;D xsi:type="xsd:double"&gt;13.0568062528938&lt;/D&gt;&lt;D xsi:type="xsd:double"&gt;12.7954337159391&lt;/D&gt;&lt;D xsi:type="xsd:double"&gt;12.2673273410981&lt;/D&gt;&lt;D xsi:type="xsd:double"&gt;12.5739846838707&lt;/D&gt;&lt;D xsi:type="xsd:double"&gt;13.2866846192574&lt;/D&gt;&lt;D xsi:type="xsd:double"&gt;13.2265336692013&lt;/D&gt;&lt;D xsi:type="xsd:double"&gt;13.7989094006787&lt;/D&gt;&lt;D xsi:type="xsd:double"&gt;14.4736632878539&lt;/D&gt;&lt;D xsi:type="xsd:double"&gt;14.4608182582011&lt;/D&gt;&lt;D xsi:type="xsd:double"&gt;14.3981260506018&lt;/D&gt;&lt;/FQL&gt;&lt;FQL&gt;&lt;Q&gt;QQQ^FMA_PE(LTMA,-10AY,0,AM,"PORTAGG","MEANR")&lt;/Q&gt;&lt;R&gt;121&lt;/R&gt;&lt;C&gt;1&lt;/C&gt;&lt;D xsi:type="xsd:double"&gt;18.6831798059621&lt;/D&gt;&lt;D xsi:type="xsd:double"&gt;18.9939140643162&lt;/D&gt;&lt;D xsi:type="xsd:double"&gt;19.1205413890782&lt;/D&gt;&lt;D xsi:type="xsd:double"&gt;18.9100927674691&lt;/D&gt;&lt;D xsi:type="xsd:double"&gt;19.3740194758302&lt;/D&gt;&lt;D xsi:type="xsd:double"&gt;19.0263612697777&lt;/D&gt;&lt;D xsi:type="xsd:double"&gt;19.7512945585278&lt;/D&gt;&lt;D xsi:type="xsd:double"&gt;20.3665984808645&lt;/D&gt;&lt;D xsi:type="xsd:double"&gt;19.9467153214544&lt;/D&gt;&lt;D xsi:type="xsd:double"&gt;19.6724000461172&lt;/D&gt;&lt;D xsi:type="xsd:double"&gt;20.6907147348155&lt;/D&gt;&lt;D xsi:type="xsd:double"&gt;20.4977387415972&lt;/D&gt;&lt;D xsi:type="xsd:double"&gt;20.3269239913662&lt;/D&gt;&lt;D xsi:type="xsd:double"&gt;20.0665610581204&lt;/D&gt;&lt;D xsi:type="xsd:double"&gt;19.7009641175542&lt;/D&gt;&lt;D xsi:type="xsd:double"&gt;20.2352144378514&lt;/D&gt;&lt;D xsi:type="xsd:double"&gt;19.3371418659384&lt;/D&gt;&lt;D xsi:type="xsd:double"&gt;19.5756943326247&lt;/D&gt;&lt;D xsi:type="xsd:double"&gt;20.3681606964965&lt;/D&gt;&lt;D xsi:type="xsd:double"&gt;20.214281910772&lt;/D&gt;&lt;D xsi:type="xsd:double"&gt;18.8909591873629&lt;/D&gt;&lt;D xsi:type="xsd:double"&gt;17.2998050237701&lt;/D&gt;&lt;D xsi:type="xsd:double"&gt;18.218272567801&lt;/D&gt;&lt;D xsi:type="xsd:double"&gt;18.3871666874088&lt;/D&gt;&lt;D xsi:type="xsd:double"&gt;18.3280146479721&lt;/D&gt;&lt;D xsi:type="xsd:double"&gt;18.6358122112034&lt;/D&gt;&lt;D xsi:type="xsd:double"&gt;18.8651845983645&lt;/D&gt;&lt;D xsi:type="xsd:double"&gt;19.5484375911066&lt;/D&gt;&lt;D xsi:type="xsd:double"&gt;19.3011734708972&lt;/D&gt;&lt;D xsi:type="xsd:double"&gt;19.9729662689964&lt;/D&gt;&lt;D xsi:type="xsd:double"&gt;19.8728439240778&lt;/D&gt;&lt;D xsi:type="xsd:double"&gt;20.2460574627044&lt;/D&gt;&lt;D xsi:type="xsd:double"&gt;20.925366019442&lt;/D&gt;&lt;D xsi:type="xsd:double"&gt;21.4835936510787&lt;/D&gt;&lt;D xsi:type="xsd:double"&gt;21.6910910334971&lt;/D&gt;&lt;D xsi:type="xsd:double"&gt;21.6223326192103&lt;/D&gt;&lt;D xsi:type="xsd:double"&gt;21.8402300048255&lt;/D&gt;&lt;D xsi:type="xsd:double"&gt;21.8748013587034&lt;/D&gt;&lt;D xsi:type="xsd:double"&gt;21.6461625867379&lt;/D&gt;&lt;D xsi:type="xsd:double"&gt;22.1512712623506&lt;/D&gt;&lt;D xsi:type="xsd:double"&gt;22.1178180849743&lt;/D&gt;&lt;D xsi:type="xsd:double"&gt;22.5375916363471&lt;/D&gt;&lt;D xsi:type="xsd:double"&gt;22.9854735228866&lt;/D&gt;&lt;D xsi:type="xsd:double"&gt;23.1165535866492&lt;/D&gt;&lt;D xsi:type="xsd:double"&gt;24.5388365108205&lt;/D&gt;&lt;D xsi:type="xsd:double"&gt;22.7594555680994&lt;/D&gt;&lt;D xsi:type="xsd:double"&gt;24.1766392763791&lt;/D&gt;&lt;D xsi:type="xsd:double"&gt;23.4217070376032&lt;/D&gt;&lt;D xsi:type="xsd:double"&gt;23.334439295551&lt;/D&gt;&lt;D xsi:type="xsd:double"&gt;23.31499405032&lt;/D&gt;&lt;D xsi:type="xsd:double"&gt;23.2612222331469&lt;/D&gt;&lt;D xsi:type="xsd:double"&gt;23.2271488162311&lt;/D&gt;&lt;D xsi:type="xsd:double"&gt;22.953493310515&lt;/D&gt;&lt;D xsi:type="xsd:double"&gt;22.642726641441&lt;/D&gt;&lt;D xsi:type="xsd:double"&gt;21.1929705968218&lt;/D&gt;&lt;D xsi:type="xsd:double"&gt;19.7483990713588&lt;/D&gt;&lt;D xsi:type="xsd:double"&gt;19.5560552035971&lt;/D&gt;&lt;D xsi:type="xsd:double"&gt;20.356916201376&lt;/D&gt;&lt;D xsi:type="xsd:double"&gt;20.8384295460104&lt;/D&gt;&lt;D xsi:type="xsd:double"&gt;21.1856556496983&lt;/D&gt;&lt;D xsi:type="xsd:double"&gt;21.2762912277877&lt;/D&gt;&lt;D xsi:type="xsd:double"&gt;21.1478465078716&lt;/D&gt;&lt;D xsi:type="xsd:double"&gt;21.8777730088143&lt;/D&gt;&lt;D xsi:type="xsd:double"&gt;21.684763677813&lt;/D&gt;&lt;D xsi:type="xsd:double"&gt;22.1540561783196&lt;/D&gt;&lt;D xsi:type="xsd:double"&gt;22.0075765224953&lt;/D&gt;&lt;D xsi:type="xsd:double"&gt;23.4354247479473&lt;/D&gt;&lt;D xsi:type="xsd:double"&gt;24.1363465220121&lt;/D&gt;&lt;D xsi:type="xsd:double"&gt;26.1437363491514&lt;/D&gt;&lt;D xsi:type="xsd:double"&gt;26.6104981827653&lt;/D&gt;&lt;D xsi:type="xsd:double"&gt;23.5066602334122&lt;/D&gt;&lt;D xsi:type="xsd:double"&gt;23.9586368620355&lt;/D&gt;&lt;D xsi:type="xsd:double"&gt;25.6723465951813&lt;/D&gt;&lt;D xsi:type="xsd:double"&gt;27.2006599163191&lt;/D&gt;&lt;D xsi:type="xsd:double"&gt;28.7927972277653&lt;/D&gt;&lt;D xsi:type="xsd:double"&gt;29.1053992036647&lt;/D&gt;&lt;D xsi:type="xsd:double"&gt;30.3284412906517&lt;/D&gt;&lt;D xsi:type="xsd:double"&gt;31.7159203918832&lt;/D&gt;&lt;D xsi:type="xsd:double"&gt;31.6864550836772&lt;/D&gt;&lt;D xsi:type="xsd:double"&gt;33.6482140685725&lt;/D&gt;&lt;D xsi:type="xsd:double"&gt;35.6737007467951&lt;/D&gt;&lt;D xsi:type="xsd:double"&gt;35.342522385041&lt;/D&gt;&lt;D xsi:type="xsd:double"&gt;32.7311730482668&lt;/D&gt;&lt;D xsi:type="xsd:double"&gt;32.8854909056106&lt;/D&gt;&lt;D xsi:type="xsd:double"&gt;31.9233352786327&lt;/D&gt;&lt;D xsi:type="xsd:double"&gt;31.4220688289771&lt;/D&gt;&lt;D xsi:type="xsd:double"&gt;32.0521816636694&lt;/D&gt;&lt;D xsi:type="xsd:double"&gt;31.3918843537787&lt;/D&gt;&lt;D xsi:type="xsd:double"&gt;31.6228504220818&lt;/D&gt;&lt;D xsi:type="xsd:double"&gt;30.463981185866&lt;/D&gt;&lt;D xsi:type="xsd:double"&gt;31.9634289752691&lt;/D&gt;&lt;D xsi:type="xsd:double"&gt;31.5787257560901&lt;/D&gt;&lt;D xsi:type="xsd:double"&gt;30.4094443542769&lt;/D&gt;&lt;D xsi:type="xsd:double"&gt;28.4572441264713&lt;/D&gt;&lt;D xsi:type="xsd:double"&gt;26.4931786298957&lt;/D&gt;&lt;D xsi:type="xsd:double"&gt;26.5723987966581&lt;/D&gt;&lt;D xsi:type="xsd:double"&gt;25.2762143689558&lt;/D&gt;&lt;D xsi:type="xsd:double"&gt;24.9483255764206&lt;/D&gt;&lt;D xsi:type="xsd:double"&gt;24.603772074484&lt;/D&gt;&lt;D xsi:type="xsd:double"&gt;25.7880769585896&lt;/D&gt;&lt;D xsi:type="xsd:double"&gt;25.0694818397014&lt;/D&gt;&lt;D xsi:type="xsd:double"&gt;22.7368196989686&lt;/D&gt;&lt;D xsi:type="xsd:double"&gt;22.2205038611682&lt;/D&gt;&lt;D xsi:type="xsd:double"&gt;23.1611527570114&lt;/D&gt;&lt;D xsi:type="xsd:double"&gt;23.0275315948347&lt;/D&gt;&lt;D xsi:type="xsd:double"&gt;25.8041725346363&lt;/D&gt;&lt;D xsi:type="xsd:double"&gt;25.1843613576838&lt;/D&gt;&lt;D xsi:type="xsd:double"&gt;25.6386052290867&lt;/D&gt;&lt;D xsi:type="xsd:double"&gt;25.6470089297307&lt;/D&gt;&lt;D xsi:type="xsd:double"&gt;26.6471379852146&lt;/D&gt;&lt;D xsi:type="xsd:double"&gt;27.205628459393&lt;/D&gt;&lt;D xsi:type="xsd:double"&gt;26.4042237289726&lt;/D&gt;&lt;D xsi:type="xsd:double"&gt;26.5674202803918&lt;/D&gt;&lt;D xsi:type="xsd:double"&gt;26.4317960129934&lt;/D&gt;&lt;D xsi:type="xsd:double"&gt;26.4761937347155&lt;/D&gt;&lt;D xsi:type="xsd:double"&gt;27.9102498897511&lt;/D&gt;&lt;D xsi:type="xsd:double"&gt;28.83265757282&lt;/D&gt;&lt;D xsi:type="xsd:double"&gt;30.4393399015297&lt;/D&gt;&lt;D xsi:type="xsd:double"&gt;30.2193713825455&lt;/D&gt;&lt;D xsi:type="xsd:double"&gt;29.9185063848954&lt;/D&gt;&lt;D xsi:type="xsd:double"&gt;29.5858071913356&lt;/D&gt;&lt;/FQL&gt;&lt;FQL&gt;&lt;Q&gt;DDR3512M-FDS^FG_PRICE(0)&lt;/Q&gt;&lt;R&gt;1&lt;/R&gt;&lt;C&gt;1&lt;/C&gt;&lt;D xsi:type="xsd:double"&gt;0.96773726&lt;/D&gt;&lt;/FQL&gt;&lt;FQL&gt;&lt;Q&gt;PASP-FDS^FG_PRICE(0)&lt;/Q&gt;&lt;R&gt;1&lt;/R&gt;&lt;C&gt;1&lt;/C&gt;&lt;D xsi:type="xsd:double"&gt;960&lt;/D&gt;&lt;/FQL&gt;&lt;FQL&gt;&lt;Q&gt;PLATI-FDS^FG_PRICE(0)&lt;/Q&gt;&lt;R&gt;1&lt;/R&gt;&lt;C&gt;1&lt;/C&gt;&lt;D xsi:type="xsd:double"&gt;972&lt;/D&gt;&lt;/FQL&gt;&lt;FQL&gt;&lt;Q&gt;W-FDS^FG_PRICE(0)&lt;/Q&gt;&lt;R&gt;1&lt;/R&gt;&lt;C&gt;1&lt;/C&gt;&lt;D xsi:type="xsd:double"&gt;6.1975&lt;/D&gt;&lt;/FQL&gt;&lt;FQL&gt;&lt;Q&gt;COPP-FDS^FG_PRICE(0)&lt;/Q&gt;&lt;R&gt;1&lt;/R&gt;&lt;C&gt;1&lt;/C&gt;&lt;D xsi:type="xsd:double"&gt;4.6075&lt;/D&gt;&lt;/FQL&gt;&lt;FQL&gt;&lt;Q&gt;FC0000US^FG_PRICE(0)&lt;/Q&gt;&lt;R&gt;1&lt;/R&gt;&lt;C&gt;1&lt;/C&gt;&lt;D xsi:type="xsd:double"&gt;392.14526&lt;/D&gt;&lt;/FQL&gt;&lt;FQL&gt;&lt;Q&gt;FC0000GR^FG_PRICE(0)&lt;/Q&gt;&lt;R&gt;1&lt;/R&gt;&lt;C&gt;1&lt;/C&gt;&lt;D xsi:type="xsd:double"&gt;9.90868&lt;/D&gt;&lt;/FQL&gt;&lt;FQL&gt;&lt;Q&gt;EWI^FG_PRICE(0)&lt;/Q&gt;&lt;R&gt;1&lt;/R&gt;&lt;C&gt;1&lt;/C&gt;&lt;D xsi:type="xsd:double"&gt;37.89&lt;/D&gt;&lt;/FQL&gt;&lt;FQL&gt;&lt;Q&gt;SPY^FG_PRICE(0)&lt;/Q&gt;&lt;R&gt;1&lt;/R&gt;&lt;C&gt;1&lt;/C&gt;&lt;D xsi:type="xsd:double"&gt;520.17&lt;/D&gt;&lt;/FQL&gt;&lt;FQL&gt;&lt;Q&gt;EWJ^FG_PRICE(0)&lt;/Q&gt;&lt;R&gt;1&lt;/R&gt;&lt;C&gt;1&lt;/C&gt;&lt;D xsi:type="xsd:double"&gt;68.34&lt;/D&gt;&lt;/FQL&gt;&lt;FQL&gt;&lt;Q&gt;ENZL^FG_PRICE(0)&lt;/Q&gt;&lt;R&gt;1&lt;/R&gt;&lt;C&gt;1&lt;/C&gt;&lt;D xsi:type="xsd:double"&gt;45.28&lt;/D&gt;&lt;/FQL&gt;&lt;FQL&gt;&lt;Q&gt;EWA^FG_COMPANY_NAME&lt;/Q&gt;&lt;R&gt;1&lt;/R&gt;&lt;C&gt;1&lt;/C&gt;&lt;D xsi:type="xsd:string"&gt;iShares MSCI Australia ETF&lt;/D&gt;&lt;/FQL&gt;&lt;FQL&gt;&lt;Q&gt;FXI^P_PRICE(0)/P_PRICE_LOW_PR(0,,,,,,"PRICE","INTRA","52W")-1&lt;/Q&gt;&lt;R&gt;1&lt;/R&gt;&lt;C&gt;1&lt;/C&gt;&lt;D xsi:type="xsd:double"&gt;0.31351864&lt;/D&gt;&lt;/FQL&gt;&lt;FQL&gt;&lt;Q&gt;SPY^FMA_PCT_ABOVE_MAVG(200,0,,,,"PORTAGG")&lt;/Q&gt;&lt;R&gt;1&lt;/R&gt;&lt;C&gt;1&lt;/C&gt;&lt;D xsi:type="xsd:double"&gt;74.2&lt;/D&gt;&lt;/FQL&gt;&lt;FQL&gt;&lt;Q&gt;DUMMY^ECON_EXPR_DATA('FDS_ECON[NTCPMIMFGSA@EME]',,,M)&lt;/Q&gt;&lt;R&gt;1&lt;/R&gt;&lt;C&gt;1&lt;/C&gt;&lt;D xsi:type="xsd:double"&gt;51.99054&lt;/D&gt;&lt;/FQL&gt;&lt;FQL&gt;&lt;Q&gt;EWD^FMA_ROE(NTMA,-20AY,NOW,FY,"PORTAGG","MEANR")&lt;/Q&gt;&lt;R&gt;20&lt;/R&gt;&lt;C&gt;1&lt;/C&gt;&lt;D xsi:type="xsd:double"&gt;16.2261090864793&lt;/D&gt;&lt;D xsi:type="xsd:double"&gt;17.2247287220762&lt;/D&gt;&lt;D xsi:type="xsd:double"&gt;18.2100106841597&lt;/D&gt;&lt;D xsi:type="xsd:double"&gt;18.8871757625538&lt;/D&gt;&lt;D xsi:type="xsd:double"&gt;13.942889841066&lt;/D&gt;&lt;D xsi:type="xsd:double"&gt;10.3461745032911&lt;/D&gt;&lt;D xsi:type="xsd:double"&gt;15.8182159921786&lt;/D&gt;&lt;D xsi:type="xsd:double"&gt;15.7255547384444&lt;/D&gt;&lt;D xsi:type="xsd:double"&gt;14.800794930169&lt;/D&gt;&lt;D xsi:type="xsd:double"&gt;14.1943515647563&lt;/D&gt;&lt;D xsi:type="xsd:double"&gt;13.790896513923&lt;/D&gt;&lt;D xsi:type="xsd:double"&gt;13.0367586478869&lt;/D&gt;&lt;D xsi:type="xsd:double"&gt;12.3225531542011&lt;/D&gt;&lt;D xsi:type="xsd:double"&gt;13.8549633296522&lt;/D&gt;&lt;D xsi:type="xsd:double"&gt;13.3193557094803&lt;/D&gt;&lt;D xsi:type="xsd:double"&gt;13.411796827237&lt;/D&gt;&lt;D xsi:type="xsd:double"&gt;11.9070326866152&lt;/D&gt;&lt;D xsi:type="xsd:double"&gt;15.3602779627681&lt;/D&gt;&lt;D xsi:type="xsd:double"&gt;14.6912945484006&lt;/D&gt;&lt;D xsi:type="xsd:double"&gt;15.4099830395887&lt;/D&gt;&lt;/FQL&gt;&lt;FQL&gt;&lt;Q&gt;^FG_YIELD(-10AY,0,Y,,"YTM")&lt;/Q&gt;&lt;R&gt;10&lt;/R&gt;&lt;C&gt;1&lt;/C&gt;&lt;D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xsi:type="xsd:double"&gt;2.004&lt;/D&gt;&lt;/FQL&gt;&lt;FQL&gt;&lt;Q&gt;WL-FDS^MAX(FG_PRICE(0,-5AY))&lt;/Q&gt;&lt;R&gt;1&lt;/R&gt;&lt;C&gt;1&lt;/C&gt;&lt;D xsi:type="xsd:double"&gt;763.4&lt;/D&gt;&lt;/FQL&gt;&lt;FQL&gt;&lt;Q&gt;CPALM-FDS^MAX(FG_PRICE(0,-5AY))&lt;/Q&gt;&lt;R&gt;1&lt;/R&gt;&lt;C&gt;1&lt;/C&gt;&lt;D xsi:type="xsd:double"&gt;8163&lt;/D&gt;&lt;/FQL&gt;&lt;FQL&gt;&lt;Q&gt;BRENT-FDS^MAX(FG_PRICE(0,-5AY))&lt;/Q&gt;&lt;R&gt;1&lt;/R&gt;&lt;C&gt;1&lt;/C&gt;&lt;D xsi:type="xsd:double"&gt;140.85&lt;/D&gt;&lt;/FQL&gt;&lt;FQL&gt;&lt;Q&gt;FC0000GB^FG_PRICE(0)&lt;/Q&gt;&lt;R&gt;1&lt;/R&gt;&lt;C&gt;1&lt;/C&gt;&lt;D xsi:type="xsd:double"&gt;127.644554&lt;/D&gt;&lt;/FQL&gt;&lt;FQL&gt;&lt;Q&gt;EWD^FG_PRICE_MAVG(0,,,,200)&lt;/Q&gt;&lt;R&gt;1&lt;/R&gt;&lt;C&gt;1&lt;/C&gt;&lt;D xsi:type="xsd:double"&gt;36.39495&lt;/D&gt;&lt;/FQL&gt;&lt;FQL&gt;&lt;Q&gt;QQQ^FG_PRICE_MAVG(0,,,,200)&lt;/Q&gt;&lt;R&gt;1&lt;/R&gt;&lt;C&gt;1&lt;/C&gt;&lt;D xsi:type="xsd:double"&gt;399.9724&lt;/D&gt;&lt;/FQL&gt;&lt;FQL&gt;&lt;Q&gt;EWG^FG_PRICE_MAVG(0,,,,200)&lt;/Q&gt;&lt;R&gt;1&lt;/R&gt;&lt;C&gt;1&lt;/C&gt;&lt;D xsi:type="xsd:double"&gt;28.70195&lt;/D&gt;&lt;/FQL&gt;&lt;FQL&gt;&lt;Q&gt;EWI^FG_COMPANY_NAME&lt;/Q&gt;&lt;R&gt;1&lt;/R&gt;&lt;C&gt;1&lt;/C&gt;&lt;D xsi:type="xsd:string"&gt;iShares MSCI Italy ETF&lt;/D&gt;&lt;/FQL&gt;&lt;FQL&gt;&lt;Q&gt;ENZL^FG_COMPANY_NAME&lt;/Q&gt;&lt;R&gt;1&lt;/R&gt;&lt;C&gt;1&lt;/C&gt;&lt;D xsi:type="xsd:string"&gt;iShares MSCI New Zealand ETF&lt;/D&gt;&lt;/FQL&gt;&lt;FQL&gt;&lt;Q&gt;FXI^P_PRICE(0)/P_PRICE_HIGH_PR(0,,,,,,"PRICE","INTRA","52W")&lt;/Q&gt;&lt;R&gt;1&lt;/R&gt;&lt;C&gt;1&lt;/C&gt;&lt;D xsi:type="xsd:double"&gt;0.89718395&lt;/D&gt;&lt;/FQL&gt;&lt;FQL&gt;&lt;Q&gt;URTH^PERCENT_CHANGE(FMA_EPS(+1,0,,,,"PORTAGG","MEAN"),FMA_EPS(+1,-1AM,,,,"PORTAGG","MEAN"))&lt;/Q&gt;&lt;R&gt;1&lt;/R&gt;&lt;C&gt;1&lt;/C&gt;&lt;D xsi:type="xsd:double"&gt;0.160842246080257&lt;/D&gt;&lt;/FQL&gt;&lt;FQL&gt;&lt;Q&gt;VGK^FG_TOTAL_RETURNC(0,-1AM)&lt;/Q&gt;&lt;R&gt;1&lt;/R&gt;&lt;C&gt;1&lt;/C&gt;&lt;D xsi:type="xsd:double"&gt;2.4791002&lt;/D&gt;&lt;/FQL&gt;&lt;FQL&gt;&lt;Q&gt;EWD^FG_TOTAL_RETURNC(0,-6AM)&lt;/Q&gt;&lt;R&gt;1&lt;/R&gt;&lt;C&gt;1&lt;/C&gt;&lt;D xsi:type="xsd:double"&gt;26.274824&lt;/D&gt;&lt;/FQL&gt;&lt;FQL&gt;&lt;Q&gt;EWQ^P_PRICE(0)/P_PRICE_LOW_PR(0,,,,,,"PRICE","INTRA","52W")-1&lt;/Q&gt;&lt;R&gt;1&lt;/R&gt;&lt;C&gt;1&lt;/C&gt;&lt;D xsi:type="xsd:double"&gt;0.24688065&lt;/D&gt;&lt;/FQL&gt;&lt;FQL&gt;&lt;Q&gt;EWU^PERCENT_CHANGE(FMA_EPS(+1,0,,,,"PORTAGG","MEAN"),FMA_EPS(+1,-3AM,,,,"PORTAGG","MEAN"))&lt;/Q&gt;&lt;R&gt;1&lt;/R&gt;&lt;C&gt;1&lt;/C&gt;&lt;D xsi:type="xsd:double"&gt;2.21503879175868&lt;/D&gt;&lt;/FQL&gt;&lt;FQL&gt;&lt;Q&gt;EWJ^FG_TOTAL_RETURNC(0,-3AM)&lt;/Q&gt;&lt;R&gt;1&lt;/R&gt;&lt;C&gt;1&lt;/C&gt;&lt;D xsi:type="xsd:double"&gt;2.566409&lt;/D&gt;&lt;/FQL&gt;&lt;FQL&gt;&lt;Q&gt;EWC^P_PRICE(0)/P_PRICE_HIGH_PR(0,,,,,,"PRICE","INTRA","52W")&lt;/Q&gt;&lt;R&gt;1&lt;/R&gt;&lt;C&gt;1&lt;/C&gt;&lt;D xsi:type=</t>
        </r>
      </text>
    </comment>
    <comment ref="A2" authorId="0" shapeId="0" xr:uid="{3D7D41CA-CB33-4A66-A9F4-F9F62A78AF4D}">
      <text>
        <r>
          <rPr>
            <b/>
            <sz val="9"/>
            <color indexed="81"/>
            <rFont val="Tahoma"/>
            <charset val="1"/>
          </rPr>
          <t>"xsd:double"&gt;0.9911963&lt;/D&gt;&lt;/FQL&gt;&lt;FQL&gt;&lt;Q&gt;ENZL^FG_TOTAL_RETURNC(0,-12AM)&lt;/Q&gt;&lt;R&gt;1&lt;/R&gt;&lt;C&gt;1&lt;/C&gt;&lt;D xsi:type="xsd:double"&gt;-7.4812174&lt;/D&gt;&lt;/FQL&gt;&lt;FQL&gt;&lt;Q&gt;EWJ^FMA_COS_DOWN("EPS","1M",+1,0,,,"PORTAGG","MEANR")&lt;/Q&gt;&lt;R&gt;1&lt;/R&gt;&lt;C&gt;1&lt;/C&gt;&lt;D xsi:type="xsd:double"&gt;82&lt;/D&gt;&lt;/FQL&gt;&lt;FQL&gt;&lt;Q&gt;CAGDPY@FR^EE_ACTUAL_ANNUAL(MED,0)&lt;/Q&gt;&lt;R&gt;1&lt;/R&gt;&lt;C&gt;1&lt;/C&gt;&lt;D xsi:type="xsd:double"&gt;-0.76356065982077&lt;/D&gt;&lt;/FQL&gt;&lt;FQL&gt;&lt;Q&gt;CAGDPY@AU^EE_ACTUAL_ANNUAL(MED,0)&lt;/Q&gt;&lt;R&gt;1&lt;/R&gt;&lt;C&gt;1&lt;/C&gt;&lt;D xsi:type="xsd:double"&gt;1.21871580460395&lt;/D&gt;&lt;/FQL&gt;&lt;FQL&gt;&lt;Q&gt;USDITL^FG_PRICE_CHANGE(0,-1AM)&lt;/Q&gt;&lt;R&gt;1&lt;/R&gt;&lt;C&gt;1&lt;/C&gt;&lt;D xsi:type="xsd:double"&gt;0.7516384&lt;/D&gt;&lt;/FQL&gt;&lt;FQL&gt;&lt;Q&gt;USDANG^FG_PRICE_CHANGE(0,-1AM)&lt;/Q&gt;&lt;R&gt;1&lt;/R&gt;&lt;C&gt;1&lt;/C&gt;&lt;D xsi:type="xsd:double"&gt;0&lt;/D&gt;&lt;/FQL&gt;&lt;FQL&gt;&lt;Q&gt;USDUSD^FG_PRICE_CHANGE(0,-1AM)&lt;/Q&gt;&lt;R&gt;1&lt;/R&gt;&lt;C&gt;1&lt;/C&gt;&lt;D xsi:type="xsd:double"&gt;0&lt;/D&gt;&lt;/FQL&gt;&lt;FQL&gt;&lt;Q&gt;USDGBP^FG_PRICE_CHANGE(0,-1AM)&lt;/Q&gt;&lt;R&gt;1&lt;/R&gt;&lt;C&gt;1&lt;/C&gt;&lt;D xsi:type="xsd:double"&gt;1.3026953&lt;/D&gt;&lt;/FQL&gt;&lt;FQL&gt;&lt;Q&gt;USDJPY^FG_PRICE_CHANGE(0,-1AM)&lt;/Q&gt;&lt;R&gt;1&lt;/R&gt;&lt;C&gt;1&lt;/C&gt;&lt;D xsi:type="xsd:double"&gt;2.5915742&lt;/D&gt;&lt;/FQL&gt;&lt;FQL&gt;&lt;Q&gt;USDCAD^FG_PRICE_CHANGE(0,-1AM)&lt;/Q&gt;&lt;R&gt;1&lt;/R&gt;&lt;C&gt;1&lt;/C&gt;&lt;D xsi:type="xsd:double"&gt;0.73571205&lt;/D&gt;&lt;/FQL&gt;&lt;FQL&gt;&lt;Q&gt;USDNZD^FG_PRICE_CHANGE(0,-1AM)&lt;/Q&gt;&lt;R&gt;1&lt;/R&gt;&lt;C&gt;1&lt;/C&gt;&lt;D xsi:type="xsd:double"&gt;0.5979657&lt;/D&gt;&lt;/FQL&gt;&lt;FQL&gt;&lt;Q&gt;ENZL^FMA_EPS(NTMA,-20AY,0,CY,,"PORTAGG","MEANR")&lt;/Q&gt;&lt;R&gt;20&lt;/R&gt;&lt;C&gt;1&lt;/C&gt;&lt;D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xsi:type="xsd:double"&gt;2.40890596176463&lt;/D&gt;&lt;D xsi:type="xsd:double"&gt;2.24117429803946&lt;/D&gt;&lt;D xsi:type="xsd:double"&gt;2.40285148565594&lt;/D&gt;&lt;D xsi:type="xsd:double"&gt;2.31210808961864&lt;/D&gt;&lt;D xsi:type="xsd:double"&gt;2.19492193820354&lt;/D&gt;&lt;D xsi:type="xsd:double"&gt;2.04943671601749&lt;/D&gt;&lt;D xsi:type="xsd:double"&gt;2.14962845087329&lt;/D&gt;&lt;D xsi:type="xsd:double"&gt;2.26706810161072&lt;/D&gt;&lt;D xsi:type="xsd:double"&gt;2.29721148308571&lt;/D&gt;&lt;D xsi:type="xsd:double"&gt;2.24732564412744&lt;/D&gt;&lt;D xsi:type="xsd:double"&gt;1.98522618259249&lt;/D&gt;&lt;D xsi:type="xsd:double"&gt;1.82093688879477&lt;/D&gt;&lt;D xsi:type="xsd:double"&gt;2.11037846476333&lt;/D&gt;&lt;D xsi:type="xsd:double"&gt;2.11106621771878&lt;/D&gt;&lt;/FQL&gt;&lt;FQL&gt;&lt;Q&gt;EWI^FG_TOTAL_RETURNC(-10AY,0,AM)&lt;/Q&gt;&lt;R&gt;121&lt;/R&gt;&lt;C&gt;1&lt;/C&gt;&lt;D xsi:type="xsd:double"&gt;-2.8428078&lt;/D&gt;&lt;D xsi:type="xsd:double"&gt;5.7946086&lt;/D&gt;&lt;D xsi:type="xsd:double"&gt;-6.077838&lt;/D&gt;&lt;D xsi:type="xsd:double"&gt;-9.660417&lt;/D&gt;&lt;D xsi:type="xsd:double"&gt;5.249512&lt;/D&gt;&lt;D xsi:type="xsd:double"&gt;-10.652709&lt;/D&gt;&lt;D xsi:type="xsd:double"&gt;-1.58512&lt;/D&gt;&lt;D xsi:type="xsd:double"&gt;1.4005542&lt;/D&gt;&lt;D xsi:type="xsd:double"&gt;-10.57061&lt;/D&gt;&lt;D xsi:type="xsd:double"&gt;6.454122&lt;/D&gt;&lt;D xsi:type="xsd:double"&gt;6.3550115&lt;/D&gt;&lt;D xsi:type="xsd:double"&gt;4.1208744&lt;/D&gt;&lt;D xsi:type="xsd:double"&gt;3.100264&lt;/D&gt;&lt;D xsi:type="xsd:double"&gt;-2.3032606&lt;/D&gt;&lt;D xsi:type="xsd:double"&gt;-3.3696353&lt;/D&gt;&lt;D xsi:type="xsd:double"&gt;7.586205&lt;/D&gt;&lt;D xsi:type="xsd:double"&gt;-6.217951&lt;/D&gt;&lt;D xsi:type="xsd:double"&gt;4.101157&lt;/D&gt;&lt;D xsi:type="xsd:double"&gt;-5.6467476&lt;/D&gt;&lt;D xsi:type="xsd:double"&gt;-2.018094&lt;/D&gt;&lt;D xsi:type="xsd:double"&gt;-8.103836&lt;/D&gt;&lt;D xsi:type="xsd:double"&gt;-16.434109&lt;/D&gt;&lt;D xsi:type="xsd:double"&gt;10.204088&lt;/D&gt;&lt;D xsi:type="xsd:double"&gt;-1.010102&lt;/D&gt;&lt;D xsi:type="xsd:double"&gt;1.9557834&lt;/D&gt;&lt;D xsi:type="xsd:double"&gt;1.584661&lt;/D&gt;&lt;D xsi:type="xsd:double"&gt;-10.914719&lt;/D&gt;&lt;D xsi:type="xsd:double"&gt;5.1184773&lt;/D&gt;&lt;D xsi:type="xsd:double"&gt;2.8854847&lt;/D&gt;&lt;D xsi:type="xsd:double"&gt;-3.6809802&lt;/D&gt;&lt;D xsi:type="xsd:double"&gt;0.7279396&lt;/D&gt;&lt;D xsi:type="xsd:double"&gt;6.097567&lt;/D&gt;&lt;D xsi:type="xsd:double"&gt;5.0043106&lt;/D&gt;&lt;D xsi:type="xsd:double"&gt;-2.6186645&lt;/D&gt;&lt;D xsi:type="xsd:double"&gt;2.773106&lt;/D&gt;&lt;D xsi:type="xsd:double"&gt;3.7612438&lt;/D&gt;&lt;D xsi:type="xsd:double"&gt;8.628845&lt;/D&gt;&lt;D xsi:type="xsd:double"&gt;2.3939013&lt;/D&gt;&lt;D xsi:type="xsd:double"&gt;1.5315294&lt;/D&gt;&lt;D xsi:type="xsd:double"&gt;7.0337415&lt;/D&gt;&lt;D xsi:type="xsd:double"&gt;1.7258525&lt;/D&gt;&lt;D xsi:type="xsd:double"&gt;0.29363632&lt;/D&gt;&lt;D xsi:type="xsd:double"&gt;0.2602458&lt;/D&gt;&lt;D xsi:type="xsd:double"&gt;1.7196655&lt;/D&gt;&lt;D xsi:type="xsd:double"&gt;2.4440765&lt;/D&gt;&lt;D xsi:type="xsd:double"&gt;-0.75140595&lt;/D&gt;&lt;D xsi:type="xsd:double"&gt;2.7129412&lt;/D&gt;&lt;D xsi:type="xsd:double"&gt;1.1670709&lt;/D&gt;&lt;D xsi:type="xsd:double"&gt;1.7607808&lt;/D&gt;&lt;D xsi:type="xsd:double"&gt;-11.724347&lt;/D&gt;&lt;D xsi:type="xsd:double"&gt;3.1148672&lt;/D&gt;&lt;D xsi:type="xsd:double"&gt;-3.1334221&lt;/D&gt;&lt;D xsi:type="xsd:double"&gt;-5.5999994&lt;/D&gt;&lt;D xsi:type="xsd:double"&gt;-1.5843809&lt;/D&gt;&lt;D xsi:type="xsd:double"&gt;-4.717326&lt;/D&gt;&lt;D xsi:type="xsd:double"&gt;-2.750492&lt;/D&gt;&lt;D xsi:type="xsd:double"&gt;4.4287086&lt;/D&gt;&lt;D xsi:type="xsd:double"&gt;0.27428865&lt;/D&gt;&lt;D xsi:type="xsd:double"&gt;4.7284007&lt;/D&gt;&lt;D xsi:type="xsd:double"&gt;5.1865697&lt;/D&gt;&lt;D xsi:type="xsd:double"&gt;-3.1926215&lt;/D&gt;&lt;D xsi:type="xsd:double"&gt;-0.40308237&lt;/D&gt;&lt;D xsi:type="xsd:double"&gt;6.792176&lt;/D&gt;&lt;D xsi:type="xsd:double"&gt;-7.5579286&lt;/D&gt;&lt;D xsi:type="xsd:double"&gt;6.787503&lt;/D&gt;&lt;D xsi:type="xsd:double"&gt;-2.5641084&lt;/D&gt;&lt;D xsi:type="xsd:double"&gt;9.34025&lt;/D&gt;&lt;D xsi:type="xsd:double"&gt;-3.3559322&lt;/D&gt;&lt;D xsi:type="xsd:double"&gt;5.2877784&lt;/D&gt;&lt;D xsi:type="xsd:double"&gt;0.13418198&lt;/D&gt;&lt;D xsi:type="xsd:double"&gt;-22.847569&lt;/D&gt;&lt;D xsi:type="xsd:double"&gt;-6.64351&lt;/D&gt;&lt;D xsi:type="xsd:double"&gt;-3.3023238&lt;/D&gt;&lt;D xsi:type="xsd:double"&gt;20.49061&lt;/D&gt;&lt;D xsi:type="xsd:double"&gt;-1.5354335&lt;/D&gt;&lt;D xsi:type="xsd:double"&gt;4.260552&lt;/D&gt;&lt;D xsi:type="xsd:double"&gt;1.0215998&lt;/D&gt;&lt;D xsi:type="xsd:double"&gt;-1.8280804&lt;/D&gt;&lt;D xsi:type="xsd:double"&gt;5.19017&lt;/D&gt;&lt;D xsi:type="xsd:double"&gt;9.604526&lt;/D&gt;&lt;D xsi:type="xsd:double"&gt;5.2608967&lt;/D&gt;&lt;D xsi:type="xsd:double"&gt;0.987494&lt;/D&gt;&lt;D xsi:type="xsd:double"&gt;0.58670044&lt;/D&gt;&lt;D xsi:type="xsd:double"&gt;2.6895642&lt;/D&gt;&lt;D xsi:type="xsd:double"&gt;3.281784&lt;/D&gt;&lt;D xsi:type="xsd:double"&gt;4.64406&lt;/D&gt;&lt;D xsi:type="xsd:double"&gt;-4.8095646&lt;/D&gt;&lt;D xsi:type="xsd:double"&gt;2.7010322&lt;/D&gt;&lt;D xsi:type="xsd:double"&gt;-1.2696564&lt;/D&gt;&lt;D xsi:type="xsd:double"&gt;-1.1022687&lt;/D&gt;&lt;D xsi:type="xsd:double"&gt;5.3560376&lt;/D&gt;&lt;D xsi:type="xsd:double"&gt;-4.6723485&lt;/D&gt;&lt;D xsi:type="xsd:double"&gt;3.8625956&lt;/D&gt;&lt;D xsi:type="xsd:double"&gt;-0.09031296&lt;/D&gt;&lt;D xsi:type="xsd:double"&gt;-14.5827&lt;/D&gt;&lt;D xsi:type="xsd:double"&gt;2.8218627&lt;/D&gt;&lt;D xsi:type="xsd:double"&gt;-10.120064&lt;/D&gt;&lt;D xsi:type="xsd:double"&gt;4.603684&lt;/D&gt;&lt;D xsi:type="xsd:double"&gt;-10.868746&lt;/D&gt;&lt;D xsi:type="xsd:double"&gt;3.6708832&lt;/D&gt;&lt;D xsi:type="xsd:double"&gt;-3.0525029&lt;/D&gt;&lt;D xsi:type="xsd:double"&gt;-8.732158&lt;/D&gt;&lt;D xsi:type="xsd:double"&gt;17.203308&lt;/D&gt;&lt;D xsi:type="xsd:double"&gt;7.37834&lt;/D&gt;&lt;D xsi:type="xsd:double"&gt;6.326604&lt;/D&gt;&lt;D xsi:type="xsd:double"&gt;6.385207&lt;/D&gt;&lt;D xsi:type="xsd:double"&gt;-1.73828&lt;/D&gt;&lt;D xsi:type="xsd:double"&gt;3.0707598&lt;/D&gt;&lt;D xsi:type="xsd:double"&gt;2.6878238&lt;/D&gt;&lt;D xsi:type="xsd:double"&gt;-2.2957802&lt;/D&gt;&lt;D xsi:type="xsd:double"&gt;3.6706328&lt;/D&gt;&lt;D xsi:type="xsd:double"&gt;2.10526&lt;/D&gt;&lt;D xsi:type="xsd:double"&gt;-2.780372&lt;/D&gt;&lt;D xsi:type="xsd:double"&gt;-3.9524496&lt;/D&gt;&lt;D xsi:type="xsd:double"&gt;3.5797954&lt;/D&gt;&lt;D xsi:type="xsd:double"&gt;7.7842355&lt;/D&gt;&lt;D xsi:type="xsd:double"&gt;2.0505905&lt;/D&gt;&lt;D xsi:type="xsd:double"&gt;0.92178583&lt;/D&gt;&lt;D xsi:type="xsd:double"&gt;8.043612&lt;/D&gt;&lt;D xsi:type="xsd:double"&gt;1.2271643&lt;/D&gt;&lt;D xsi:type="xsd:double"&gt;2.074349&lt;/D&gt;&lt;/FQL&gt;&lt;FQL&gt;&lt;Q&gt;EWN^FMA_DIV_YLD(NTMA,-10AY,0,AM,"PORTAGG","MEANR")&lt;/Q&gt;&lt;R&gt;121&lt;/R&gt;&lt;C&gt;1&lt;/C&gt;&lt;D xsi:type="xsd:double"&gt;2.81516617120969&lt;/D&gt;&lt;D xsi:type="xsd:double"&gt;2.77160432574237&lt;/D&gt;&lt;D xsi:type="xsd:double"&gt;2.84096278250363&lt;/D&gt;&lt;D xsi:type="xsd:double"&gt;3.11480090706265&lt;/D&gt;&lt;D xsi:type="xsd:double"&gt;2.97334941452442&lt;/D&gt;&lt;D xsi:type="xsd:double"&gt;3.12400001901499&lt;/D&gt;&lt;D xsi:type="xsd:double"&gt;3.12370248014667&lt;/D&gt;&lt;D xsi:type="xsd:double"&gt;3.05100392099476&lt;/D&gt;&lt;D xsi:type="xsd:double"&gt;3.13375663660281&lt;/D&gt;&lt;D xsi:type="xsd:double"&gt;2.92139671435607&lt;/D&gt;&lt;D xsi:type="xsd:double"&gt;2.67422113019339&lt;/D&gt;&lt;D xsi:type="xsd:double"&gt;2.60672509132911&lt;/D&gt;&lt;D xsi:type="xsd:double"&gt;2.74308993914674&lt;/D&gt;&lt;D xsi:type="xsd:double"&gt;2.94737701436939&lt;/D&gt;&lt;D xsi:type="xsd:double"&gt;2.99650397739465&lt;/D&gt;&lt;D xsi:type="xsd:double"&gt;2.98967519735846&lt;/D&gt;&lt;D xsi:type="xsd:double"&gt;3.40307944449195&lt;/D&gt;&lt;D xsi:type="xsd:double"&gt;3.46208639246176&lt;/D&gt;&lt;D xsi:type="xsd:double"&gt;3.18773251612642&lt;/D&gt;&lt;D xsi:type="xsd:double"&gt;3.29548132702031&lt;/D&gt;&lt;D xsi:type="xsd:double"&gt;3.33034751755042&lt;/D&gt;&lt;D xsi:type="xsd:double"&gt;3.62987132251795&lt;/D&gt;&lt;D xsi:type="xsd:double"&gt;3.32657915871566&lt;/D&gt;&lt;D xsi:type="xsd:double"&gt;3.37669772482865&lt;/D&gt;&lt;D xsi:type="xsd:double"&gt;3.42347472428156&lt;/D&gt;&lt;D xsi:type="xsd:double"&gt;3.18853377551626&lt;/D&gt;&lt;D xsi:type="xsd:double"&gt;3.35386268223975&lt;/D&gt;&lt;D xsi:type="xsd:double"&gt;3.1512707064711&lt;/D&gt;&lt;D xsi:type="xsd:double"&gt;3.15535955984215&lt;/D&gt;&lt;D xsi:type="xsd:double"&gt;3.13087405220565&lt;/D&gt;&lt;D xsi:type="xsd:double"&gt;3.15535043065522&lt;/D&gt;&lt;D xsi:type="xsd:double"&gt;3.04139651137152&lt;/D&gt;&lt;D xsi:type="xsd:double"&gt;2.95478113343573&lt;/D&gt;&lt;D xsi:type="xsd:double"&gt;2.90973775564551&lt;/D&gt;&lt;D xsi:type="xsd:double"&gt;2.79083654633899&lt;/D&gt;&lt;D xsi:type="xsd:double"&gt;2.76993824614116&lt;/D&gt;&lt;D xsi:type="xsd:double"&gt;2.68005270568853&lt;/D&gt;&lt;D xsi:type="xsd:double"&gt;2.70111645765119&lt;/D&gt;&lt;D xsi:type="xsd:double"&gt;2.8206009519334&lt;/D&gt;&lt;D xsi:type="xsd:double"&gt;2.76752895423031&lt;/D&gt;&lt;D xsi:type="xsd:double"&gt;2.87125936927571&lt;/D&gt;&lt;D xsi:type="xsd:double"&gt;2.77224637236779&lt;/D&gt;&lt;D xsi:type="xsd:double"&gt;2.7854363619806&lt;/D&gt;&lt;D xsi:type="xsd:double"&gt;2.82185326854052&lt;/D&gt;&lt;D xsi:type="xsd:double"&gt;2.77653577396581&lt;/D&gt;&lt;D xsi:type="xsd:double"&gt;2.99428155186221&lt;/D&gt;&lt;D xsi:type="xsd:double"&gt;2.90740052526616&lt;/D&gt;&lt;D xsi:type="xsd:double"&gt;2.95955640952797&lt;/D&gt;&lt;D xsi:type="xsd:double"&gt;2.90900348063746&lt;/D&gt;&lt;D xsi:type="xsd:double"&gt;2.87028654803631&lt;/D&gt;&lt;D xsi:type="xsd:double"&gt;2.94977583317162&lt;/D&gt;&lt;D xsi:type="xsd:double"&gt;2.85915125398844&lt;/D&gt;&lt;D xsi:type="xsd:double"&gt;3.02118742248391&lt;/D&gt;&lt;D xsi:type="xsd:double"&gt;3.10496948567687&lt;/D&gt;&lt;D xsi:type="xsd:double"&gt;3.1656999123636&lt;/D&gt;&lt;D xsi:type="xsd:double"&gt;3.35298712599092&lt;/D&gt;&lt;D xsi:type="xsd:double"&gt;3.406603968242&lt;/D&gt;&lt;D xsi:type="xsd:double"&gt;3.22128660039107&lt;/D&gt;&lt;D xsi:type="xsd:double"&gt;3.15724848194982&lt;/D&gt;&lt;D xsi:type="xsd:double"&gt;3.01901324582261&lt;/D&gt;&lt;D xsi:type="xsd:double"&gt;3.07183821936955&lt;/D&gt;&lt;D xsi:type="xsd:double"&gt;3.10875025678797&lt;/D&gt;&lt;D xsi:type="xsd:double"&gt;3.00495310378249&lt;/D&gt;&lt;D xsi:type="xsd:double"&gt;3.03754782133028&lt;/D&gt;&lt;D xsi:type="xsd:double"&gt;2.88298876175899&lt;/D&gt;&lt;D xsi:type="xsd:double"&gt;2.81306270209946&lt;/D&gt;&lt;D xsi:type="xsd:double"&gt;2.65550875797872&lt;/D&gt;&lt;D xsi:type="xsd:double"&gt;2.63266520474135&lt;/D&gt;&lt;D xsi:type="xsd:double"&gt;2.5683089845938&lt;/D&gt;&lt;D xsi:type="xsd:double"&gt;2.5376776933915&lt;/D&gt;&lt;D xsi:type="xsd:double"&gt;3.13099776738774&lt;/D&gt;&lt;D xsi:type="xsd:double"&gt;2.88339649845138&lt;/D&gt;&lt;D xsi:type="xsd:double"&gt;2.64932175497172&lt;/D&gt;&lt;D xsi:type="xsd:double"&gt;2.39798069529617&lt;/D&gt;&lt;D xsi:type="xsd:double"&gt;2.33801082178318&lt;/D&gt;&lt;D xsi:type="xsd:double"&gt;2.358298294158&lt;/D&gt;&lt;D xsi:type="xsd:double"&gt;2.31802295996142&lt;/D&gt;&lt;D xsi:type="xsd:double"&gt;2.27544631524992&lt;/D&gt;&lt;D xsi:type="xsd:double"&gt;2.18463125275117&lt;/D&gt;&lt;D xsi:type="xsd:double"&gt;2.0449981649387&lt;/D&gt;&lt;D xsi:type="xsd:double"&gt;1.9272703827912&lt;/D&gt;&lt;D xsi:type="xsd:double"&gt;1.92307718085907&lt;/D&gt;&lt;D xsi:type="xsd:double"&gt;2.03984781129942&lt;/D&gt;&lt;D xsi:type="xsd:double"&gt;1.90472063960407&lt;/D&gt;&lt;D xsi:type="xsd:double"&gt;1.93481507367627&lt;/D&gt;&lt;D xsi:type="xsd:double"&gt;2.00353985500042&lt;/D&gt;&lt;D xsi:type="xsd:double"&gt;2.02574283117987&lt;/D&gt;&lt;D xsi:type="xsd:double"&gt;1.90989660818135&lt;/D&gt;&lt;D xsi:type="xsd:double"&gt;1.85220919634869&lt;/D&gt;&lt;D xsi:type="xsd:double"&gt;1.98424972390259&lt;/D&gt;&lt;D xsi:type="xsd:double"&gt;1.85344109191081&lt;/D&gt;&lt;D xsi:type="xsd:double"&gt;1.97225587382969&lt;/D&gt;&lt;D xsi:type="xsd:double"&gt;1.97684614693776&lt;/D&gt;&lt;D xsi:type="xsd:double"&gt;2.15268967768817&lt;/D&gt;&lt;D xsi:type="xsd:double"&gt;2.40046505844477&lt;/D&gt;&lt;D xsi:type="xsd:double"&gt;2.29944400160582&lt;/D&gt;&lt;D xsi:type="xsd:double"&gt;2.65182180282788&lt;/D&gt;&lt;D xsi:type="xsd:double"&gt;2.57772761858846&lt;/D&gt;&lt;D xsi:type="xsd:double"&gt;3.35687439711165&lt;/D&gt;&lt;D xsi:type="xsd:double"&gt;3.14878722140399&lt;/D&gt;&lt;D xsi:type="xsd:double"&gt;3.67773050516798&lt;/D&gt;&lt;D xsi:type="xsd:double"&gt;3.04297307045026&lt;/D&gt;&lt;D xsi:type="xsd:double"&gt;2.8860861961642&lt;/D&gt;&lt;D xsi:type="xsd:double"&gt;2.64607513538925&lt;/D&gt;&lt;D xsi:type="xsd:double"&gt;2.61138388974846&lt;/D&gt;&lt;D xsi:type="xsd:double"&gt;2.54973682971498&lt;/D&gt;&lt;D xsi:type="xsd:double"&gt;2.6863876547348&lt;/D&gt;&lt;D xsi:type="xsd:double"&gt;2.67261227395525&lt;/D&gt;&lt;D xsi:type="xsd:double"&gt;2.70733870343559&lt;/D&gt;&lt;D xsi:type="xsd:double"&gt;2.68167495367711&lt;/D&gt;&lt;D xsi:type="xsd:double"&gt;2.76149055106834&lt;/D&gt;&lt;D xsi:type="xsd:double"&gt;2.75728610154664&lt;/D&gt;&lt;D xsi:type="xsd:double"&gt;2.95769709978881&lt;/D&gt;&lt;D xsi:type="xsd:double"&gt;3.05619573097123&lt;/D&gt;&lt;D xsi:type="xsd:double"&gt;2.92635185972595&lt;/D&gt;&lt;D xsi:type="xsd:double"&gt;2.72909089662459&lt;/D&gt;&lt;D xsi:type="xsd:double"&gt;2.72477259574214&lt;/D&gt;&lt;D xsi:type="xsd:double"&gt;2.47229034307984&lt;/D&gt;&lt;D xsi:type="xsd:double"&gt;2.5681126416354&lt;/D&gt;&lt;D xsi:type="xsd:double"&gt;2.53530822410139&lt;/D&gt;&lt;D xsi:type="xsd:double"&gt;2.50978857609856&lt;/D&gt;&lt;/FQL&gt;&lt;FQL&gt;&lt;Q&gt;SPY^FMA_PE(NTMA,-10AY,0,AM,"PORTAGG","MEANR")&lt;/Q&gt;&lt;R&gt;121&lt;/R&gt;&lt;C&gt;1&lt;/C&gt;&lt;D xsi:type="xsd:double"&gt;14.9201442847908&lt;/D&gt;&lt;D xsi:type="xsd:double"&gt;15.3684887937043&lt;/D&gt;&lt;D xsi:type="xsd:double"&gt;15.399363803843&lt;/D&gt;&lt;D xsi:type="xsd:double"&gt;14.8819560020352&lt;/D&gt;&lt;D xsi:type="xsd:double"&gt;15.2102507414586&lt;/D&gt;&lt;D xsi:type="xsd:double"&gt;14.6915480576352&lt;/D&gt;&lt;D xsi:type="xsd:double"&gt;15.5888953377319&lt;/D&gt;&lt;D xsi:type="xsd:double"&gt;15.8780193248946&lt;/D&gt;&lt;D xsi:type="xsd:double"&gt;16.0157856576161&lt;/D&gt;&lt;D xsi:type="xsd:double"&gt;16.4556883879809&lt;/D&gt;&lt;D xsi:type="xsd:double"&gt;16.6610038762995&lt;/D&gt;&lt;D xsi:type="xsd:double"&gt;16.6576429670076&lt;/D&gt;&lt;D xsi:type="xsd:double"&gt;16.7257895760468&lt;/D&gt;&lt;D xsi:type="xsd:double"&gt;16.2955507845948&lt;/D&gt;&lt;D xsi:type="xsd:double"&gt;15.9883670361899&lt;/D&gt;&lt;D xsi:type="xsd:double"&gt;16.2089911606002&lt;/D&gt;&lt;D xsi:type="xsd:double"&gt;15.1132364084491&lt;/D&gt;&lt;D xsi:type="xsd:double"&gt;15.7512636421626&lt;/D&gt;&lt;D xsi:type="xsd:double"&gt;16.2951600874107&lt;/D&gt;&lt;D xsi:type="xsd:double"&gt;15.9880972663629&lt;/D&gt;&lt;D xsi:type="xsd:double"&gt;15.0775332321664&lt;/D&gt;&lt;D xsi:type="xsd:double"&gt;15.5099438140132&lt;/D&gt;&lt;D xsi:type="xsd:double"&gt;15.5167363536305&lt;/D&gt;&lt;D xsi:type="xsd:double"&gt;16.5004635460184&lt;/D&gt;&lt;D xsi:type="xsd:double"&gt;16.5226770167304&lt;/D&gt;&lt;D xsi:type="xsd:double"&gt;16.689842332436&lt;/D&gt;&lt;D xsi:type="xsd:double"&gt;16.7435056681132&lt;/D&gt;&lt;D xsi:type="xsd:double"&gt;16.9898624495697&lt;/D&gt;&lt;D xsi:type="xsd:double"&gt;16.443516067559&lt;/D&gt;&lt;D xsi:type="xsd:double"&gt;16.5151819698588&lt;/D&gt;&lt;D xsi:type="xsd:double"&gt;16.5192809661025&lt;/D&gt;&lt;D xsi:type="xsd:double"&gt;17.0817729331739&lt;/D&gt;&lt;D xsi:type="xsd:double"&gt;16.9776165653697&lt;/D&gt;&lt;D xsi:type="xsd:double"&gt;17.2970833609305&lt;/D&gt;&lt;D xsi:type="xsd:double"&gt;17.6360948098669&lt;/D&gt;&lt;D xsi:type="xsd:double"&gt;17.4194877800352&lt;/D&gt;&lt;D xsi:type="xsd:double"&gt;17.489990220726&lt;/D&gt;&lt;D xsi:type="xsd:double"&gt;17.5892922074256&lt;/D&gt;&lt;D xsi:type="xsd:double"&gt;17.4006071657993&lt;/D&gt;&lt;D xsi:type="xsd:double"&gt;17.618319525359&lt;/D&gt;&lt;D xsi:type="xsd:double"&gt;17.3913767300967&lt;/D&gt;&lt;D xsi:type="xsd:double"&gt;17.8690660561794&lt;/D&gt;&lt;D xsi:type="xsd:double"&gt;17.9370392941439&lt;/D&gt;&lt;D xsi:type="xsd:double"&gt;18.2138627069661&lt;/D&gt;&lt;D xsi:type="xsd:double"&gt;18.2813894532658&lt;/D&gt;&lt;D xsi:type="xsd:double"&gt;16.4319397139113&lt;/D&gt;&lt;D xsi:type="xsd:double"&gt;17.2975432074564&lt;/D&gt;&lt;D xsi:type="xsd:double"&gt;16.0936634649677&lt;/D&gt;&lt;D xsi:type="xsd:double"&gt;16.3079521010319&lt;/D&gt;&lt;D xsi:type="xsd:double"&gt;16.579407296592&lt;/D&gt;&lt;D xsi:type="xsd:double"&gt;16.4655621648716&lt;/D&gt;&lt;D xsi:type="xsd:double"&gt;16.6229078469228&lt;/D&gt;&lt;D xsi:type="xsd:double"&gt;16.5945683601953&lt;/D&gt;&lt;D xsi:type="xsd:double"&gt;16.5342652099298&lt;/D&gt;&lt;D xsi:type="xsd:double"&gt;15.8933845224029&lt;/D&gt;&lt;D xsi:type="xsd:double"&gt;15.0234000605761&lt;/D&gt;&lt;D xsi:type="xsd:double"&gt;15.005325870257&lt;/D&gt;&lt;D xsi:type="xsd:double"&gt;15.786380009013&lt;/D&gt;&lt;D xsi:type="xsd:double"&gt;15.9448451738587&lt;/D&gt;&lt;D xsi:type="xsd:double"&gt;16.6801720125585&lt;/D&gt;&lt;D xsi:type="xsd:double"&gt;16.4557739833221&lt;/D&gt;&lt;D xsi:type="xsd:double"&gt;16.3647716173718&lt;/D&gt;&lt;D xsi:type="xsd:double"&gt;16.9389412222142&lt;/D&gt;&lt;D xsi:type="xsd:double"&gt;16.6013547034569&lt;/D&gt;&lt;D xsi:type="xsd:double"&gt;16.8295145862949&lt;/D&gt;&lt;D xsi:type="xsd:double"&gt;16.4947360232797&lt;/D&gt;&lt;D xsi:type="xsd:double"&gt;17.4711853811505&lt;/D&gt;&lt;D xsi:type="xsd:double"&gt;17.6492837092433&lt;/D&gt;&lt;D xsi:type="xsd:double"&gt;18.3683831994574&lt;/D&gt;&lt;D xsi:type="xsd:double"&gt;18.6754522282157&lt;/D&gt;&lt;D xsi:type="xsd:double"&gt;15.4701974549163&lt;/D&gt;&lt;D xsi:type="xsd:double"&gt;17.9658547604215&lt;/D&gt;&lt;D xsi:type="xsd:double"&gt;20.8324334946109&lt;/D&gt;&lt;D xsi:type="xsd:double"&gt;22.6581013335107&lt;/D&gt;&lt;D xsi:type="xsd:double"&gt;21.9730871903651&lt;/D&gt;&lt;D xsi:type="xsd:double"&gt;22.3092213680852&lt;/D&gt;&lt;D xsi:type="xsd:double"&gt;22.0671702559665&lt;/D&gt;&lt;D xsi:type="xsd:double"&gt;22.0771935218756&lt;/D&gt;&lt;D xsi:type="xsd:double"&gt;21.7278799181789&lt;/D&gt;&lt;D xsi:type="xsd:double"&gt;21.9304321195746&lt;/D&gt;&lt;D xsi:type="xsd:double"&gt;22.6648419122695&lt;/D&gt;&lt;D xsi:type="xsd:double"&gt;22.1566865789143&lt;/D&gt;&lt;D xsi:type="xsd:double"&gt;21.5947556821972&lt;/D&gt;&lt;D xsi:type="xsd:double"&gt;22.5068850266171&lt;/D&gt;&lt;D xsi:type="xsd:double"&gt;21.7179378651201&lt;/D&gt;&lt;D xsi:type="xsd:double"&gt;21.2008694043677&lt;/D&gt;&lt;D xsi:type="xsd:double"&gt;21.6116833896764&lt;/D&gt;&lt;D xsi:type="xsd:double"&gt;21.001066082699&lt;/D&gt;&lt;D xsi:type="xsd:double"&gt;21.0188766936231&lt;/D&gt;&lt;D xsi:type="xsd:double"&gt;20.4286054739634&lt;/D&gt;&lt;D xsi:type="xsd:double"&gt;21.3947759861316&lt;/D&gt;&lt;D xsi:type="xsd:double"&gt;21.0614595334927&lt;/D&gt;&lt;D xsi:type="xsd:double"&gt;20.8551166173583&lt;/D&gt;&lt;D xsi:type="xsd:double"&gt;20.1783681816455&lt;/D&gt;&lt;D xsi:type="xsd:double"&gt;18.5872913427487&lt;/D&gt;&lt;D xsi:type="xsd:double"&gt;19.1826567354499&lt;/D&gt;&lt;D xsi:type="xsd:double"&gt;16.8734211373839&lt;/D&gt;&lt;D xsi:type="xsd:double"&gt;16.8009305892807&lt;/D&gt;&lt;D xsi:type="xsd:double"&gt;16.2598102077353&lt;/D&gt;&lt;D xsi:type="xsd:double"&gt;17.3986156398293&lt;/D&gt;&lt;D xsi:type="xsd:double"&gt;17.0969696974772&lt;/D&gt;&lt;D xsi:type="xsd:double"&gt;15.3930169424655&lt;/D&gt;&lt;D xsi:type="xsd:double"&gt;16.245024204721&lt;/D&gt;&lt;D xsi:type="xsd:double"&gt;17.0290961121043&lt;/D&gt;&lt;D xsi:type="xsd:double"&gt;16.9085365424462&lt;/D&gt;&lt;D xsi:type="xsd:double"&gt;18.0080645904438&lt;/D&gt;&lt;D xsi:type="xsd:double"&gt;17.2051714011614&lt;/D&gt;&lt;D xsi:type="xsd:double"&gt;18.0557897410503&lt;/D&gt;&lt;D xsi:type="xsd:double"&gt;17.9314216190624&lt;/D&gt;&lt;D xsi:type="xsd:double"&gt;18.5018371322987&lt;/D&gt;&lt;D xsi:type="xsd:double"&gt;18.898512815733&lt;/D&gt;&lt;D xsi:type="xsd:double"&gt;18.9304326544272&lt;/D&gt;&lt;D xsi:type="xsd:double"&gt;18.6019759958248&lt;/D&gt;&lt;D xsi:type="xsd:double"&gt;18.0216978243088&lt;/D&gt;&lt;D xsi:type="xsd:double"&gt;17.9815160805012&lt;/D&gt;&lt;D xsi:type="xsd:double"&gt;18.8380394754839&lt;/D&gt;&lt;D xsi:type="xsd:double"&gt;19.445771030229&lt;/D&gt;&lt;D xsi:type="xsd:double"&gt;20.3911597216291&lt;/D&gt;&lt;D xsi:type="xsd:double"&gt;20.5157100966945&lt;/D&gt;&lt;D xsi:type="xsd:double"&gt;20.6805486466131&lt;/D&gt;&lt;D xsi:type="xsd:double"&gt;20.349688941604&lt;/D&gt;&lt;/FQL&gt;&lt;FQL&gt;&lt;Q&gt;EWU^FMA_PE(LTMA,-10AY,0,AM,"PORTAGG","MEANR")&lt;/Q&gt;&lt;R&gt;121&lt;/R&gt;&lt;C&gt;1&lt;/C&gt;&lt;D xsi:type="xsd:double"&gt;14.3859734416984&lt;/D&gt;&lt;D xsi:type="xsd:double"&gt;14.4113987828792&lt;/D&gt;&lt;D xsi:type="xsd:double"&gt;14.2926017402911&lt;/D&gt;&lt;D xsi:type="xsd:double"&gt;14.0598319107142&lt;/D&gt;&lt;D xsi:type="xsd:double"&gt;14.1673160617142&lt;/D&gt;&lt;D xsi:type="xsd:double"&gt;13.6097830230502&lt;/D&gt;&lt;D xsi:type="xsd:double"&gt;13.833105787805&lt;/D&gt;&lt;D xsi:type="xsd:double"&gt;13.7226186339223&lt;/D&gt;&lt;D xsi:type="xsd:double"&gt;13.4770673405133&lt;/D&gt;&lt;D xsi:type="xsd:double"&gt;14.4724084145196&lt;/D&gt;&lt;D xsi:type="xsd:double"&gt;15.1786690474918&lt;/D&gt;&lt;D xsi:type="xsd:double"&gt;15.4081939714552&lt;/D&gt;&lt;D xsi:type="xsd:double"&gt;15.6949630011271&lt;/D&gt;&lt;D xsi:type="xsd:double"&gt;15.5608600324374&lt;/D&gt;&lt;D xsi:type="xsd:double"&gt;15.4353456559463&lt;/D&gt;&lt;D xsi:type="xsd:double"&gt;15.8234109728165&lt;/D&gt;&lt;D xsi:type="xsd:double"&gt;15.1773748094377&lt;/D&gt;&lt;D xsi:type="xsd:double"&gt;15.7553625559977&lt;/D&gt;&lt;D xsi:type="xsd:double"&gt;15.7237122202796&lt;/D&gt;&lt;D xsi:type="xsd:double"&gt;15.4856031615457&lt;/D&gt;&lt;D xsi:type="xsd:double"&gt;14.838810247841&lt;/D&gt;&lt;D xsi:type="xsd:double"&gt;14.2436051797016&lt;/D&gt;&lt;D xsi:type="xsd:double"&gt;15.5969841865026&lt;/D&gt;&lt;D xsi:type="xsd:double"&gt;15.7835128991294&lt;/D&gt;&lt;D xsi:type="xsd:double"&gt;15.8083983886615&lt;/D&gt;&lt;D xsi:type="xsd:double"&gt;16.0472594385287&lt;/D&gt;&lt;D xsi:type="xsd:double"&gt;16.2632225644992&lt;/D&gt;&lt;D xsi:type="xsd:double"&gt;16.8577807215651&lt;/D&gt;&lt;D xsi:type="xsd:double"&gt;16.851203979754&lt;/D&gt;&lt;D xsi:type="xsd:double"&gt;17.0723124975937&lt;/D&gt;&lt;D xsi:type="xsd:double"&gt;16.6572335114519&lt;/D&gt;&lt;D xsi:type="xsd:double"&gt;16.8868474178802&lt;/D&gt;&lt;D xsi:type="xsd:double"&gt;17.2203716817598&lt;/D&gt;&lt;D xsi:type="xsd:double"&gt;17.2944894511242&lt;/D&gt;&lt;D xsi:type="xsd:double"&gt;17.2787063779368&lt;/D&gt;&lt;D xsi:type="xsd:double"&gt;17.0704791111216&lt;/D&gt;&lt;D xsi:type="xsd:double"&gt;16.8573266523286&lt;/D&gt;&lt;D xsi:type="xsd:double"&gt;16.6940067692947&lt;/D&gt;&lt;D xsi:type="xsd:double"&gt;16.3966061115335&lt;/D&gt;&lt;D xsi:type="xsd:double"&gt;16.4067286982957&lt;/D&gt;&lt;D xsi:type="xsd:double"&gt;15.99755873736&lt;/D&gt;&lt;D xsi:type="xsd:double"&gt;15.8473212698638&lt;/D&gt;&lt;D xsi:type="xsd:double"&gt;15.4636094172901&lt;/D&gt;&lt;D xsi:type="xsd:double"&gt;15.1429189140729&lt;/D&gt;&lt;D xsi:type="xsd:double"&gt;15.5745715568883&lt;/D&gt;&lt;D xsi:type="xsd:double"&gt;14.2238916401885&lt;/D&gt;&lt;D xsi:type="xsd:double"&gt;13.9813350069092&lt;/D&gt;&lt;D xsi:type="xsd:double"&gt;13.9425598672527&lt;/D&gt;&lt;D xsi:type="xsd:double"&gt;14.1074533833731&lt;/D&gt;&lt;D xsi:type="xsd:double"&gt;13.9559792008164&lt;/D&gt;&lt;D xsi:type="xsd:double"&gt;13.8783162180803&lt;/D&gt;&lt;D xsi:type="xsd:double"&gt;13.8942770639377&lt;/D&gt;&lt;D xsi:type="xsd:double"&gt;13.2992009027597&lt;/D&gt;&lt;D xsi:type="xsd:double"&gt;13.2774056543842&lt;/D&gt;&lt;D xsi:type="xsd:double"&gt;12.8853225820427&lt;/D&gt;&lt;D xsi:type="xsd:double"&gt;12.1928026294956&lt;/D&gt;&lt;D xsi:type="xsd:double"&gt;12.2691722117741&lt;/D&gt;&lt;D xsi:type="xsd:double"&gt;12.6055372883771&lt;/D&gt;&lt;D xsi:type="xsd:double"&gt;12.9044151049543&lt;/D&gt;&lt;D xsi:type="xsd:double"&gt;13.0093253291312&lt;/D&gt;&lt;D xsi:type="xsd:double"&gt;12.8754432936089&lt;/D&gt;&lt;D xsi:type="xsd:double"&gt;12.9580870657761&lt;/D&gt;&lt;D xsi:type="xsd:double"&gt;13.0935298396094&lt;/D&gt;&lt;D xsi:type="xsd:double"&gt;12.7797921585397&lt;/D&gt;&lt;D xsi:type="xsd:double"&gt;12.9245283094895&lt;/D&gt;&lt;D xsi:type="xsd:double"&gt;12.8267065713315&lt;/D&gt;&lt;D xsi:type="xsd:double"&gt;13.3733831963234&lt;/D&gt;&lt;D xsi:type="xsd:double"&gt;13.4761919191631&lt;/D&gt;&lt;D xsi:type="xsd:double"&gt;14.2062393703455&lt;/D&gt;&lt;D xsi:type="xsd:double"&gt;13.9648665752364&lt;/D&gt;&lt;D xsi:type="xsd:double"&gt;12.1531808347982&lt;/D&gt;&lt;D xsi:type="xsd:double"&gt;12.7909100078683&lt;/D&gt;&lt;D xsi:type="xsd:double"&gt;13.8655792986022&lt;/D&gt;&lt;D xsi:type="xsd:double"&gt;15.1267677010428&lt;/D&gt;&lt;D xsi:type="xsd:double"&gt;15.148321643057&lt;/D&gt;&lt;D xsi:type="xsd:double"&gt;15.9874506670883&lt;/D&gt;&lt;D xsi:type="xsd:double"&gt;16.7927814663994&lt;/D&gt;&lt;D xsi:type="xsd:double"&gt;17.2133820641384&lt;/D&gt;&lt;D xsi:type="xsd:double"&gt;17.3717761587609&lt;/D&gt;&lt;D xsi:type="xsd:double"&gt;19.4020731061264&lt;/D&gt;&lt;D xsi:type="xsd:double"&gt;20.6676021606189&lt;/D&gt;&lt;D xsi:type="xsd:double"&gt;19.3773943853324&lt;/D&gt;&lt;D xsi:type="xsd:double"&gt;18.73268757256&lt;/D&gt;&lt;D xsi:type="xsd:double"&gt;18.1176319585105&lt;/D&gt;&lt;D xsi:type="xsd:double"&gt;17.6112825123971&lt;/D&gt;&lt;D xsi:type="xsd:double"&gt;16.9541869566398&lt;/D&gt;&lt;D xsi:type="xsd:double"&gt;16.1862392175549&lt;/D&gt;&lt;D xsi:type="xsd:double"&gt;15.2598143785997&lt;/D&gt;&lt;D xsi:type="xsd:double"&gt;14.3967263598153&lt;/D&gt;&lt;D xsi:type="xsd:double"&gt;13.9037107639991&lt;/D&gt;&lt;D xsi:type="xsd:double"&gt;13.3148247315122&lt;/D&gt;&lt;D xsi:type="xsd:double"&gt;12.5657426869491&lt;/D&gt;&lt;D xsi:type="xsd:double"&gt;12.5685604486106&lt;/D&gt;&lt;D xsi:type="xsd:double"&gt;12.8437746936667&lt;/D&gt;&lt;D xsi:type="xsd:double"&gt;12.4309643916994&lt;/D&gt;&lt;D xsi:type="xsd:double"&gt;12.2927032947769&lt;/D&gt;&lt;D xsi:type="xsd:double"&gt;11.7277077427828&lt;/D&gt;&lt;D xsi:type="xsd:double"&gt;11.6288101736436&lt;/D&gt;&lt;D xsi:type="xsd:double"&gt;11.0046018958086&lt;/D&gt;&lt;D xsi:type="xsd:double"&gt;10.8575723024021&lt;/D&gt;&lt;D xsi:type="xsd:double"&gt;10.2646011328043&lt;/D&gt;&lt;D xsi:type="xsd:double"&gt;9.53669677092603&lt;/D&gt;&lt;D xsi:type="xsd:double"&gt;9.56010491907245&lt;/D&gt;&lt;D xsi:type="xsd:double"&gt;9.88684901030671&lt;/D&gt;&lt;D xsi:type="xsd:double"&gt;10.0248238059639&lt;/D&gt;&lt;D xsi:type="xsd:double"&gt;10.181225867083&lt;/D&gt;&lt;D xsi:type="xsd:double"&gt;10.2451155902132&lt;/D&gt;&lt;D xsi:type="xsd:double"&gt;10.3240240528068&lt;/D&gt;&lt;D xsi:type="xsd:double"&gt;10.3865644499137&lt;/D&gt;&lt;D xsi:type="xsd:double"&gt;10.3122070656135&lt;/D&gt;&lt;D xsi:type="xsd:double"&gt;10.2033195561432&lt;/D&gt;&lt;D xsi:type="xsd:double"&gt;10.5905155515176&lt;/D&gt;&lt;D xsi:type="xsd:double"&gt;10.495798668268&lt;/D&gt;&lt;D xsi:type="xsd:double"&gt;10.4788735036016&lt;/D&gt;&lt;D xsi:type="xsd:double"&gt;10.5669700974115&lt;/D&gt;&lt;D xsi:type="xsd:double"&gt;10.9125366339463&lt;/D&gt;&lt;D xsi:type="xsd:double"&gt;11.3000486941203&lt;/D&gt;&lt;D xsi:type="xsd:double"&gt;11.1814044015261&lt;/D&gt;&lt;D xsi:type="xsd:double"&gt;11.4620608865379&lt;/D&gt;&lt;D xsi:type="xsd:double"&gt;11.5529808174121&lt;/D&gt;&lt;D xsi:type="xsd:double"&gt;11.6379183436353&lt;/D&gt;&lt;/FQL&gt;&lt;FQL&gt;&lt;Q&gt;NI-FDS^MAX(FG_PRICE(0,-5AY))&lt;/Q&gt;&lt;R&gt;1&lt;/R&gt;&lt;C&gt;1&lt;/C&gt;&lt;D xsi:type="xsd:double"&gt;48241&lt;/D&gt;&lt;/FQL&gt;&lt;FQL&gt;&lt;Q&gt;TIOS-FDS^MAX(FG_PRICE(0,-5AY))&lt;/Q&gt;&lt;R&gt;1&lt;/R&gt;&lt;C&gt;1&lt;/C&gt;&lt;D xsi:type="xsd:double"&gt;219.77&lt;/D&gt;&lt;/FQL&gt;&lt;FQL&gt;&lt;Q&gt;FC0000CA^FG_PRICE(0)&lt;/Q&gt;&lt;R&gt;1&lt;/R&gt;&lt;C&gt;1&lt;/C&gt;&lt;D xsi:type="xsd:double"&gt;293.72125&lt;/D&gt;&lt;/FQL&gt;&lt;FQL&gt;&lt;Q&gt;EWJ^FG_TOTAL_RETURNC(0,-12AM)&lt;/Q&gt;&lt;R&gt;1&lt;/R&gt;&lt;C&gt;1&lt;/C&gt;&lt;D xsi:type="xsd:double"&gt;16.243351&lt;/D&gt;&lt;/FQL&gt;&lt;FQL&gt;&lt;Q&gt;DUMMY^ECON_EXPR_DATA('FDS_ECON[PMIDMMANHE]',,,M)&lt;/Q&gt;&lt;R&gt;1&lt;/R&gt;&lt;C&gt;1&lt;/C&gt;&lt;D xsi:type="xsd:double"&gt;48.59645&lt;/D&gt;&lt;/FQL&gt;&lt;FQL&gt;&lt;Q&gt;EWN^FMA_ROE(NTMA,-20AY,NOW,FY,"PORTAGG","MEANR")&lt;/Q&gt;&lt;R&gt;20&lt;/R&gt;&lt;C&gt;1&lt;/C&gt;&lt;D xsi:type="xsd:double"&gt;20.5027022731768&lt;/D&gt;&lt;D xsi:type="xsd:double"&gt;18.4388432839057&lt;/D&gt;&lt;D xsi:type="xsd:double"&gt;17.2963282197402&lt;/D&gt;&lt;D xsi:type="xsd:double"&gt;16.6220124304454&lt;/D&gt;&lt;D xsi:type="xsd:double"&gt;13.9821831035128&lt;/D&gt;&lt;D xsi:type="xsd:double"&gt;13.3304023919735&lt;/D&gt;&lt;D xsi:type="xsd:double"&gt;14.6594809949092&lt;/D&gt;&lt;D xsi:type="xsd:double"&gt;13.0989988533626&lt;/D&gt;&lt;D xsi:type="xsd:double"&gt;12.0023835077373&lt;/D&gt;&lt;D xsi:type="xsd:double"&gt;12.1486145572934&lt;/D&gt;&lt;D xsi:type="xsd:double"&gt;12.2197829564797&lt;/D&gt;&lt;D xsi:type="xsd:double"&gt;12.4442703427853&lt;/D&gt;&lt;D xsi:type="xsd:double"&gt;11.8415876112609&lt;/D&gt;&lt;D xsi:type="xsd:double"&gt;13.007558022755&lt;/D&gt;&lt;D xsi:type="xsd:double"&gt;13.2228677711132&lt;/D&gt;&lt;D xsi:type="xsd:double"&gt;13.091763606586&lt;/D&gt;&lt;D xsi:type="xsd:double"&gt;9.77856565542044&lt;/D&gt;&lt;D xsi:type="xsd:double"&gt;10.8991459502058&lt;/D&gt;&lt;D xsi:type="xsd:double"&gt;12.0158891729577&lt;/D&gt;&lt;D xsi:type="xsd:double"&gt;12.7459856688058&lt;/D&gt;&lt;/FQL&gt;&lt;FQL&gt;&lt;Q&gt;TRYSA10Y-FDS^FG_YIELD(-10AY,0,Y,,"YTM")&lt;/Q&gt;&lt;R&gt;10&lt;/R&gt;&lt;C&gt;1&lt;/C&gt;&lt;D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xsi:type="xsd:double"&gt;3.1928&lt;/D&gt;&lt;/FQL&gt;&lt;FQL&gt;&lt;Q&gt;CAGDPY@US^EE_ACTUAL_ANNUAL(MED,+1)&lt;/Q&gt;&lt;R&gt;1&lt;/R&gt;&lt;C&gt;1&lt;/C&gt;&lt;D xsi:type="xsd:double"&gt;-3&lt;/D&gt;&lt;/FQL&gt;&lt;FQL&gt;&lt;Q&gt;CAGDPY@NZ^EE_ACTUAL_ANNUAL(MED,+1)&lt;/Q&gt;&lt;R&gt;1&lt;/R&gt;&lt;C&gt;1&lt;/C&gt;&lt;D xsi:type="xsd:double"&gt;-6.05&lt;/D&gt;&lt;/FQL&gt;&lt;FQL&gt;&lt;Q&gt;USDITL^FG_PRICE_CHANGE(0,-1AY)&lt;/Q&gt;&lt;R&gt;1&lt;/R&gt;&lt;C&gt;1&lt;/C&gt;&lt;D xsi:type="xsd:double"&gt;1.6610265&lt;/D&gt;&lt;/FQL&gt;&lt;FQL&gt;&lt;Q&gt;USDANG^FG_PRICE_CHANGE(0,-1AY)&lt;/Q&gt;&lt;R&gt;1&lt;/R&gt;&lt;C&gt;1&lt;/C&gt;&lt;D xsi:type="xsd:double"&gt;0&lt;/D&gt;&lt;/FQL&gt;&lt;FQL&gt;&lt;Q&gt;USDUSD^FG_PRICE_CHANGE(0,-1AY)&lt;/Q&gt;&lt;R&gt;1&lt;/R&gt;&lt;C&gt;1&lt;/C&gt;&lt;D xsi:type="xsd:double"&gt;0&lt;/D&gt;&lt;/FQL&gt;&lt;FQL&gt;&lt;Q&gt;USDGBP^FG_PRICE_CHANGE(0,-1AY)&lt;/Q&gt;&lt;R&gt;1&lt;/R&gt;&lt;C&gt;1&lt;/C&gt;&lt;D xsi:type="xsd:double"&gt;0.8231759&lt;/D&gt;&lt;/FQL&gt;&lt;FQL&gt;&lt;Q&gt;USDJPY^FG_PRICE_CHANGE(0,-1AY)&lt;/Q&gt;&lt;R&gt;1&lt;/R&gt;&lt;C&gt;1&lt;/C&gt;&lt;D xsi:type="xsd:double"&gt;15.193808&lt;/D&gt;&lt;/FQL&gt;&lt;FQL&gt;&lt;Q&gt;USDCAD^FG_PRICE_CHANGE(0,-1AY)&lt;/Q&gt;&lt;R&gt;1&lt;/R&gt;&lt;C&gt;1&lt;/C&gt;&lt;D xsi:type="xsd:double"&gt;2.2171617&lt;/D&gt;&lt;/FQL&gt;&lt;FQL&gt;&lt;Q&gt;USDNZD^FG_PRICE_CHANGE(0,-1AY)&lt;/Q&gt;&lt;R&gt;1&lt;/R&gt;&lt;C&gt;1&lt;/C&gt;&lt;D xsi:type="xsd:double"&gt;5.074334&lt;/D&gt;&lt;/FQL&gt;&lt;FQL&gt;&lt;Q&gt;EWA^JULIAN(FMA_EPS(NTMA,-20AY,0,CY,,"PORTAGG","MEANR").DATES)&lt;/Q&gt;&lt;R&gt;20&lt;/R&gt;&lt;C&gt;1&lt;/C&gt;&lt;D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xsi:type="xsd:long"&gt;45289&lt;/D&gt;&lt;/FQL&gt;&lt;FQL&gt;&lt;Q&gt;EWD^FG_TOTAL_RETURNC(-10AY,0,AM)&lt;/Q&gt;&lt;R&gt;121&lt;/R&gt;&lt;C&gt;1&lt;/C&gt;&lt;D xsi:type="xsd:double"&gt;-1.4343798&lt;/D&gt;&lt;D xsi:type="xsd:double"&gt;1.8945694&lt;/D&gt;&lt;D xsi:type="xsd:double"&gt;-3.4011424&lt;/D&gt;&lt;D xsi:type="xsd:double"&gt;-4.189378&lt;/D&gt;&lt;D xsi:type="xsd:double"&gt;-0.29948354&lt;/D&gt;&lt;D xsi:type="xsd:double"&gt;-7.02914&lt;/D&gt;&lt;D xsi:type="xsd:double"&gt;5.718899&lt;/D&gt;&lt;D xsi:type="xsd:double"&gt;1.4975429&lt;/D&gt;&lt;D xsi:type="xsd:double"&gt;-6.7881465&lt;/D&gt;&lt;D xsi:type="xsd:double"&gt;5.9876323&lt;/D&gt;&lt;D xsi:type="xsd:double"&gt;2.916801&lt;/D&gt;&lt;D xsi:type="xsd:double"&gt;0.83532333&lt;/D&gt;&lt;D xsi:type="xsd:double"&gt;1.834321&lt;/D&gt;&lt;D xsi:type="xsd:double"&gt;-1.7431676&lt;/D&gt;&lt;D xsi:type="xsd:double"&gt;-4.944861&lt;/D&gt;&lt;D xsi:type="xsd:double"&gt;1.1756539&lt;/D&gt;&lt;D xsi:type="xsd:double"&gt;-3.3421218&lt;/D&gt;&lt;D xsi:type="xsd:double"&gt;2.4036884&lt;/D&gt;&lt;D xsi:type="xsd:double"&gt;-3.472668&lt;/D&gt;&lt;D xsi:type="xsd:double"&gt;-2.2318482&lt;/D&gt;&lt;D xsi:type="xsd:double"&gt;-7.5500546&lt;/D&gt;&lt;D xsi:type="xsd:double"&gt;-3.8731158&lt;/D&gt;&lt;D xsi:type="xsd:double"&gt;9.324635&lt;/D&gt;&lt;D xsi:type="xsd:double"&gt;3.6855102&lt;/D&gt;&lt;D xsi:type="xsd:double"&gt;-1.184833&lt;/D&gt;&lt;D xsi:type="xsd:double"&gt;1.610136&lt;/D&gt;&lt;D xsi:type="xsd:double"&gt;-6.1704454&lt;/D&gt;&lt;D xsi:type="xsd:double"&gt;6.5745234&lt;/D&gt;&lt;D xsi:type="xsd:double"&gt;1.0515213&lt;/D&gt;&lt;D xsi:type="xsd:double"&gt;1.1099577&lt;/D&gt;&lt;D xsi:type="xsd:double"&gt;-5.0085726&lt;/D&gt;&lt;D xsi:type="xsd:double"&gt;3.9364338&lt;/D&gt;&lt;D xsi:type="xsd:double"&gt;0.4340768&lt;/D&gt;&lt;D xsi:type="xsd:double"&gt;5.4325223&lt;/D&gt;&lt;D xsi:type="xsd:double"&gt;0.59074163&lt;/D&gt;&lt;D xsi:type="xsd:double"&gt;1.3050556&lt;/D&gt;&lt;D xsi:type="xsd:double"&gt;8.502412&lt;/D&gt;&lt;D xsi:type="xsd:double"&gt;1.8106341&lt;/D&gt;&lt;D xsi:type="xsd:double"&gt;1.823926&lt;/D&gt;&lt;D xsi:type="xsd:double"&gt;0.2928257&lt;/D&gt;&lt;D xsi:type="xsd:double"&gt;1.9562006&lt;/D&gt;&lt;D xsi:type="xsd:double"&gt;3.0641556&lt;/D&gt;&lt;D xsi:type="xsd:double"&gt;-2.778548&lt;/D&gt;&lt;D xsi:type="xsd:double"&gt;-2.972281&lt;/D&gt;&lt;D xsi:type="xsd:double"&gt;4.392469&lt;/D&gt;&lt;D xsi:type="xsd:double"&gt;-4.81618&lt;/D&gt;&lt;D xsi:type="xsd:double"&gt;3.1736493&lt;/D&gt;&lt;D xsi:type="xsd:double"&gt;-4.6720862&lt;/D&gt;&lt;D xsi:type="xsd:double"&gt;3.987825&lt;/D&gt;&lt;D xsi:type="xsd:double"&gt;-3.3372343&lt;/D&gt;&lt;D xsi:type="xsd:double"&gt;-1.0455251&lt;/D&gt;&lt;D xsi:type="xsd:double"&gt;2.0820022&lt;/D&gt;&lt;D xsi:type="xsd:double"&gt;-1.7571449&lt;/D&gt;&lt;D xsi:type="xsd:double"&gt;0.06388426&lt;/D&gt;&lt;D xsi:type="xsd:double"&gt;-5.2665176&lt;/D&gt;&lt;D xsi:type="xsd:double"&gt;-5.323452&lt;/D&gt;&lt;D xsi:type="xsd:double"&gt;4.724443&lt;/D&gt;&lt;D xsi:type="xsd:double"&gt;0&lt;/D&gt;&lt;D xsi:type="xsd:double"&gt;0&lt;/D&gt;&lt;D xsi:type="xsd:double"&gt;7.6844573&lt;/D&gt;&lt;D xsi:type="xsd:double"&gt;-3.9153755&lt;/D&gt;&lt;D xsi:type="xsd:double"&gt;0.23003817&lt;/D&gt;&lt;D xsi:type="xsd:double"&gt;3.607595&lt;/D&gt;&lt;D xsi:type="xsd:double"&gt;-7.2828236&lt;/D&gt;&lt;D xsi:type="xsd:double"&gt;3.3462524&lt;/D&gt;&lt;D xsi:type="xsd:double"&gt;-2.4539828&lt;/D&gt;&lt;D xsi:type="xsd:double"&gt;12.543667&lt;/D&gt;&lt;D xsi:type="xsd:double"&gt;-0.40359497&lt;/D&gt;&lt;D xsi:type="xsd:double"&gt;4.0941715&lt;/D&gt;&lt;D xsi:type="xsd:double"&gt;0.9096384&lt;/D&gt;&lt;D xsi:type="xsd:double"&gt;-16.947115&lt;/D&gt;&lt;D xsi:type="xsd:double"&gt;-3.7264764&lt;/D&gt;&lt;D xsi:type="xsd:double"&gt;4.284096&lt;/D&gt;&lt;D xsi:type="xsd:double"&gt;15.891886&lt;/D&gt;&lt;D xsi:type="xsd:double"&gt;0.09607077&lt;/D&gt;&lt;D xsi:type="xsd:double"&gt;8.6319685&lt;/D&gt;&lt;D xsi:type="xsd:double"&gt;3.2128453&lt;/D&gt;&lt;D xsi:type="xsd:double"&gt;1.4452457&lt;/D&gt;&lt;D xsi:type="xsd:double"&gt;4.3287754&lt;/D&gt;&lt;D xsi:type="xsd:double"&gt;4.4905424&lt;/D&gt;&lt;D xsi:type="xsd:double"&gt;6.1668873&lt;/D&gt;&lt;D xsi:type="xsd:double"&gt;1.0255218&lt;/D&gt;&lt;D xsi:type="xsd:double"&gt;3.7771463&lt;/D&gt;&lt;D xsi:type="xsd:double"&gt;7.1201086&lt;/D&gt;&lt;D xsi:type="xsd:double"&gt;2.9093146&lt;/D&gt;&lt;D xsi:type="xsd:double"&gt;1.7127514&lt;/D&gt;&lt;D xsi:type="xsd:double"&gt;-1.864922&lt;/D&gt;&lt;D xsi:type="xsd:double"&gt;1.7981768&lt;/D&gt;&lt;D xsi:type="xsd:double"&gt;-0.81047416&lt;/D&gt;&lt;D xsi:type="xsd:double"&gt;-5.866331&lt;/D&gt;&lt;D xsi:type="xsd:double"&gt;8.791458&lt;/D&gt;&lt;D xsi:type="xsd:double"&gt;-5.3396106&lt;/D&gt;&lt;D xsi:type="xsd:double"&gt;2.3639083&lt;/D&gt;&lt;D xsi:type="xsd:double"&gt;-5.117595&lt;/D&gt;&lt;D xsi:type="xsd:double"&gt;-17.12187&lt;/D&gt;&lt;D xsi:type="xsd:double"&gt;8.69565&lt;/D&gt;&lt;D xsi:type="xsd:double"&gt;-16.50955&lt;/D&gt;&lt;D xsi:type="xsd:double"&gt;7.667196&lt;/D&gt;&lt;D xsi:type="xsd:double"&gt;-9.332169&lt;/D&gt;&lt;D xsi:type="xsd:double"&gt;5.3071737&lt;/D&gt;&lt;D xsi:type="xsd:double"&gt;-5.9254827&lt;/D&gt;&lt;D xsi:type="xsd:double"&gt;-12.012982&lt;/D&gt;&lt;D xsi:type="xsd:double"&gt;13.062727&lt;/D&gt;&lt;D xsi:type="xsd:double"&gt;10.672331&lt;/D&gt;&lt;D xsi:type="xsd:double"&gt;2.1139503&lt;/D&gt;&lt;D xsi:type="xsd:double"&gt;3.5143733&lt;/D&gt;&lt;D xsi:type="xsd:double"&gt;-4.0123463&lt;/D&gt;&lt;D xsi:type="xsd:double"&gt;2.5723457&lt;/D&gt;&lt;D xsi:type="xsd:double"&gt;4.274726&lt;/D&gt;&lt;D xsi:type="xsd:double"&gt;-3.5528839&lt;/D&gt;&lt;D xsi:type="xsd:double"&gt;-2.606976&lt;/D&gt;&lt;D xsi:type="xsd:double"&gt;0.7855654&lt;/D&gt;&lt;D xsi:type="xsd:double"&gt;-5.571592&lt;/D&gt;&lt;D xsi:type="xsd:double"&gt;0.30572414&lt;/D&gt;&lt;D xsi:type="xsd:double"&gt;-0.030487776&lt;/D&gt;&lt;D xsi:type="xsd:double"&gt;14.207315&lt;/D&gt;&lt;D xsi:type="xsd:double"&gt;3.0165195&lt;/D&gt;&lt;D xsi:type="xsd:double"&gt;-0.05310774&lt;/D&gt;&lt;D xsi:type="xsd:double"&gt;7.9702497&lt;/D&gt;&lt;D xsi:type="xsd:double"&gt;-0.467515&lt;/D&gt;&lt;D xsi:type="xsd:double"&gt;-0.07417202&lt;/D&gt;&lt;/FQL&gt;&lt;FQL&gt;&lt;Q&gt;EWQ^FMA_DIV_YLD(NTMA,-10AY,0,AM,"PORTAGG","MEANR")&lt;/Q&gt;&lt;R&gt;121&lt;/R&gt;&lt;C&gt;1&lt;/C&gt;&lt;D xsi:type="xsd:double"&gt;3.44532772786709&lt;/D&gt;&lt;D xsi:type="xsd:double"&gt;3.34233099943246&lt;/D&gt;&lt;D xsi:type="xsd:double"&gt;3.49621724908294&lt;/D&gt;&lt;D xsi:type="xsd:double"&gt;3.70011358799419&lt;/D&gt;&lt;D xsi:type="xsd:double"&gt;3.49939384709313&lt;/D&gt;&lt;D xsi:type="xsd:double"&gt;3.78177076500656&lt;/D&gt;&lt;D xsi:type="xsd:double"&gt;3.7288162886</t>
        </r>
      </text>
    </comment>
    <comment ref="A3" authorId="0" shapeId="0" xr:uid="{DBB18BDA-772C-4CD6-B106-12CBCC6D4529}">
      <text>
        <r>
          <rPr>
            <b/>
            <sz val="9"/>
            <color indexed="81"/>
            <rFont val="Tahoma"/>
            <charset val="1"/>
          </rPr>
          <t>6602&lt;/D&gt;&lt;D xsi:type="xsd:double"&gt;3.64805383671413&lt;/D&gt;&lt;D xsi:type="xsd:double"&gt;3.71383695470491&lt;/D&gt;&lt;D xsi:type="xsd:double"&gt;3.33029615460188&lt;/D&gt;&lt;D xsi:type="xsd:double"&gt;3.23251366099822&lt;/D&gt;&lt;D xsi:type="xsd:double"&gt;3.09871144483142&lt;/D&gt;&lt;D xsi:type="xsd:double"&gt;3.2307337248358&lt;/D&gt;&lt;D xsi:type="xsd:double"&gt;3.39662377161281&lt;/D&gt;&lt;D xsi:type="xsd:double"&gt;3.48183138751916&lt;/D&gt;&lt;D xsi:type="xsd:double"&gt;3.26482852606326&lt;/D&gt;&lt;D xsi:type="xsd:double"&gt;3.6107598409622&lt;/D&gt;&lt;D xsi:type="xsd:double"&gt;3.56337293234251&lt;/D&gt;&lt;D xsi:type="xsd:double"&gt;3.44224007890487&lt;/D&gt;&lt;D xsi:type="xsd:double"&gt;3.59163317526378&lt;/D&gt;&lt;D xsi:type="xsd:double"&gt;3.84302898174464&lt;/D&gt;&lt;D xsi:type="xsd:double"&gt;4.12572711759373&lt;/D&gt;&lt;D xsi:type="xsd:double"&gt;3.75951638797555&lt;/D&gt;&lt;D xsi:type="xsd:double"&gt;3.83920868258253&lt;/D&gt;&lt;D xsi:type="xsd:double"&gt;3.80948563704224&lt;/D&gt;&lt;D xsi:type="xsd:double"&gt;3.76049078660718&lt;/D&gt;&lt;D xsi:type="xsd:double"&gt;3.94870658377101&lt;/D&gt;&lt;D xsi:type="xsd:double"&gt;3.71411466426916&lt;/D&gt;&lt;D xsi:type="xsd:double"&gt;3.68553962811231&lt;/D&gt;&lt;D xsi:type="xsd:double"&gt;3.74882151191589&lt;/D&gt;&lt;D xsi:type="xsd:double"&gt;3.68577135476994&lt;/D&gt;&lt;D xsi:type="xsd:double"&gt;3.53873590391365&lt;/D&gt;&lt;D xsi:type="xsd:double"&gt;3.4506561373516&lt;/D&gt;&lt;D xsi:type="xsd:double"&gt;3.49441238123781&lt;/D&gt;&lt;D xsi:type="xsd:double"&gt;3.4394172975894&lt;/D&gt;&lt;D xsi:type="xsd:double"&gt;3.34360648574152&lt;/D&gt;&lt;D xsi:type="xsd:double"&gt;3.19522388626857&lt;/D&gt;&lt;D xsi:type="xsd:double"&gt;3.25906833707337&lt;/D&gt;&lt;D xsi:type="xsd:double"&gt;3.38781681109444&lt;/D&gt;&lt;D xsi:type="xsd:double"&gt;3.3892303802518&lt;/D&gt;&lt;D xsi:type="xsd:double"&gt;3.40099711373585&lt;/D&gt;&lt;D xsi:type="xsd:double"&gt;3.28685638691867&lt;/D&gt;&lt;D xsi:type="xsd:double"&gt;3.29244120978597&lt;/D&gt;&lt;D xsi:type="xsd:double"&gt;3.26624281764129&lt;/D&gt;&lt;D xsi:type="xsd:double"&gt;3.20702496630803&lt;/D&gt;&lt;D xsi:type="xsd:double"&gt;3.50067759329645&lt;/D&gt;&lt;D xsi:type="xsd:double"&gt;3.38318623993438&lt;/D&gt;&lt;D xsi:type="xsd:double"&gt;3.41600445338442&lt;/D&gt;&lt;D xsi:type="xsd:double"&gt;3.29448497415248&lt;/D&gt;&lt;D xsi:type="xsd:double"&gt;3.37560058025769&lt;/D&gt;&lt;D xsi:type="xsd:double"&gt;3.41382970155257&lt;/D&gt;&lt;D xsi:type="xsd:double"&gt;3.38786355518504&lt;/D&gt;&lt;D xsi:type="xsd:double"&gt;3.55167659019668&lt;/D&gt;&lt;D xsi:type="xsd:double"&gt;3.55684256532773&lt;/D&gt;&lt;D xsi:type="xsd:double"&gt;3.70226286608094&lt;/D&gt;&lt;D xsi:type="xsd:double"&gt;3.93034897281573&lt;/D&gt;&lt;D xsi:type="xsd:double"&gt;3.93680213739085&lt;/D&gt;&lt;D xsi:type="xsd:double"&gt;3.829945530741&lt;/D&gt;&lt;D xsi:type="xsd:double"&gt;3.66181039562826&lt;/D&gt;&lt;D xsi:type="xsd:double"&gt;3.55248484068802&lt;/D&gt;&lt;D xsi:type="xsd:double"&gt;3.64224586595366&lt;/D&gt;&lt;D xsi:type="xsd:double"&gt;3.62088188360734&lt;/D&gt;&lt;D xsi:type="xsd:double"&gt;3.52140471556374&lt;/D&gt;&lt;D xsi:type="xsd:double"&gt;3.68507378588642&lt;/D&gt;&lt;D xsi:type="xsd:double"&gt;3.53625783660859&lt;/D&gt;&lt;D xsi:type="xsd:double"&gt;3.60548529249327&lt;/D&gt;&lt;D xsi:type="xsd:double"&gt;3.37822423865481&lt;/D&gt;&lt;D xsi:type="xsd:double"&gt;3.41965678397147&lt;/D&gt;&lt;D xsi:type="xsd:double"&gt;3.32644533153121&lt;/D&gt;&lt;D xsi:type="xsd:double"&gt;3.31857711973761&lt;/D&gt;&lt;D xsi:type="xsd:double"&gt;4.14121685048587&lt;/D&gt;&lt;D xsi:type="xsd:double"&gt;3.95122387762285&lt;/D&gt;&lt;D xsi:type="xsd:double"&gt;3.49143201333343&lt;/D&gt;&lt;D xsi:type="xsd:double"&gt;3.05576980539317&lt;/D&gt;&lt;D xsi:type="xsd:double"&gt;3.16437130243889&lt;/D&gt;&lt;D xsi:type="xsd:double"&gt;3.16920421940286&lt;/D&gt;&lt;D xsi:type="xsd:double"&gt;3.10635890062963&lt;/D&gt;&lt;D xsi:type="xsd:double"&gt;3.18530839966649&lt;/D&gt;&lt;D xsi:type="xsd:double"&gt;2.98762448428554&lt;/D&gt;&lt;D xsi:type="xsd:double"&gt;2.90743981269046&lt;/D&gt;&lt;D xsi:type="xsd:double"&gt;2.87822691024615&lt;/D&gt;&lt;D xsi:type="xsd:double"&gt;2.90835997316444&lt;/D&gt;&lt;D xsi:type="xsd:double"&gt;2.78630027825068&lt;/D&gt;&lt;D xsi:type="xsd:double"&gt;2.717557048439&lt;/D&gt;&lt;D xsi:type="xsd:double"&gt;2.68402889930233&lt;/D&gt;&lt;D xsi:type="xsd:double"&gt;2.65373691543324&lt;/D&gt;&lt;D xsi:type="xsd:double"&gt;2.70365669738532&lt;/D&gt;&lt;D xsi:type="xsd:double"&gt;2.69048831536682&lt;/D&gt;&lt;D xsi:type="xsd:double"&gt;2.7657239904885&lt;/D&gt;&lt;D xsi:type="xsd:double"&gt;2.87193293628178&lt;/D&gt;&lt;D xsi:type="xsd:double"&gt;2.73360243698021&lt;/D&gt;&lt;D xsi:type="xsd:double"&gt;2.7841936213791&lt;/D&gt;&lt;D xsi:type="xsd:double"&gt;2.72480151695171&lt;/D&gt;&lt;D xsi:type="xsd:double"&gt;2.82433620651511&lt;/D&gt;&lt;D xsi:type="xsd:double"&gt;3.22717533580159&lt;/D&gt;&lt;D xsi:type="xsd:double"&gt;3.14473216994538&lt;/D&gt;&lt;D xsi:type="xsd:double"&gt;3.40907702552966&lt;/D&gt;&lt;D xsi:type="xsd:double"&gt;3.28138778599229&lt;/D&gt;&lt;D xsi:type="xsd:double"&gt;3.48308090604037&lt;/D&gt;&lt;D xsi:type="xsd:double"&gt;3.2823791129219&lt;/D&gt;&lt;D xsi:type="xsd:double"&gt;3.46854602021182&lt;/D&gt;&lt;D xsi:type="xsd:double"&gt;3.7094667222119&lt;/D&gt;&lt;D xsi:type="xsd:double"&gt;3.41984518886936&lt;/D&gt;&lt;D xsi:type="xsd:double"&gt;3.28545865340567&lt;/D&gt;&lt;D xsi:type="xsd:double"&gt;3.19474791924892&lt;/D&gt;&lt;D xsi:type="xsd:double"&gt;3.12304567202485&lt;/D&gt;&lt;D xsi:type="xsd:double"&gt;3.16411774976291&lt;/D&gt;&lt;D xsi:type="xsd:double"&gt;3.17223968128046&lt;/D&gt;&lt;D xsi:type="xsd:double"&gt;3.18382495457436&lt;/D&gt;&lt;D xsi:type="xsd:double"&gt;3.28917726653116&lt;/D&gt;&lt;D xsi:type="xsd:double"&gt;3.37095955278965&lt;/D&gt;&lt;D xsi:type="xsd:double"&gt;3.30760626101374&lt;/D&gt;&lt;D xsi:type="xsd:double"&gt;3.35932891846686&lt;/D&gt;&lt;D xsi:type="xsd:double"&gt;3.47850791992869&lt;/D&gt;&lt;D xsi:type="xsd:double"&gt;3.42596866547669&lt;/D&gt;&lt;D xsi:type="xsd:double"&gt;3.24818805156956&lt;/D&gt;&lt;D xsi:type="xsd:double"&gt;3.28245676481274&lt;/D&gt;&lt;D xsi:type="xsd:double"&gt;3.20098233307694&lt;/D&gt;&lt;D xsi:type="xsd:double"&gt;3.09889095022454&lt;/D&gt;&lt;D xsi:type="xsd:double"&gt;3.11151702111709&lt;/D&gt;&lt;D xsi:type="xsd:double"&gt;3.13385752209158&lt;/D&gt;&lt;/FQL&gt;&lt;FQL&gt;&lt;Q&gt;QQQ^FMA_PE(NTMA,-10AY,0,AM,"PORTAGG","MEANR")&lt;/Q&gt;&lt;R&gt;121&lt;/R&gt;&lt;C&gt;1&lt;/C&gt;&lt;D xsi:type="xsd:double"&gt;16.487651728432&lt;/D&gt;&lt;D xsi:type="xsd:double"&gt;17.3921281486952&lt;/D&gt;&lt;D xsi:type="xsd:double"&gt;17.5795916475007&lt;/D&gt;&lt;D xsi:type="xsd:double"&gt;17.1492210311236&lt;/D&gt;&lt;D xsi:type="xsd:double"&gt;17.6704225488049&lt;/D&gt;&lt;D xsi:type="xsd:double"&gt;17.019200917772&lt;/D&gt;&lt;D xsi:type="xsd:double"&gt;17.7043094817027&lt;/D&gt;&lt;D xsi:type="xsd:double"&gt;18.0210160217594&lt;/D&gt;&lt;D xsi:type="xsd:double"&gt;17.3055562398709&lt;/D&gt;&lt;D xsi:type="xsd:double"&gt;17.206278849841&lt;/D&gt;&lt;D xsi:type="xsd:double"&gt;17.9083155484884&lt;/D&gt;&lt;D xsi:type="xsd:double"&gt;17.9114560550436&lt;/D&gt;&lt;D xsi:type="xsd:double"&gt;17.9212162539688&lt;/D&gt;&lt;D xsi:type="xsd:double"&gt;17.6603601868277&lt;/D&gt;&lt;D xsi:type="xsd:double"&gt;17.2339668984755&lt;/D&gt;&lt;D xsi:type="xsd:double"&gt;18.3274412335173&lt;/D&gt;&lt;D xsi:type="xsd:double"&gt;17.1520221865596&lt;/D&gt;&lt;D xsi:type="xsd:double"&gt;17.5754550150943&lt;/D&gt;&lt;D xsi:type="xsd:double"&gt;18.6664441464856&lt;/D&gt;&lt;D xsi:type="xsd:double"&gt;18.4333738949688&lt;/D&gt;&lt;D xsi:type="xsd:double"&gt;17.1676831615518&lt;/D&gt;&lt;D xsi:type="xsd:double"&gt;15.966615374177&lt;/D&gt;&lt;D xsi:type="xsd:double"&gt;17.1816591289618&lt;/D&gt;&lt;D xsi:type="xsd:double"&gt;17.8141347752068&lt;/D&gt;&lt;D xsi:type="xsd:double"&gt;17.4469486316963&lt;/D&gt;&lt;D xsi:type="xsd:double"&gt;17.9356261045505&lt;/D&gt;&lt;D xsi:type="xsd:double"&gt;18.0707212014765&lt;/D&gt;&lt;D xsi:type="xsd:double"&gt;18.8354722651274&lt;/D&gt;&lt;D xsi:type="xsd:double"&gt;18.0902057284532&lt;/D&gt;&lt;D xsi:type="xsd:double"&gt;18.572808225382&lt;/D&gt;&lt;D xsi:type="xsd:double"&gt;18.2455563152569&lt;/D&gt;&lt;D xsi:type="xsd:double"&gt;18.283669809778&lt;/D&gt;&lt;D xsi:type="xsd:double"&gt;18.6090298018293&lt;/D&gt;&lt;D xsi:type="xsd:double"&gt;19.6954164994893&lt;/D&gt;&lt;D xsi:type="xsd:double"&gt;20.0625612968303&lt;/D&gt;&lt;D xsi:type="xsd:double"&gt;20.0390367740635&lt;/D&gt;&lt;D xsi:type="xsd:double"&gt;20.7161395436955&lt;/D&gt;&lt;D xsi:type="xsd:double"&gt;20.6409360776652&lt;/D&gt;&lt;D xsi:type="xsd:double"&gt;20.0408150291814&lt;/D&gt;&lt;D xsi:type="xsd:double"&gt;20.6974493639776&lt;/D&gt;&lt;D xsi:type="xsd:double"&gt;20.3825895832153&lt;/D&gt;&lt;D xsi:type="xsd:double"&gt;20.5619774993764&lt;/D&gt;&lt;D xsi:type="xsd:double"&gt;20.9122003209876&lt;/D&gt;&lt;D xsi:type="xsd:double"&gt;20.7410190621417&lt;/D&gt;&lt;D xsi:type="xsd:double"&gt;21.5663272726626&lt;/D&gt;&lt;D xsi:type="xsd:double"&gt;19.6565314103086&lt;/D&gt;&lt;D xsi:type="xsd:double"&gt;21.4751158155038&lt;/D&gt;&lt;D xsi:type="xsd:double"&gt;19.3892672371004&lt;/D&gt;&lt;D xsi:type="xsd:double"&gt;20.0604420876131&lt;/D&gt;&lt;D xsi:type="xsd:double"&gt;20.533937046742&lt;/D&gt;&lt;D xsi:type="xsd:double"&gt;20.7100551933603&lt;/D&gt;&lt;D xsi:type="xsd:double"&gt;20.746498639002&lt;/D&gt;&lt;D xsi:type="xsd:double"&gt;20.4420242510494&lt;/D&gt;&lt;D xsi:type="xsd:double"&gt;20.142951232458&lt;/D&gt;&lt;D xsi:type="xsd:double"&gt;19.046710566254&lt;/D&gt;&lt;D xsi:type="xsd:double"&gt;17.8836648291981&lt;/D&gt;&lt;D xsi:type="xsd:double"&gt;18.1326446125193&lt;/D&gt;&lt;D xsi:type="xsd:double"&gt;19.1144461451171&lt;/D&gt;&lt;D xsi:type="xsd:double"&gt;19.4137676772964&lt;/D&gt;&lt;D xsi:type="xsd:double"&gt;20.8051980986749&lt;/D&gt;&lt;D xsi:type="xsd:double"&gt;20.7070662300758&lt;/D&gt;&lt;D xsi:type="xsd:double"&gt;20.1023683084373&lt;/D&gt;&lt;D xsi:type="xsd:double"&gt;21.1562793105235&lt;/D&gt;&lt;D xsi:type="xsd:double"&gt;20.4747554892039&lt;/D&gt;&lt;D xsi:type="xsd:double"&gt;20.7655782421498&lt;/D&gt;&lt;D xsi:type="xsd:double"&gt;20.211508827507&lt;/D&gt;&lt;D xsi:type="xsd:double"&gt;21.5592618505441&lt;/D&gt;&lt;D xsi:type="xsd:double"&gt;21.8156903306794&lt;/D&gt;&lt;D xsi:type="xsd:double"&gt;23.3263455719971&lt;/D&gt;&lt;D xsi:type="xsd:double"&gt;23.8456658694013&lt;/D&gt;&lt;D xsi:type="xsd:double"&gt;20.0823143501294&lt;/D&gt;&lt;D xsi:type="xsd:double"&gt;22.2789833675044&lt;/D&gt;&lt;D xsi:type="xsd:double"&gt;26.4652696758906&lt;/D&gt;&lt;D xsi:type="xsd:double"&gt;28.326524375771&lt;/D&gt;&lt;D xsi:type="xsd:double"&gt;29.8691684694989&lt;/D&gt;&lt;D xsi:type="xsd:double"&gt;29.3011651089836&lt;/D&gt;&lt;D xsi:type="xsd:double"&gt;29.4868840609459&lt;/D&gt;&lt;D xsi:type="xsd:double"&gt;29.8249901906179&lt;/D&gt;&lt;D xsi:type="xsd:double"&gt;29.0303250653978&lt;/D&gt;&lt;D xsi:type="xsd:double"&gt;29.661980756793&lt;/D&gt;&lt;D xsi:type="xsd:double"&gt;30.4213254072908&lt;/D&gt;&lt;D xsi:type="xsd:double"&gt;30.09494566697&lt;/D&gt;&lt;D xsi:type="xsd:double"&gt;27.4746544008216&lt;/D&gt;&lt;D xsi:type="xsd:double"&gt;29.4433193845065&lt;/D&gt;&lt;D xsi:type="xsd:double"&gt;27.3554659869872&lt;/D&gt;&lt;D xsi:type="xsd:double"&gt;27.0621560523201&lt;/D&gt;&lt;D xsi:type="xsd:double"&gt;28.7357354864316&lt;/D&gt;&lt;D xsi:type="xsd:double"&gt;28.0392864372922&lt;/D&gt;&lt;D xsi:type="xsd:double"&gt;28.4639732210904&lt;/D&gt;&lt;D xsi:type="xsd:double"&gt;27.2112022347553&lt;/D&gt;&lt;D xsi:type="xsd:double"&gt;29.4389894426947&lt;/D&gt;&lt;D xsi:type="xsd:double"&gt;28.9324890114786&lt;/D&gt;&lt;D xsi:type="xsd:double"&gt;27.8037568513981&lt;/D&gt;&lt;D xsi:type="xsd:double"&gt;26.4900714133341&lt;/D&gt;&lt;D xsi:type="xsd:double"&gt;23.8353179255206&lt;/D&gt;&lt;D xsi:type="xsd:double"&gt;24.6582486958316&lt;/D&gt;&lt;D xsi:type="xsd:double"&gt;21.1731002659575&lt;/D&gt;&lt;D xsi:type="xsd:double"&gt;21.1273978383816&lt;/D&gt;&lt;D xsi:type="xsd:double"&gt;21.0093639026222&lt;/D&gt;&lt;D xsi:type="xsd:double"&gt;23.2021456337492&lt;/D&gt;&lt;D xsi:type="xsd:double"&gt;22.3198636751852&lt;/D&gt;&lt;D xsi:type="xsd:double"&gt;19.6791945041591&lt;/D&gt;&lt;D xsi:type="xsd:double"&gt;20.1318904099732&lt;/D&gt;&lt;D xsi:type="xsd:double"&gt;21.4621614400432&lt;/D&gt;&lt;D xsi:type="xsd:double"&gt;21.1712773213161&lt;/D&gt;&lt;D xsi:type="xsd:double"&gt;23.9442023018024&lt;/D&gt;&lt;D xsi:type="xsd:double"&gt;22.9373704555333&lt;/D&gt;&lt;D xsi:type="xsd:double"&gt;24.8026212678994&lt;/D&gt;&lt;D xsi:type="xsd:double"&gt;24.4039118211108&lt;/D&gt;&lt;D xsi:type="xsd:double"&gt;26.0839909699787&lt;/D&gt;&lt;D xsi:type="xsd:double"&gt;26.4452358730375&lt;/D&gt;&lt;D xsi:type="xsd:double"&gt;24.5899446876412&lt;/D&gt;&lt;D xsi:type="xsd:double"&gt;24.2309911715283&lt;/D&gt;&lt;D xsi:type="xsd:double"&gt;23.6184695279984&lt;/D&gt;&lt;D xsi:type="xsd:double"&gt;23.4636036740699&lt;/D&gt;&lt;D xsi:type="xsd:double"&gt;24.3258425821866&lt;/D&gt;&lt;D xsi:type="xsd:double"&gt;24.7801989755621&lt;/D&gt;&lt;D xsi:type="xsd:double"&gt;26.3757814473012&lt;/D&gt;&lt;D xsi:type="xsd:double"&gt;26.0622898580007&lt;/D&gt;&lt;D xsi:type="xsd:double"&gt;25.9469263123229&lt;/D&gt;&lt;D xsi:type="xsd:double"&gt;25.5439841689895&lt;/D&gt;&lt;/FQL&gt;&lt;FQL&gt;&lt;Q&gt;EWL^FMA_PE(LTMA,-10AY,0,AM,"PORTAGG","MEANR")&lt;/Q&gt;&lt;R&gt;121&lt;/R&gt;&lt;C&gt;1&lt;/C&gt;&lt;D xsi:type="xsd:double"&gt;17.1475104236444&lt;/D&gt;&lt;D xsi:type="xsd:double"&gt;17.2038752285019&lt;/D&gt;&lt;D xsi:type="xsd:double"&gt;17.0961895273045&lt;/D&gt;&lt;D xsi:type="xsd:double"&gt;16.9437560317559&lt;/D&gt;&lt;D xsi:type="xsd:double"&gt;17.4543195425737&lt;/D&gt;&lt;D xsi:type="xsd:double"&gt;16.8302470579156&lt;/D&gt;&lt;D xsi:type="xsd:double"&gt;17.2794482458017&lt;/D&gt;&lt;D xsi:type="xsd:double"&gt;17.3943228057054&lt;/D&gt;&lt;D xsi:type="xsd:double"&gt;17.2204408039944&lt;/D&gt;&lt;D xsi:type="xsd:double"&gt;17.1721920367168&lt;/D&gt;&lt;D xsi:type="xsd:double"&gt;17.9502882866627&lt;/D&gt;&lt;D xsi:type="xsd:double"&gt;18.172371178555&lt;/D&gt;&lt;D xsi:type="xsd:double"&gt;18.0196715327428&lt;/D&gt;&lt;D xsi:type="xsd:double"&gt;17.9002548416618&lt;/D&gt;&lt;D xsi:type="xsd:double"&gt;17.7958748653265&lt;/D&gt;&lt;D xsi:type="xsd:double"&gt;18.0731746562587&lt;/D&gt;&lt;D xsi:type="xsd:double"&gt;17.4268619348205&lt;/D&gt;&lt;D xsi:type="xsd:double"&gt;17.4293642447104&lt;/D&gt;&lt;D xsi:type="xsd:double"&gt;17.5863733382198&lt;/D&gt;&lt;D xsi:type="xsd:double"&gt;17.2429838691078&lt;/D&gt;&lt;D xsi:type="xsd:double"&gt;16.2936364564364&lt;/D&gt;&lt;D xsi:type="xsd:double"&gt;15.9280035491291&lt;/D&gt;&lt;D xsi:type="xsd:double"&gt;16.634412869358&lt;/D&gt;&lt;D xsi:type="xsd:double"&gt;16.6813078872549&lt;/D&gt;&lt;D xsi:type="xsd:double"&gt;16.7522242851205&lt;/D&gt;&lt;D xsi:type="xsd:double"&gt;17.1069926830319&lt;/D&gt;&lt;D xsi:type="xsd:double"&gt;17.1371365275191&lt;/D&gt;&lt;D xsi:type="xsd:double"&gt;17.776440247952&lt;/D&gt;&lt;D xsi:type="xsd:double"&gt;18.0029716744111&lt;/D&gt;&lt;D xsi:type="xsd:double"&gt;17.9399207978863&lt;/D&gt;&lt;D xsi:type="xsd:double"&gt;17.6666464627504&lt;/D&gt;&lt;D xsi:type="xsd:double"&gt;17.8654886768&lt;/D&gt;&lt;D xsi:type="xsd:double"&gt;18.6243568303514&lt;/D&gt;&lt;D xsi:type="xsd:double"&gt;18.67640484604&lt;/D&gt;&lt;D xsi:type="xsd:double"&gt;19.6301141127783&lt;/D&gt;&lt;D xsi:type="xsd:double"&gt;19.4295857313254&lt;/D&gt;&lt;D xsi:type="xsd:double"&gt;19.5634288661647&lt;/D&gt;&lt;D xsi:type="xsd:double"&gt;19.4440607452971&lt;/D&gt;&lt;D xsi:type="xsd:double"&gt;19.2925474996445&lt;/D&gt;&lt;D xsi:type="xsd:double"&gt;19.291926418011&lt;/D&gt;&lt;D xsi:type="xsd:double"&gt;19.1658699407373&lt;/D&gt;&lt;D xsi:type="xsd:double"&gt;19.5970623702631&lt;/D&gt;&lt;D xsi:type="xsd:double"&gt;20.1332980458164&lt;/D&gt;&lt;D xsi:type="xsd:double"&gt;20.401859905778&lt;/D&gt;&lt;D xsi:type="xsd:double"&gt;21.1620006293614&lt;/D&gt;&lt;D xsi:type="xsd:double"&gt;19.9728933721012&lt;/D&gt;&lt;D xsi:type="xsd:double"&gt;21.0915390608396&lt;/D&gt;&lt;D xsi:type="xsd:double"&gt;20.5406431848408&lt;/D&gt;&lt;D xsi:type="xsd:double"&gt;20.2319218328366&lt;/D&gt;&lt;D xsi:type="xsd:double"&gt;19.5314046073055&lt;/D&gt;&lt;D xsi:type="xsd:double"&gt;19.3218563551567&lt;/D&gt;&lt;D xsi:type="xsd:double"&gt;19.1650219114202&lt;/D&gt;&lt;D xsi:type="xsd:double"&gt;18.5506065333644&lt;/D&gt;&lt;D xsi:type="xsd:double"&gt;18.1502872531273&lt;/D&gt;&lt;D xsi:type="xsd:double"&gt;17.9999144029141&lt;/D&gt;&lt;D xsi:type="xsd:double"&gt;17.130964451627&lt;/D&gt;&lt;D xsi:type="xsd:double"&gt;16.759104166321&lt;/D&gt;&lt;D xsi:type="xsd:double"&gt;17.4627090387171&lt;/D&gt;&lt;D xsi:type="xsd:double"&gt;18.2758895569975&lt;/D&gt;&lt;D xsi:type="xsd:double"&gt;18.3171972663744&lt;/D&gt;&lt;D xsi:type="xsd:double"&gt;18.0681556679853&lt;/D&gt;&lt;D xsi:type="xsd:double"&gt;18.2438972567205&lt;/D&gt;&lt;D xsi:type="xsd:double"&gt;18.359760946832&lt;/D&gt;&lt;D xsi:type="xsd:double"&gt;18.1917427011976&lt;/D&gt;&lt;D xsi:type="xsd:double"&gt;18.4836717733258&lt;/D&gt;&lt;D xsi:type="xsd:double"&gt;18.1681991105106&lt;/D&gt;&lt;D xsi:type="xsd:double"&gt;18.8488744264966&lt;/D&gt;&lt;D xsi:type="xsd:double"&gt;19.1114162425149&lt;/D&gt;&lt;D xsi:type="xsd:double"&gt;19.6313605910752&lt;/D&gt;&lt;D xsi:type="xsd:double"&gt;20.0317411025709&lt;/D&gt;&lt;D xsi:type="xsd:double"&gt;17.8246262987766&lt;/D&gt;&lt;D xsi:type="xsd:double"&gt;18.1273033007994&lt;/D&gt;&lt;D xsi:type="xsd:double"&gt;18.6801216841589&lt;/D&gt;&lt;D xsi:type="xsd:double"&gt;19.4202989267394&lt;/D&gt;&lt;D xsi:type="xsd:double"&gt;19.7573036519432&lt;/D&gt;&lt;D xsi:type="xsd:double"&gt;20.0959217214582&lt;/D&gt;&lt;D xsi:type="xsd:double"&gt;20.8371970373776&lt;/D&gt;&lt;D xsi:type="xsd:double"&gt;20.9920117800959&lt;/D&gt;&lt;D xsi:type="xsd:double"&gt;21.0876688542492&lt;/D&gt;&lt;D xsi:type="xsd:double"&gt;21.1563735965307&lt;/D&gt;&lt;D xsi:type="xsd:double"&gt;22.137803175261&lt;/D&gt;&lt;D xsi:type="xsd:double"&gt;21.3599609730323&lt;/D&gt;&lt;D xsi:type="xsd:double"&gt;20.475964921027&lt;/D&gt;&lt;D xsi:type="xsd:double"&gt;20.6298686066957&lt;/D&gt;&lt;D xsi:type="xsd:double"&gt;20.5181069020412&lt;/D&gt;&lt;D xsi:type="xsd:double"&gt;20.8627608197938&lt;/D&gt;&lt;D xsi:type="xsd:double"&gt;20.894420909583&lt;/D&gt;&lt;D xsi:type="xsd:double"&gt;21.0626629685712&lt;/D&gt;&lt;D xsi:type="xsd:double"&gt;20.863170789498&lt;/D&gt;&lt;D xsi:type="xsd:double"&gt;20.2022687336845&lt;/D&gt;&lt;D xsi:type="xsd:double"&gt;20.9330548678031&lt;/D&gt;&lt;D xsi:type="xsd:double"&gt;21.0648718861568&lt;/D&gt;&lt;D xsi:type="xsd:double"&gt;21.3494405998309&lt;/D&gt;&lt;D xsi:type="xsd:double"&gt;20.051428584089&lt;/D&gt;&lt;D xsi:type="xsd:double"&gt;18.3604306421537&lt;/D&gt;&lt;D xsi:type="xsd:double"&gt;18.7001617053983&lt;/D&gt;&lt;D xsi:type="xsd:double"&gt;18.0798800016197&lt;/D&gt;&lt;D xsi:type="xsd:double"&gt;17.916549466869&lt;/D&gt;&lt;D xsi:type="xsd:double"&gt;17.7575105135131&lt;/D&gt;&lt;D xsi:type="xsd:double"&gt;18.2590969721795&lt;/D&gt;&lt;D xsi:type="xsd:double"&gt;17.9840443064741&lt;/D&gt;&lt;D xsi:type="xsd:double"&gt;16.9102783601066&lt;/D&gt;&lt;D xsi:type="xsd:double"&gt;18.9922297362341&lt;/D&gt;&lt;D xsi:type="xsd:double"&gt;20.350156298494&lt;/D&gt;&lt;D xsi:type="xsd:double"&gt;21.1386416905108&lt;/D&gt;&lt;D xsi:type="xsd:double"&gt;21.3891561578273&lt;/D&gt;&lt;D xsi:type="xsd:double"&gt;20.5617291254254&lt;/D&gt;&lt;D xsi:type="xsd:double"&gt;20.4236985985638&lt;/D&gt;&lt;D xsi:type="xsd:double"&gt;20.2517395884298&lt;/D&gt;&lt;D xsi:type="xsd:double"&gt;19.4821536798564&lt;/D&gt;&lt;D xsi:type="xsd:double"&gt;18.9958427993402&lt;/D&gt;&lt;D xsi:type="xsd:double"&gt;18.9448675357788&lt;/D&gt;&lt;D xsi:type="xsd:double"&gt;18.625915673489&lt;/D&gt;&lt;D xsi:type="xsd:double"&gt;18.1886492568844&lt;/D&gt;&lt;D xsi:type="xsd:double"&gt;17.7901231840359&lt;/D&gt;&lt;D xsi:type="xsd:double"&gt;18.2174356450323&lt;/D&gt;&lt;D xsi:type="xsd:double"&gt;18.4723822960252&lt;/D&gt;&lt;D xsi:type="xsd:double"&gt;18.6813936568121&lt;/D&gt;&lt;D xsi:type="xsd:double"&gt;19.2243678457555&lt;/D&gt;&lt;D xsi:type="xsd:double"&gt;19.0245419659001&lt;/D&gt;&lt;D xsi:type="xsd:double"&gt;18.763627322584&lt;/D&gt;&lt;/FQL&gt;&lt;FQL&gt;&lt;Q&gt;WL-FDS^FG_PRICE(0)/MAX(FG_PRICE(0,-1AY))&lt;/Q&gt;&lt;R&gt;1&lt;/R&gt;&lt;C&gt;1&lt;/C&gt;&lt;D xsi:type="xsd:double"&gt;0.75399528425465&lt;/D&gt;&lt;/FQL&gt;&lt;FQL&gt;&lt;Q&gt;NI-FDS^FG_PRICE(0)/MAX(FG_PRICE(0,-1AY))&lt;/Q&gt;&lt;R&gt;1&lt;/R&gt;&lt;C&gt;1&lt;/C&gt;&lt;D xsi:type="xsd:double"&gt;0.778311742582532&lt;/D&gt;&lt;/FQL&gt;&lt;FQL&gt;&lt;Q&gt;CPALM-FDS^FG_PRICE(0)/MAX(FG_PRICE(0,-1AY))&lt;/Q&gt;&lt;R&gt;1&lt;/R&gt;&lt;C&gt;1&lt;/C&gt;&lt;D xsi:type="xsd:double"&gt;0.856737278881852&lt;/D&gt;&lt;/FQL&gt;&lt;FQL&gt;&lt;Q&gt;BRENT-FDS^FG_PRICE(0)/MAX(FG_PRICE(0,-1AY))&lt;/Q&gt;&lt;R&gt;1&lt;/R&gt;&lt;C&gt;1&lt;/C&gt;&lt;D xsi:type="xsd:double"&gt;0.870614479821537&lt;/D&gt;&lt;/FQL&gt;&lt;FQL&gt;&lt;Q&gt;TIOS-FDS^FG_PRICE(0)/MAX(FG_PRICE(0,-1AY))&lt;/Q&gt;&lt;R&gt;1&lt;/R&gt;&lt;C&gt;1&lt;/C&gt;&lt;D xsi:type="xsd:double"&gt;0.808754162042175&lt;/D&gt;&lt;/FQL&gt;&lt;FQL&gt;&lt;Q&gt;EWQ^FMA_ROE(NTMA,-20AY,NOW,FY,"PORTAGG","MEANR")&lt;/Q&gt;&lt;R&gt;20&lt;/R&gt;&lt;C&gt;1&lt;/C&gt;&lt;D xsi:type="xsd:double"&gt;15.3785109881273&lt;/D&gt;&lt;D xsi:type="xsd:double"&gt;16.6302131420813&lt;/D&gt;&lt;D xsi:type="xsd:double"&gt;15.4089673624266&lt;/D&gt;&lt;D xsi:type="xsd:double"&gt;15.0205314626708&lt;/D&gt;&lt;D xsi:type="xsd:double"&gt;11.8797489821456&lt;/D&gt;&lt;D xsi:type="xsd:double"&gt;10.9934091834566&lt;/D&gt;&lt;D xsi:type="xsd:double"&gt;12.0259375987481&lt;/D&gt;&lt;D xsi:type="xsd:double"&gt;10.8176655066299&lt;/D&gt;&lt;D xsi:type="xsd:double"&gt;10.4079638226552&lt;/D&gt;&lt;D xsi:type="xsd:double"&gt;10.3975296667646&lt;/D&gt;&lt;D xsi:type="xsd:double"&gt;9.87060023176551&lt;/D&gt;&lt;D xsi:type="xsd:double"&gt;9.82548245608185&lt;/D&gt;&lt;D xsi:type="xsd:double"&gt;9.88315391318072&lt;/D&gt;&lt;D xsi:type="xsd:double"&gt;10.4363064842242&lt;/D&gt;&lt;D xsi:type="xsd:double"&gt;11.3283895806005&lt;/D&gt;&lt;D xsi:type="xsd:double"&gt;10.9140096513637&lt;/D&gt;&lt;D xsi:type="xsd:double"&gt;8.94223448963437&lt;/D&gt;&lt;D xsi:type="xsd:double"&gt;12.2539555438325&lt;/D&gt;&lt;D xsi:type="xsd:double"&gt;13.1476341644672&lt;/D&gt;&lt;D xsi:type="xsd:double"&gt;13.2209624057671&lt;/D&gt;&lt;/FQL&gt;&lt;FQL&gt;&lt;Q&gt;TRYID10Y-FDS^FG_YIELD(-10AY,0,Y,,"YTM")&lt;/Q&gt;&lt;R&gt;10&lt;/R&gt;&lt;C&gt;1&lt;/C&gt;&lt;D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xsi:type="xsd:double"&gt;5.1912&lt;/D&gt;&lt;/FQL&gt;&lt;FQL&gt;&lt;Q&gt;CAGDPY@US^EE_ACTUAL_ANNUAL(MED,0)&lt;/Q&gt;&lt;R&gt;1&lt;/R&gt;&lt;C&gt;1&lt;/C&gt;&lt;D xsi:type="xsd:double"&gt;-2.99561673751749&lt;/D&gt;&lt;/FQL&gt;&lt;FQL&gt;&lt;Q&gt;CAGDPY@NZ^EE_ACTUAL_ANNUAL(MED,0)&lt;/Q&gt;&lt;R&gt;1&lt;/R&gt;&lt;C&gt;1&lt;/C&gt;&lt;D xsi:type="xsd:double"&gt;-6.9&lt;/D&gt;&lt;/FQL&gt;&lt;FQL&gt;&lt;Q&gt;USDITL^FG_PRICE(0)&lt;/Q&gt;&lt;R&gt;1&lt;/R&gt;&lt;C&gt;1&lt;/C&gt;&lt;D xsi:type="xsd:double"&gt;1796.7522&lt;/D&gt;&lt;/FQL&gt;&lt;FQL&gt;&lt;Q&gt;USDANG^FG_PRICE(0)&lt;/Q&gt;&lt;R&gt;1&lt;/R&gt;&lt;C&gt;1&lt;/C&gt;&lt;D xsi:type="xsd:double"&gt;1.79&lt;/D&gt;&lt;/FQL&gt;&lt;FQL&gt;&lt;Q&gt;USDUSD^FG_PRICE(0)&lt;/Q&gt;&lt;R&gt;1&lt;/R&gt;&lt;C&gt;1&lt;/C&gt;&lt;D xsi:type="xsd:double"&gt;1&lt;/D&gt;&lt;/FQL&gt;&lt;FQL&gt;&lt;Q&gt;USDGBP^FG_PRICE(0)&lt;/Q&gt;&lt;R&gt;1&lt;/R&gt;&lt;C&gt;1&lt;/C&gt;&lt;D xsi:type="xsd:double"&gt;0.7992008&lt;/D&gt;&lt;/FQL&gt;&lt;FQL&gt;&lt;Q&gt;USDJPY^FG_PRICE(0)&lt;/Q&gt;&lt;R&gt;1&lt;/R&gt;&lt;C&gt;1&lt;/C&gt;&lt;D xsi:type="xsd:double"&gt;155.575&lt;/D&gt;&lt;/FQL&gt;&lt;FQL&gt;&lt;Q&gt;USDCAD^FG_PRICE(0)&lt;/Q&gt;&lt;R&gt;1&lt;/R&gt;&lt;C&gt;1&lt;/C&gt;&lt;D xsi:type="xsd:double"&gt;1.36925&lt;/D&gt;&lt;/FQL&gt;&lt;FQL&gt;&lt;Q&gt;USDNZD^FG_PRICE(0)&lt;/Q&gt;&lt;R&gt;1&lt;/R&gt;&lt;C&gt;1&lt;/C&gt;&lt;D xsi:type="xsd:double"&gt;1.6609917&lt;/D&gt;&lt;/FQL&gt;&lt;FQL&gt;&lt;Q&gt;EWI^P_PRICE_RETURNS_PR('52W',2,-10AY,0,AM)&lt;/Q&gt;&lt;R&gt;121&lt;/R&gt;&lt;C&gt;1&lt;/C&gt;&lt;D xsi:type="xsd:double"&gt;35.626484&lt;/D&gt;&lt;D xsi:type="xsd:double"&gt;42.406654&lt;/D&gt;&lt;D xsi:type="xsd:double"&gt;45.142113&lt;/D&gt;&lt;D xsi:type="xsd:double"&gt;15.791214&lt;/D&gt;&lt;D xsi:type="xsd:double"&gt;21.64607&lt;/D&gt;&lt;D xsi:type="xsd:double"&gt;-1.0115743&lt;/D&gt;&lt;D xsi:type="xsd:double"&gt;-2.5154948&lt;/D&gt;&lt;D xsi:type="xsd:double"&gt;-0.68514943&lt;/D&gt;&lt;D xsi:type="xsd:double"&gt;-16.682983&lt;/D&gt;&lt;D xsi:type="xsd:double"&gt;-13.016563&lt;/D&gt;&lt;D xsi:type="xsd:double"&gt;-13.01021&lt;/D&gt;&lt;D xsi:type="xsd:double"&gt;-13.716907&lt;/D&gt;&lt;D xsi:type="xsd:double"&gt;-9.937453&lt;/D&gt;&lt;D xsi:type="xsd:double"&gt;-15.447372&lt;/D&gt;&lt;D xsi:type="xsd:double"&gt;-13.009334&lt;/D&gt;&lt;D xsi:type="xsd:double"&gt;5.6521177&lt;/D&gt;&lt;D xsi:type="xsd:double"&gt;-7.6895533&lt;/D&gt;&lt;D xsi:type="xsd:double"&gt;7.553613&lt;/D&gt;&lt;D xsi:type="xsd:double"&gt;3.1148195&lt;/D&gt;&lt;D xsi:type="xsd:double"&gt;-0.36162734&lt;/D&gt;&lt;D xsi:type="xsd:double"&gt;0.51095486&lt;/D&gt;&lt;D xsi:type="xsd:double"&gt;-19.626976&lt;/D&gt;&lt;D xsi:type="xsd:double"&gt;-16.718208&lt;/D&gt;&lt;D xsi:type="xsd:double"&gt;-21.030611&lt;/D&gt;&lt;D xsi:type="xsd:double"&gt;-21.701176&lt;/D&gt;&lt;D xsi:type="xsd:double"&gt;-18.585217&lt;/D&gt;&lt;D xsi:type="xsd:double"&gt;-22.648357&lt;/D&gt;&lt;D xsi:type="xsd:double"&gt;-26.663858&lt;/D&gt;&lt;D xsi:type="xsd:double"&gt;-19.545109&lt;/D&gt;&lt;D xsi:type="xsd:double"&gt;-24.518782&lt;/D&gt;&lt;D xsi:type="xsd:double"&gt;-20.530224&lt;/D&gt;&lt;D xsi:type="xsd:double"&gt;-13.947892&lt;/D&gt;&lt;D xsi:type="xsd:double"&gt;-1.6733348&lt;/D&gt;&lt;D xsi:type="xsd:double"&gt;14.582407&lt;/D&gt;&lt;D xsi:type="xsd:double"&gt;6.856203&lt;/D&gt;&lt;D xsi:type="xsd:double"&gt;16.77296&lt;/D&gt;&lt;D xsi:type="xsd:double"&gt;19.337618&lt;/D&gt;&lt;D xsi:type="xsd:double"&gt;20.288288&lt;/D&gt;&lt;D xsi:type="xsd:double"&gt;43.06046&lt;/D&gt;&lt;D xsi:type="xsd:double"&gt;39.591812&lt;/D&gt;&lt;D xsi:type="xsd:double"&gt;34.482563&lt;/D&gt;&lt;D xsi:type="xsd:double"&gt;43.713833&lt;/D&gt;&lt;D xsi:type="xsd:double"&gt;43.046547&lt;/D&gt;&lt;D xsi:type="xsd:double"&gt;35.814213&lt;/D&gt;&lt;D xsi:type="xsd:double"&gt;33.80016&lt;/D&gt;&lt;D xsi:type="xsd:double"&gt;36.365734&lt;/D&gt;&lt;D xsi:type="xsd:double"&gt;36.285877&lt;/D&gt;&lt;D xsi:type="xsd:double"&gt;32.878555&lt;/D&gt;&lt;D xsi:type="xsd:double"&gt;24.477291&lt;/D&gt;&lt;D xsi:type="xsd:double"&gt;6.8599105&lt;/D&gt;&lt;D xsi:type="xsd:double"&gt;8.987654&lt;/D&gt;&lt;D xsi:type="xsd:double"&gt;-1.3651252&lt;/D&gt;&lt;D xsi:type="xsd:double"&gt;-8.557886&lt;/D&gt;&lt;D xsi:type="xsd:double"&gt;-10.182333&lt;/D&gt;&lt;D xsi:type="xsd:double"&gt;-14.641464&lt;/D&gt;&lt;D xsi:type="xsd:double"&gt;-17.337925&lt;/D&gt;&lt;D xsi:type="xsd:double"&gt;-16.811646&lt;/D&gt;&lt;D xsi:type="xsd:double"&gt;-15.391427&lt;/D&gt;&lt;D xsi:type="xsd:double"&gt;-14.065165&lt;/D&gt;&lt;D xsi:type="xsd:double"&gt;-10.897839&lt;/D&gt;&lt;D xsi:type="xsd:double"&gt;-15.235054&lt;/D&gt;&lt;D xsi:type="xsd:double"&gt;-5.197048&lt;/D&gt;&lt;D xsi:type="xsd:double"&gt;-0.95342994&lt;/D&gt;&lt;D xsi:type="xsd:double"&gt;-5.4775057&lt;/D&gt;&lt;D xsi:type="xsd:double"&gt;6.9260716&lt;/D&gt;&lt;D xsi:type="xsd:double"&gt;5.861628&lt;/D&gt;&lt;D xsi:type="xsd:double"&gt;20.438862&lt;/D&gt;&lt;D xsi:type="xsd:double"&gt;20.723688&lt;/D&gt;&lt;D xsi:type="xsd:double"&gt;21.716808&lt;/D&gt;&lt;D xsi:type="xsd:double"&gt;20.979427&lt;/D&gt;&lt;D xsi:type="xsd:double"&gt;-10.4576645&lt;/D&gt;&lt;D xsi:type="xsd:double"&gt;-20.528275&lt;/D&gt;&lt;D xsi:type="xsd:double"&gt;-21.05227&lt;/D&gt;&lt;D xsi:type="xsd:double"&gt;-3.9654493&lt;/D&gt;&lt;D xsi:type="xsd:double"&gt;-11.454177&lt;/D&gt;&lt;D xsi:type="xsd:double"&gt;-2.1341622&lt;/D&gt;&lt;D xsi:type="xsd:double"&gt;-5.526&lt;/D&gt;&lt;D xsi:type="xsd:double"&gt;-4.81236&lt;/D&gt;&lt;D xsi:type="xsd:double"&gt;-8.42526&lt;/D&gt;&lt;D xsi:type="xsd:double"&gt;3.8553715&lt;/D&gt;&lt;D xsi:type="xsd:double"&gt;4.4243574&lt;/D&gt;&lt;D xsi:type="xsd:double"&gt;4.7136426&lt;/D&gt;&lt;D xsi:type="xsd:double"&gt;36.51936&lt;/D&gt;&lt;D xsi:type="xsd:double"&gt;50.167538&lt;/D&gt;&lt;D xsi:type="xsd:double"&gt;64.18307&lt;/D&gt;&lt;D xsi:type="xsd:double"&gt;39.29807&lt;/D&gt;&lt;D xsi:type="xsd:double"&gt;34.666157&lt;/D&gt;&lt;D xsi:type="xsd:double"&gt;32.65183&lt;/D&gt;&lt;D xsi:type="xsd:double"&gt;29.643177&lt;/D&gt;&lt;D xsi:type="xsd:double"&gt;30.912853&lt;/D&gt;&lt;D xsi:type="xsd:double"&gt;30.807579&lt;/D&gt;&lt;D xsi:type="xsd:double"&gt;13.76884&lt;/D&gt;&lt;D xsi:type="xsd:double"&gt;12.073064&lt;/D&gt;&lt;D xsi:type="xsd:double"&gt;11.059416&lt;/D&gt;&lt;D xsi:type="xsd:double"&gt;-5.6893706&lt;/D&gt;&lt;D xsi:type="xsd:double"&gt;-5.9240875&lt;/D&gt;&lt;D xsi:type="xsd:double"&gt;-17.82139&lt;/D&gt;&lt;D xsi:type="xsd:double"&gt;-17.853086&lt;/D&gt;&lt;D xsi:type="xsd:double"&gt;-21.646791&lt;/D&gt;&lt;D xsi:type="xsd:double"&gt;-22.35564&lt;/D&gt;&lt;D xsi:type="xsd:double"&gt;-23.75772&lt;/D&gt;&lt;D xsi:type="xsd:double"&gt;-29.15724&lt;/D&gt;&lt;D xsi:type="xsd:double"&gt;-21.727758&lt;/D&gt;&lt;D xsi:type="xsd:double"&gt;-11.833096&lt;/D&gt;&lt;D xsi:type="xsd:double"&gt;-9.741449&lt;/D&gt;&lt;D xsi:type="xsd:double"&gt;-3.891462&lt;/D&gt;&lt;D xsi:type="xsd:double"&gt;10.560632&lt;/D&gt;&lt;D xsi:type="xsd:double"&gt;11.941921&lt;/D&gt;&lt;D xsi:type="xsd:double"&gt;26.621283&lt;/D&gt;&lt;D xsi:type="xsd:double"&gt;18.269575&lt;/D&gt;&lt;D xsi:type="xsd:double"&gt;38.086475&lt;/D&gt;&lt;D xsi:type="xsd:double"&gt;35.48466&lt;/D&gt;&lt;D xsi:type="xsd:double"&gt;39.978504&lt;/D&gt;&lt;D xsi:type="xsd:double"&gt;42.98023&lt;/D&gt;&lt;D xsi:type="xsd:double"&gt;26.36044&lt;/D&gt;&lt;D xsi:type="xsd:double"&gt;26.146496&lt;/D&gt;&lt;D xsi:type="xsd:double"&gt;21.737183&lt;/D&gt;&lt;D xsi:type="xsd:double"&gt;15.485358&lt;/D&gt;&lt;D xsi:type="xsd:double"&gt;24.85645&lt;/D&gt;&lt;D xsi:type="xsd:double"&gt;24.71056&lt;/D&gt;&lt;D xsi:type="xsd:double"&gt;23.965527&lt;/D&gt;&lt;/FQL&gt;&lt;FQL&gt;&lt;Q&gt;EWN^FG_TOTAL_RETURNC(-10AY,0,AM)&lt;/Q&gt;&lt;R&gt;121&lt;/R&gt;&lt;C&gt;1&lt;/C&gt;&lt;D xsi:type="xsd:double"&gt;-2.399093&lt;/D&gt;&lt;D xsi:type="xsd:double"&gt;2.7315617&lt;/D&gt;&lt;D xsi:type="xsd:double"&gt;-1.6628504&lt;/D&gt;&lt;D xsi:type="xsd:double"&gt;-7.020646&lt;/D&gt;&lt;D xsi:type="xsd:double"&gt;4.060912&lt;/D&gt;&lt;D xsi:type="xsd:double"&gt;-5.8130083&lt;/D&gt;&lt;D xsi:type="xsd:double"&gt;2.1579623&lt;/D&gt;&lt;D xsi:type="xsd:double"&gt;4.140258&lt;/D&gt;&lt;D xsi:type="xsd:double"&gt;-6.171&lt;/D&gt;&lt;D xsi:type="xsd:double"&gt;3.2104254&lt;/D&gt;&lt;D xsi:type="xsd:double"&gt;6.515336&lt;/D&gt;&lt;D xsi:type="xsd:double"&gt;2.4861813&lt;/D&gt;&lt;D xsi:type="xsd:double"&gt;2.1178365&lt;/D&gt;&lt;D xsi:type="xsd:double"&gt;-1.4705956&lt;/D&gt;&lt;D xsi:type="xsd:double"&gt;-2.965206&lt;/D&gt;&lt;D xsi:type="xsd:double"&gt;5.6464553&lt;/D&gt;&lt;D xsi:type="xsd:double"&gt;-8.7441025&lt;/D&gt;&lt;D xsi:type="xsd:double"&gt;1.2831092&lt;/D&gt;&lt;D xsi:type="xsd:double"&gt;1.5222788&lt;/D&gt;&lt;D xsi:type="xsd:double"&gt;-2.7875662&lt;/D&gt;&lt;D xsi:type="xsd:double"&gt;-6.7176104&lt;/D&gt;&lt;D xsi:type="xsd:double"&gt;-1.9205034&lt;/D&gt;&lt;D xsi:type="xsd:double"&gt;7.2859764&lt;/D&gt;&lt;D xsi:type="xsd:double"&gt;3.1409144&lt;/D&gt;&lt;D xsi:type="xsd:double"&gt;0.28806925&lt;/D&gt;&lt;D xsi:type="xsd:double"&gt;2.4620414&lt;/D&gt;&lt;D xsi:type="xsd:double"&gt;-7.451451&lt;/D&gt;&lt;D xsi:type="xsd:double"&gt;6.9359064&lt;/D&gt;&lt;D xsi:type="xsd:double"&gt;0.7389188&lt;/D&gt;&lt;D xsi:type="xsd:double"&gt;1.3854861&lt;/D&gt;&lt;D xsi:type="xsd:double"&gt;-2.290994&lt;/D&gt;&lt;D xsi:type="xsd:double"&gt;-1.1517823&lt;/D&gt;&lt;D xsi:type="xsd:double"&gt;2.7638316&lt;/D&gt;&lt;D xsi:type="xsd:double"&gt;2.9942632&lt;/D&gt;&lt;D xsi:type="xsd:double"&gt;4.340899&lt;/D&gt;&lt;D xsi:type="xsd:double"&gt;2.1373987&lt;/D&gt;&lt;D xsi:type="xsd:double"&gt;7.8475356&lt;/D&gt;&lt;D xsi:type="xsd:double"&gt;2.3215532&lt;/D&gt;&lt;D xsi:type="xsd:double"&gt;-0.6250918&lt;/D&gt;&lt;D xsi:type="xsd:double"&gt;6.278026&lt;/D&gt;&lt;D xsi:type="xsd:double"&gt;0.5193114&lt;/D&gt;&lt;D xsi:type="xsd:double"&gt;1.1624217&lt;/D&gt;&lt;D xsi:type="xsd:double"&gt;-0.15959144&lt;/D&gt;&lt;D xsi:type="xsd:double"&gt;0.89514256&lt;/D&gt;&lt;D xsi:type="xsd:double"&gt;3.4337878&lt;/D&gt;&lt;D xsi:type="xsd:double"&gt;-4.0049257&lt;/D&gt;&lt;D xsi:type="xsd:double"&gt;4.589224&lt;/D&gt;&lt;D xsi:type="xsd:double"&gt;-1.1353135&lt;/D&gt;&lt;D xsi:type="xsd:double"&gt;-0.93110204&lt;/D&gt;&lt;D xsi:type="xsd:double"&gt;0.75187683&lt;/D&gt;&lt;D xsi:type="xsd:double"&gt;-2.007717&lt;/D&gt;&lt;D xsi:type="xsd:double"&gt;1.7413735&lt;/D&gt;&lt;D xsi:type="xsd:double"&gt;-5.261487&lt;/D&gt;&lt;D xsi:type="xsd:double"&gt;-2.6095629&lt;/D&gt;&lt;D xsi:type="xsd:double"&gt;-0.96186996&lt;/D&gt;&lt;D xsi:type="xsd:double"&gt;-5.2029133&lt;/D&gt;&lt;D xsi:type="xsd:double"&gt;-0.06990433&lt;/D&gt;&lt;D xsi:type="xsd:double"&gt;4.930091&lt;/D&gt;&lt;D xsi:type="xsd:double"&gt;1.6129017&lt;/D&gt;&lt;D xsi:type="xsd:double"&gt;5.6935787&lt;/D&gt;&lt;D xsi:type="xsd:double"&gt;0.09794235&lt;/D&gt;&lt;D xsi:type="xsd:double"&gt;0.35877228&lt;/D&gt;&lt;D xsi:type="xsd:double"&gt;2.1612644&lt;/D&gt;&lt;D xsi:type="xsd:double"&gt;-1.5645385&lt;/D&gt;&lt;D xsi:type="xsd:double"&gt;3.8410544&lt;/D&gt;&lt;D xsi:type="xsd:double"&gt;-1.5306175&lt;/D&gt;&lt;D xsi:type="xsd:double"&gt;5.926168&lt;/D&gt;&lt;D xsi:type="xsd:double"&gt;0.8407235&lt;/D&gt;&lt;D xsi:type="xsd:double"&gt;3.2266617&lt;/D&gt;&lt;D xsi:type="xsd:double"&gt;0.029480457&lt;/D&gt;&lt;D xsi:type="xsd:double"&gt;-16.479952&lt;/D&gt;&lt;D xsi:type="xsd:double"&gt;-2.7179658&lt;/D&gt;&lt;D xsi:type="xsd:double"&gt;4.753268&lt;/D&gt;&lt;D xsi:type="xsd:double"&gt;13.162446&lt;/D&gt;&lt;D xsi:type="xsd:double"&gt;3.987801&lt;/D&gt;&lt;D xsi:type="xsd:double"&gt;3.494227&lt;/D&gt;&lt;D xsi:type="xsd:double"&gt;0.3433466&lt;/D&gt;&lt;D xsi:type="xsd:double"&gt;4.647851&lt;/D&gt;&lt;D xsi:type="xsd:double"&gt;2.5068045&lt;/D&gt;&lt;D xsi:type="xsd:double"&gt;7.363105&lt;/D&gt;&lt;D xsi:type="xsd:double"&gt;6.7603827&lt;/D&gt;&lt;D xsi:type="xsd:double"&gt;3.4434557&lt;/D&gt;&lt;D xsi:type="xsd:double"&gt;-0.08997321&lt;/D&gt;&lt;D xsi:type="xsd:double"&gt;8.014417&lt;/D&gt;&lt;D xsi:type="xsd:double"&gt;2.646935&lt;/D&gt;&lt;D xsi:type="xsd:double"&gt;0.99493265&lt;/D&gt;&lt;D xsi:type="xsd:double"&gt;-2.474594&lt;/D&gt;&lt;D xsi:type="xsd:double"&gt;5.0840497&lt;/D&gt;&lt;D xsi:type="xsd:double"&gt;4.62085&lt;/D&gt;&lt;D xsi:type="xsd:double"&gt;-6.870514&lt;/D&gt;&lt;D xsi:type="xsd:double"&gt;7.478714&lt;/D&gt;&lt;D xsi:type="xsd:double"&gt;-7.3166075&lt;/D&gt;&lt;D xsi:type="xsd:double"&gt;0.9236574&lt;/D&gt;&lt;D xsi:type="xsd:double"&gt;-4.0469465&lt;/D&gt;&lt;D xsi:type="xsd:double"&gt;-14.951491&lt;/D&gt;&lt;D xsi:type="xsd:double"&gt;1.6116977&lt;/D&gt;&lt;D xsi:type="xsd:double"&gt;-12.76232&lt;/D&gt;&lt;D xsi:type="xsd:double"&gt;6.4950347&lt;/D&gt;&lt;D xsi:type="xsd:double"&gt;-7.84992&lt;/D&gt;&lt;D xsi:type="xsd:double"&gt;6.9015265&lt;/D&gt;&lt;D xsi:type="xsd:double"&gt;-5.6185904&lt;/D&gt;&lt;D xsi:type="xsd:double"&gt;-11.219227&lt;/D&gt;&lt;D xsi:type="xsd:double"&gt;9.058678&lt;/D&gt;&lt;D xsi:type="xsd:double"&gt;14.986694&lt;/D&gt;&lt;D xsi:type="xsd:double"&gt;4.55271&lt;/D&gt;&lt;D xsi:type="xsd:double"&gt;4.181099&lt;/D&gt;&lt;D xsi:type="xsd:double"&gt;-4.5119944&lt;/D&gt;&lt;D xsi:type="xsd:double"&gt;4.5013666&lt;/D&gt;&lt;D xsi:type="xsd:double"&gt;-0.79723597&lt;/D&gt;&lt;D xsi:type="xsd:double"&gt;1.7268062&lt;/D&gt;&lt;D xsi:type="xsd:double"&gt;1.1565447&lt;/D&gt;&lt;D xsi:type="xsd:double"&gt;1.8859148&lt;/D&gt;&lt;D xsi:type="xsd:double"&gt;-8.236933&lt;/D&gt;&lt;D xsi:type="xsd:double"&gt;-4.765505&lt;/D&gt;&lt;D xsi:type="xsd:double"&gt;4.68626&lt;/D&gt;&lt;D xsi:type="xsd:double"&gt;8.497726&lt;/D&gt;&lt;D xsi:type="xsd:double"&gt;1.4120698&lt;/D&gt;&lt;D xsi:type="xsd:double"&gt;9.680403&lt;/D&gt;&lt;D xsi:type="xsd:double"&gt;3.2094598&lt;/D&gt;&lt;D xsi:type="xsd:double"&gt;1.9435406&lt;/D&gt;&lt;D xsi:type="xsd:double"&gt;1.083684&lt;/D&gt;&lt;/FQL&gt;&lt;FQL&gt;&lt;Q&gt;SPY^FMA_DIV_YLD(NTMA,-10AY,0,AM,"PORTAGG","MEANR")&lt;/Q&gt;&lt;R&gt;121&lt;/R&gt;&lt;C&gt;1&lt;/C&gt;&lt;D xsi:type="xsd:double"&gt;2.16447193329157&lt;/D&gt;&lt;D xsi:type="xsd:double"&gt;2.09808960413526&lt;/D&gt;&lt;D xsi:type="xsd:double"&gt;2.09036197261047&lt;/D&gt;&lt;D xsi:type="xsd:double"&gt;2.15389955724871&lt;/D&gt;&lt;D xsi:type="xsd:double"&gt;2.10444596705022&lt;/D&gt;&lt;D xsi:type="xsd:double"&gt;2.1853585282008&lt;/D&gt;&lt;D xsi:type="xsd:double"&gt;2.0956166098316&lt;/D&gt;&lt;D xsi:type="xsd:double"&gt;2.08805975692051&lt;/D&gt;&lt;D xsi:type="xsd:double"&gt;2.12001625623554&lt;/D&gt;&lt;D xsi:type="xsd:double"&gt;2.15130672210927&lt;/D&gt;&lt;D xsi:type="xsd:double"&gt;2.16340380919137&lt;/D&gt;&lt;D xsi:type="xsd:double"&gt;2.15785648278512&lt;/D&gt;&lt;D xsi:type="xsd:double"&gt;2.14514835657354&lt;/D&gt;&lt;D xsi:type="xsd:double"&gt;2.19167451465822&lt;/D&gt;&lt;D xsi:type="xsd:double"&gt;2.22192215923008&lt;/D&gt;&lt;D xsi:type="xsd:double"&gt;2.22250331348257&lt;/D&gt;&lt;D xsi:type="xsd:double"&gt;2.3906175439104&lt;/D&gt;&lt;D xsi:type="xsd:double"&gt;2.30970880384733&lt;/D&gt;&lt;D xsi:type="xsd:double"&gt;2.26735951159879&lt;/D&gt;&lt;D xsi:type="xsd:double"&gt;2.29998980776594&lt;/D&gt;&lt;D xsi:type="xsd:double"&gt;2.4661001995163&lt;/D&gt;&lt;D xsi:type="xsd:double"&gt;2.45182025901469&lt;/D&gt;&lt;D xsi:type="xsd:double"&gt;2.47519773454617&lt;/D&gt;&lt;D xsi:type="xsd:double"&gt;2.29179874134034&lt;/D&gt;&lt;D xsi:type="xsd:double"&gt;2.29270141173246&lt;/D&gt;&lt;D xsi:type="xsd:double"&gt;2.25553357983317&lt;/D&gt;&lt;D xsi:type="xsd:double"&gt;2.24878536754114&lt;/D&gt;&lt;D xsi:type="xsd:double"&gt;2.20459700803809&lt;/D&gt;&lt;D xsi:type="xsd:double"&gt;2.26317548959492&lt;/D&gt;&lt;D xsi:type="xsd:double"&gt;2.23647800560818&lt;/D&gt;&lt;D xsi:type="xsd:double"&gt;2.24105701997339&lt;/D&gt;&lt;D xsi:type="xsd:double"&gt;2.16289050591605&lt;/D&gt;&lt;D xsi:type="xsd:double"&gt;2.16326795367374&lt;/D&gt;&lt;D xsi:type="xsd:double"&gt;2.14794346580094&lt;/D&gt;&lt;D xsi:type="xsd:double"&gt;2.10755026954094&lt;/D&gt;&lt;D xsi:type="xsd:double"&gt;2.1240980954713&lt;/D&gt;&lt;D xsi:type="xsd:double"&gt;2.10252080750625&lt;/D&gt;&lt;D xsi:type="xsd:double"&gt;2.08510706554299&lt;/D&gt;&lt;D xsi:type="xsd:double"&gt;2.11508918666721&lt;/D&gt;&lt;D xsi:type="xsd:double"&gt;2.08682868313431&lt;/D&gt;&lt;D xsi:type="xsd:double"&gt;2.10693943410082&lt;/D&gt;&lt;D xsi:type="xsd:double"&gt;2.04336641878981&lt;/D&gt;&lt;D xsi:type="xsd:double"&gt;2.03025356647013&lt;/D&gt;&lt;D xsi:type="xsd:double"&gt;1.97191508709743&lt;/D&gt;&lt;D xsi:type="xsd:double"&gt;1.91195688348185&lt;/D&gt;&lt;D xsi:type="xsd:double"&gt;2.0390592771745&lt;/D&gt;&lt;D xsi:type="xsd:double"&gt;1.94003063748878&lt;/D&gt;&lt;D xsi:type="xsd:double"&gt;2.08507544687918&lt;/D&gt;&lt;D xsi:type="xsd:double"&gt;2.04170122587693&lt;/D&gt;&lt;D xsi:type="xsd:double"&gt;1.99224838793558&lt;/D&gt;&lt;D xsi:type="xsd:double"&gt;2.012311885788&lt;/D&gt;&lt;D xsi:type="xsd:double"&gt;1.98225756764584&lt;/D&gt;&lt;D xsi:type="xsd:double"&gt;1.97884451623698&lt;/D&gt;&lt;D xsi:type="xsd:double"&gt;1.98488814378387&lt;/D&gt;&lt;D xsi:type="xsd:double"&gt;2.06010003386089&lt;/D&gt;&lt;D xsi:type="xsd:double"&gt;2.19331490069846&lt;/D&gt;&lt;D xsi:type="xsd:double"&gt;2.25307773209518&lt;/D&gt;&lt;D xsi:type="xsd:double"&gt;2.16467488035224&lt;/D&gt;&lt;D xsi:type="xsd:double"&gt;2.14331927862373&lt;/D&gt;&lt;D xsi:type="xsd:double"&gt;2.06036730735601&lt;/D&gt;&lt;D xsi:type="xsd:double"&gt;2.078424075934&lt;/D&gt;&lt;D xsi:type="xsd:double"&gt;2.08991074925767&lt;/D&gt;&lt;D xsi:type="xsd:double"&gt;2.02700472299887&lt;/D&gt;&lt;D xsi:type="xsd:double"&gt;2.07891802949826&lt;/D&gt;&lt;D xsi:type="xsd:double"&gt;2.04749287889309&lt;/D&gt;&lt;D xsi:type="xsd:double"&gt;2.09978334409203&lt;/D&gt;&lt;D xsi:type="xsd:double"&gt;1.99545312496521&lt;/D&gt;&lt;D xsi:type="xsd:double"&gt;1.97968673266129&lt;/D&gt;&lt;D xsi:type="xsd:double"&gt;1.91229499101802&lt;/D&gt;&lt;D xsi:type="xsd:double"&gt;1.89654943832548&lt;/D&gt;&lt;D xsi:type="xsd:double"&gt;2.31161336314965&lt;/D&gt;&lt;D xsi:type="xsd:double"&gt;2.22380561822489&lt;/D&gt;&lt;D xsi:type="xsd:double"&gt;2.06936119133871&lt;/D&gt;&lt;D xsi:type="xsd:double"&gt;1.88044583261367&lt;/D&gt;&lt;D xsi:type="xsd:double"&gt;1.89052314206606&lt;/D&gt;&lt;D xsi:type="xsd:double"&gt;1.77679038500573&lt;/D&gt;&lt;D xsi:type="xsd:double"&gt;1.75605756234966&lt;/D&gt;&lt;D xsi:type="xsd:double"&gt;1.71950</t>
        </r>
      </text>
    </comment>
    <comment ref="A4" authorId="0" shapeId="0" xr:uid="{B344BB3B-75DD-4951-9160-86D6E3E9CC84}">
      <text>
        <r>
          <rPr>
            <b/>
            <sz val="9"/>
            <color indexed="81"/>
            <rFont val="Tahoma"/>
            <charset val="1"/>
          </rPr>
          <t>350629439&lt;/D&gt;&lt;D xsi:type="xsd:double"&gt;1.68860804281309&lt;/D&gt;&lt;D xsi:type="xsd:double"&gt;1.63559702710484&lt;/D&gt;&lt;D xsi:type="xsd:double"&gt;1.55186865496302&lt;/D&gt;&lt;D xsi:type="xsd:double"&gt;1.53486867008595&lt;/D&gt;&lt;D xsi:type="xsd:double"&gt;1.55589048488486&lt;/D&gt;&lt;D xsi:type="xsd:double"&gt;1.46924649669298&lt;/D&gt;&lt;D xsi:type="xsd:double"&gt;1.44324549960371&lt;/D&gt;&lt;D xsi:type="xsd:double"&gt;1.4586748806036&lt;/D&gt;&lt;D xsi:type="xsd:double"&gt;1.42719594970472&lt;/D&gt;&lt;D xsi:type="xsd:double"&gt;1.42024309081958&lt;/D&gt;&lt;D xsi:type="xsd:double"&gt;1.41175919265648&lt;/D&gt;&lt;D xsi:type="xsd:double"&gt;1.45121689862844&lt;/D&gt;&lt;D xsi:type="xsd:double"&gt;1.3723408442194&lt;/D&gt;&lt;D xsi:type="xsd:double"&gt;1.38266567345892&lt;/D&gt;&lt;D xsi:type="xsd:double"&gt;1.38307724903215&lt;/D&gt;&lt;D xsi:type="xsd:double"&gt;1.4300748685675&lt;/D&gt;&lt;D xsi:type="xsd:double"&gt;1.54767736985616&lt;/D&gt;&lt;D xsi:type="xsd:double"&gt;1.47029282088781&lt;/D&gt;&lt;D xsi:type="xsd:double"&gt;1.65902931662192&lt;/D&gt;&lt;D xsi:type="xsd:double"&gt;1.66213363703977&lt;/D&gt;&lt;D xsi:type="xsd:double"&gt;1.72443048088119&lt;/D&gt;&lt;D xsi:type="xsd:double"&gt;1.64613589338143&lt;/D&gt;&lt;D xsi:type="xsd:double"&gt;1.68224304625129&lt;/D&gt;&lt;D xsi:type="xsd:double"&gt;1.88502168293029&lt;/D&gt;&lt;D xsi:type="xsd:double"&gt;1.84362305585213&lt;/D&gt;&lt;D xsi:type="xsd:double"&gt;1.76277422655773&lt;/D&gt;&lt;D xsi:type="xsd:double"&gt;1.78710095152108&lt;/D&gt;&lt;D xsi:type="xsd:double"&gt;1.71499808097966&lt;/D&gt;&lt;D xsi:type="xsd:double"&gt;1.79426525916414&lt;/D&gt;&lt;D xsi:type="xsd:double"&gt;1.71859505285292&lt;/D&gt;&lt;D xsi:type="xsd:double"&gt;1.71129834401907&lt;/D&gt;&lt;D xsi:type="xsd:double"&gt;1.65136604055292&lt;/D&gt;&lt;D xsi:type="xsd:double"&gt;1.61631126728927&lt;/D&gt;&lt;D xsi:type="xsd:double"&gt;1.60426930207374&lt;/D&gt;&lt;D xsi:type="xsd:double"&gt;1.6147427484229&lt;/D&gt;&lt;D xsi:type="xsd:double"&gt;1.6719196046922&lt;/D&gt;&lt;D xsi:type="xsd:double"&gt;1.67295893627227&lt;/D&gt;&lt;D xsi:type="xsd:double"&gt;1.58718248324225&lt;/D&gt;&lt;D xsi:type="xsd:double"&gt;1.5483251332316&lt;/D&gt;&lt;D xsi:type="xsd:double"&gt;1.4881999773307&lt;/D&gt;&lt;D xsi:type="xsd:double"&gt;1.46742567242122&lt;/D&gt;&lt;D xsi:type="xsd:double"&gt;1.44385930559444&lt;/D&gt;&lt;D xsi:type="xsd:double"&gt;1.47216974679205&lt;/D&gt;&lt;/FQL&gt;&lt;FQL&gt;&lt;Q&gt;EWU^FMA_PE(NTMA,-10AY,0,AM,"PORTAGG","MEANR")&lt;/Q&gt;&lt;R&gt;121&lt;/R&gt;&lt;C&gt;1&lt;/C&gt;&lt;D xsi:type="xsd:double"&gt;13.6092472610369&lt;/D&gt;&lt;D xsi:type="xsd:double"&gt;13.7216783364208&lt;/D&gt;&lt;D xsi:type="xsd:double"&gt;13.5128621382478&lt;/D&gt;&lt;D xsi:type="xsd:double"&gt;13.1736250847977&lt;/D&gt;&lt;D xsi:type="xsd:double"&gt;13.3881088431662&lt;/D&gt;&lt;D xsi:type="xsd:double"&gt;12.7208631164261&lt;/D&gt;&lt;D xsi:type="xsd:double"&gt;13.2627428718536&lt;/D&gt;&lt;D xsi:type="xsd:double"&gt;13.5834129827893&lt;/D&gt;&lt;D xsi:type="xsd:double"&gt;13.6574947514962&lt;/D&gt;&lt;D xsi:type="xsd:double"&gt;15.3926027195698&lt;/D&gt;&lt;D xsi:type="xsd:double"&gt;15.5377161508572&lt;/D&gt;&lt;D xsi:type="xsd:double"&gt;15.901807794276&lt;/D&gt;&lt;D xsi:type="xsd:double"&gt;16.2399889226508&lt;/D&gt;&lt;D xsi:type="xsd:double"&gt;15.4594910670546&lt;/D&gt;&lt;D xsi:type="xsd:double"&gt;14.9574501075098&lt;/D&gt;&lt;D xsi:type="xsd:double"&gt;15.481834850508&lt;/D&gt;&lt;D xsi:type="xsd:double"&gt;14.5368754851376&lt;/D&gt;&lt;D xsi:type="xsd:double"&gt;15.3093024904814&lt;/D&gt;&lt;D xsi:type="xsd:double"&gt;15.1487550516382&lt;/D&gt;&lt;D xsi:type="xsd:double"&gt;14.8787334533976&lt;/D&gt;&lt;D xsi:type="xsd:double"&gt;14.478192346495&lt;/D&gt;&lt;D xsi:type="xsd:double"&gt;14.5662875744154&lt;/D&gt;&lt;D xsi:type="xsd:double"&gt;15.9280541724792&lt;/D&gt;&lt;D xsi:type="xsd:double"&gt;16.0768219390082&lt;/D&gt;&lt;D xsi:type="xsd:double"&gt;15.6523466208645&lt;/D&gt;&lt;D xsi:type="xsd:double"&gt;15.7948135510239&lt;/D&gt;&lt;D xsi:type="xsd:double"&gt;15.8228981691241&lt;/D&gt;&lt;D xsi:type="xsd:double"&gt;16.2259622209935&lt;/D&gt;&lt;D xsi:type="xsd:double"&gt;15.7862466416168&lt;/D&gt;&lt;D xsi:type="xsd:double"&gt;15.6253017239002&lt;/D&gt;&lt;D xsi:type="xsd:double"&gt;14.726153839924&lt;/D&gt;&lt;D xsi:type="xsd:double"&gt;14.4597164461922&lt;/D&gt;&lt;D xsi:type="xsd:double"&gt;14.3720872491852&lt;/D&gt;&lt;D xsi:type="xsd:double"&gt;14.4615947632851&lt;/D&gt;&lt;D xsi:type="xsd:double"&gt;14.2900830939155&lt;/D&gt;&lt;D xsi:type="xsd:double"&gt;14.4363839012041&lt;/D&gt;&lt;D xsi:type="xsd:double"&gt;14.5387467168482&lt;/D&gt;&lt;D xsi:type="xsd:double"&gt;14.7216397543999&lt;/D&gt;&lt;D xsi:type="xsd:double"&gt;14.4349955344675&lt;/D&gt;&lt;D xsi:type="xsd:double"&gt;14.822476943633&lt;/D&gt;&lt;D xsi:type="xsd:double"&gt;14.5765965968323&lt;/D&gt;&lt;D xsi:type="xsd:double"&gt;14.6076866143517&lt;/D&gt;&lt;D xsi:type="xsd:double"&gt;14.4273169903912&lt;/D&gt;&lt;D xsi:type="xsd:double"&gt;14.248657304744&lt;/D&gt;&lt;D xsi:type="xsd:double"&gt;14.7659117138163&lt;/D&gt;&lt;D xsi:type="xsd:double"&gt;13.3277442334801&lt;/D&gt;&lt;D xsi:type="xsd:double"&gt;13.5669654160062&lt;/D&gt;&lt;D xsi:type="xsd:double"&gt;13.4661517089351&lt;/D&gt;&lt;D xsi:type="xsd:double"&gt;13.9303790703005&lt;/D&gt;&lt;D xsi:type="xsd:double"&gt;13.5361006103721&lt;/D&gt;&lt;D xsi:type="xsd:double"&gt;13.3428757065274&lt;/D&gt;&lt;D xsi:type="xsd:double"&gt;13.2094847360933&lt;/D&gt;&lt;D xsi:type="xsd:double"&gt;12.3178719434461&lt;/D&gt;&lt;D xsi:type="xsd:double"&gt;12.2843927650411&lt;/D&gt;&lt;D xsi:type="xsd:double"&gt;11.9317973522365&lt;/D&gt;&lt;D xsi:type="xsd:double"&gt;11.3926704609729&lt;/D&gt;&lt;D xsi:type="xsd:double"&gt;11.8122269393783&lt;/D&gt;&lt;D xsi:type="xsd:double"&gt;12.2460325682825&lt;/D&gt;&lt;D xsi:type="xsd:double"&gt;12.2764524275068&lt;/D&gt;&lt;D xsi:type="xsd:double"&gt;12.7600584594547&lt;/D&gt;&lt;D xsi:type="xsd:double"&gt;12.2886206451321&lt;/D&gt;&lt;D xsi:type="xsd:double"&gt;12.4473487415418&lt;/D&gt;&lt;D xsi:type="xsd:double"&gt;12.62593389376&lt;/D&gt;&lt;D xsi:type="xsd:double"&gt;11.9960559987459&lt;/D&gt;&lt;D xsi:type="xsd:double"&gt;12.1772787578402&lt;/D&gt;&lt;D xsi:type="xsd:double"&gt;12.0795396340604&lt;/D&gt;&lt;D xsi:type="xsd:double"&gt;12.7856575517294&lt;/D&gt;&lt;D xsi:type="xsd:double"&gt;12.8989182459691&lt;/D&gt;&lt;D xsi:type="xsd:double"&gt;13.466783959015&lt;/D&gt;&lt;D xsi:type="xsd:double"&gt;13.3729940503547&lt;/D&gt;&lt;D xsi:type="xsd:double"&gt;10.9701353175646&lt;/D&gt;&lt;D xsi:type="xsd:double"&gt;13.2268588411147&lt;/D&gt;&lt;D xsi:type="xsd:double"&gt;15.1830476677119&lt;/D&gt;&lt;D xsi:type="xsd:double"&gt;16.6126607157962&lt;/D&gt;&lt;D xsi:type="xsd:double"&gt;15.516208715887&lt;/D&gt;&lt;D xsi:type="xsd:double"&gt;15.4545593265063&lt;/D&gt;&lt;D xsi:type="xsd:double"&gt;15.1734178712528&lt;/D&gt;&lt;D xsi:type="xsd:double"&gt;14.5779776535393&lt;/D&gt;&lt;D xsi:type="xsd:double"&gt;14.3728401698527&lt;/D&gt;&lt;D xsi:type="xsd:double"&gt;15.0370970234218&lt;/D&gt;&lt;D xsi:type="xsd:double"&gt;14.9677482348824&lt;/D&gt;&lt;D xsi:type="xsd:double"&gt;13.9401979046808&lt;/D&gt;&lt;D xsi:type="xsd:double"&gt;14.2076753082324&lt;/D&gt;&lt;D xsi:type="xsd:double"&gt;13.5394060118599&lt;/D&gt;&lt;D xsi:type="xsd:double"&gt;13.4407302573394&lt;/D&gt;&lt;D xsi:type="xsd:double"&gt;13.1473786295791&lt;/D&gt;&lt;D xsi:type="xsd:double"&gt;12.6549612494922&lt;/D&gt;&lt;D xsi:type="xsd:double"&gt;12.2932544031381&lt;/D&gt;&lt;D xsi:type="xsd:double"&gt;11.9344242804584&lt;/D&gt;&lt;D xsi:type="xsd:double"&gt;12.066976119391&lt;/D&gt;&lt;D xsi:type="xsd:double"&gt;12.0795950627346&lt;/D&gt;&lt;D xsi:type="xsd:double"&gt;11.9940177539554&lt;/D&gt;&lt;D xsi:type="xsd:double"&gt;12.3919296074598&lt;/D&gt;&lt;D xsi:type="xsd:double"&gt;12.3557082706716&lt;/D&gt;&lt;D xsi:type="xsd:double"&gt;11.3947172303772&lt;/D&gt;&lt;D xsi:type="xsd:double"&gt;11.3098297667407&lt;/D&gt;&lt;D xsi:type="xsd:double"&gt;10.0627606905141&lt;/D&gt;&lt;D xsi:type="xsd:double"&gt;10.3036507422234&lt;/D&gt;&lt;D xsi:type="xsd:double"&gt;9.5289514135532&lt;/D&gt;&lt;D xsi:type="xsd:double"&gt;9.82670242705738&lt;/D&gt;&lt;D xsi:type="xsd:double"&gt;9.31151876578276&lt;/D&gt;&lt;D xsi:type="xsd:double"&gt;8.70461452588207&lt;/D&gt;&lt;D xsi:type="xsd:double"&gt;9.21092863780786&lt;/D&gt;&lt;D xsi:type="xsd:double"&gt;9.94151920008336&lt;/D&gt;&lt;D xsi:type="xsd:double"&gt;10.2705291300426&lt;/D&gt;&lt;D xsi:type="xsd:double"&gt;10.5941461716939&lt;/D&gt;&lt;D xsi:type="xsd:double"&gt;10.3999512586811&lt;/D&gt;&lt;D xsi:type="xsd:double"&gt;10.5816316685589&lt;/D&gt;&lt;D xsi:type="xsd:double"&gt;10.602362468355&lt;/D&gt;&lt;D xsi:type="xsd:double"&gt;10.2968231734256&lt;/D&gt;&lt;D xsi:type="xsd:double"&gt;10.0365653799907&lt;/D&gt;&lt;D xsi:type="xsd:double"&gt;10.5903928543298&lt;/D&gt;&lt;D xsi:type="xsd:double"&gt;10.3405485253722&lt;/D&gt;&lt;D xsi:type="xsd:double"&gt;10.258655142563&lt;/D&gt;&lt;D xsi:type="xsd:double"&gt;10.2758359576466&lt;/D&gt;&lt;D xsi:type="xsd:double"&gt;10.557882431099&lt;/D&gt;&lt;D xsi:type="xsd:double"&gt;11.0489782736793&lt;/D&gt;&lt;D xsi:type="xsd:double"&gt;11.0054872629808&lt;/D&gt;&lt;D xsi:type="xsd:double"&gt;11.2959143232764&lt;/D&gt;&lt;D xsi:type="xsd:double"&gt;11.5279273249431&lt;/D&gt;&lt;D xsi:type="xsd:double"&gt;11.6361163090036&lt;/D&gt;&lt;/FQL&gt;&lt;FQL&gt;&lt;Q&gt;EWJ^FMA_PE(LTMA,-10AY,0,AM,"PORTAGG","MEANR")&lt;/Q&gt;&lt;R&gt;121&lt;/R&gt;&lt;C&gt;1&lt;/C&gt;&lt;D xsi:type="xsd:double"&gt;15.1688181548055&lt;/D&gt;&lt;D xsi:type="xsd:double"&gt;15.3102520903796&lt;/D&gt;&lt;D xsi:type="xsd:double"&gt;15.2918251124636&lt;/D&gt;&lt;D xsi:type="xsd:double"&gt;14.818903289439&lt;/D&gt;&lt;D xsi:type="xsd:double"&gt;15.1418561000482&lt;/D&gt;&lt;D xsi:type="xsd:double"&gt;14.8567861502095&lt;/D&gt;&lt;D xsi:type="xsd:double"&gt;15.6360040351016&lt;/D&gt;&lt;D xsi:type="xsd:double"&gt;16.1178121258245&lt;/D&gt;&lt;D xsi:type="xsd:double"&gt;15.5625901440065&lt;/D&gt;&lt;D xsi:type="xsd:double"&gt;15.7112232485869&lt;/D&gt;&lt;D xsi:type="xsd:double"&gt;16.9001047264554&lt;/D&gt;&lt;D xsi:type="xsd:double"&gt;16.9285406456625&lt;/D&gt;&lt;D xsi:type="xsd:double"&gt;16.8777776509109&lt;/D&gt;&lt;D xsi:type="xsd:double"&gt;16.954673196823&lt;/D&gt;&lt;D xsi:type="xsd:double"&gt;16.4606754054872&lt;/D&gt;&lt;D xsi:type="xsd:double"&gt;16.9287215518732&lt;/D&gt;&lt;D xsi:type="xsd:double"&gt;15.695750470226&lt;/D&gt;&lt;D xsi:type="xsd:double"&gt;15.6083422029541&lt;/D&gt;&lt;D xsi:type="xsd:double"&gt;16.1544798882099&lt;/D&gt;&lt;D xsi:type="xsd:double"&gt;15.8526187187402&lt;/D&gt;&lt;D xsi:type="xsd:double"&gt;14.6537577623645&lt;/D&gt;&lt;D xsi:type="xsd:double"&gt;13.4406359926274&lt;/D&gt;&lt;D xsi:type="xsd:double"&gt;13.8529714346433&lt;/D&gt;&lt;D xsi:type="xsd:double"&gt;13.6592564364196&lt;/D&gt;&lt;D xsi:type="xsd:double"&gt;13.6733804914805&lt;/D&gt;&lt;D xsi:type="xsd:double"&gt;14.0623231983358&lt;/D&gt;&lt;D xsi:type="xsd:double"&gt;13.4947671645532&lt;/D&gt;&lt;D xsi:type="xsd:double"&gt;14.101559179908&lt;/D&gt;&lt;D xsi:type="xsd:double"&gt;14.4021382193022&lt;/D&gt;&lt;D xsi:type="xsd:double"&gt;14.3998654241431&lt;/D&gt;&lt;D xsi:type="xsd:double"&gt;13.9716756566213&lt;/D&gt;&lt;D xsi:type="xsd:double"&gt;16.4007547075462&lt;/D&gt;&lt;D xsi:type="xsd:double"&gt;16.7130466889319&lt;/D&gt;&lt;D xsi:type="xsd:double"&gt;16.0505811670557&lt;/D&gt;&lt;D xsi:type="xsd:double"&gt;15.9259490022212&lt;/D&gt;&lt;D xsi:type="xsd:double"&gt;15.6215402650393&lt;/D&gt;&lt;D xsi:type="xsd:double"&gt;15.7029266410434&lt;/D&gt;&lt;D xsi:type="xsd:double"&gt;15.6504208498473&lt;/D&gt;&lt;D xsi:type="xsd:double"&gt;15.4708678296731&lt;/D&gt;&lt;D xsi:type="xsd:double"&gt;15.2942914710699&lt;/D&gt;&lt;D xsi:type="xsd:double"&gt;14.6839244666431&lt;/D&gt;&lt;D xsi:type="xsd:double"&gt;15.0105563401314&lt;/D&gt;&lt;D xsi:type="xsd:double"&gt;15.9804673151317&lt;/D&gt;&lt;D xsi:type="xsd:double"&gt;16.1865590581192&lt;/D&gt;&lt;D xsi:type="xsd:double"&gt;16.9845366523322&lt;/D&gt;&lt;D xsi:type="xsd:double"&gt;15.18742475902&lt;/D&gt;&lt;D xsi:type="xsd:double"&gt;14.3828924480937&lt;/D&gt;&lt;D xsi:type="xsd:double"&gt;14.2414653390921&lt;/D&gt;&lt;D xsi:type="xsd:double"&gt;14.2384461316959&lt;/D&gt;&lt;D xsi:type="xsd:double"&gt;14.168918215758&lt;/D&gt;&lt;D xsi:type="xsd:double"&gt;13.8079621244271&lt;/D&gt;&lt;D xsi:type="xsd:double"&gt;13.7931790311459&lt;/D&gt;&lt;D xsi:type="xsd:double"&gt;13.3413194319534&lt;/D&gt;&lt;D xsi:type="xsd:double"&gt;13.6378378953045&lt;/D&gt;&lt;D xsi:type="xsd:double"&gt;12.9243749325811&lt;/D&gt;&lt;D xsi:type="xsd:double"&gt;12.504045726765&lt;/D&gt;&lt;D xsi:type="xsd:double"&gt;11.8063181907803&lt;/D&gt;&lt;D xsi:type="xsd:double"&gt;12.0513059519051&lt;/D&gt;&lt;D xsi:type="xsd:double"&gt;12.6477990488159&lt;/D&gt;&lt;D xsi:type="xsd:double"&gt;12.756287802189&lt;/D&gt;&lt;D xsi:type="xsd:double"&gt;12.6314589326992&lt;/D&gt;&lt;D xsi:type="xsd:double"&gt;12.7153514060013&lt;/D&gt;&lt;D xsi:type="xsd:double"&gt;12.9732523990746&lt;/D&gt;&lt;D xsi:type="xsd:double"&gt;12.7371439933295&lt;/D&gt;&lt;D xsi:type="xsd:double"&gt;13.1422446020056&lt;/D&gt;&lt;D xsi:type="xsd:double"&gt;13.3953129633121&lt;/D&gt;&lt;D xsi:type="xsd:double"&gt;14.414700152102&lt;/D&gt;&lt;D xsi:type="xsd:double"&gt;15.0981098206528&lt;/D&gt;&lt;D xsi:type="xsd:double"&gt;15.3865054345568&lt;/D&gt;&lt;D xsi:type="xsd:double"&gt;15.4776187792543&lt;/D&gt;&lt;D xsi:type="xsd:double"&gt;13.7745663062217&lt;/D&gt;&lt;D xsi:type="xsd:double"&gt;13.8930910141816&lt;/D&gt;&lt;D xsi:type="xsd:double"&gt;14.3956039721597&lt;/D&gt;&lt;D xsi:type="xsd:double"&gt;16.4161776394822&lt;/D&gt;&lt;D xsi:type="xsd:double"&gt;17.2367738669313&lt;/D&gt;&lt;D xsi:type="xsd:double"&gt;17.8980207310642&lt;/D&gt;&lt;D xsi:type="xsd:double"&gt;19.1514541507401&lt;/D&gt;&lt;D xsi:type="xsd:double"&gt;20.4710416399519&lt;/D&gt;&lt;D xsi:type="xsd:double"&gt;21.4077227768394&lt;/D&gt;&lt;D xsi:type="xsd:double"&gt;22.6559143863207&lt;/D&gt;&lt;D xsi:type="xsd:double"&gt;24.032276226305&lt;/D&gt;&lt;D xsi:type="xsd:double"&gt;23.7871306470515&lt;/D&gt;&lt;D xsi:type="xsd:double"&gt;21.5710182893974&lt;/D&gt;&lt;D xsi:type="xsd:double"&gt;21.2109846421044&lt;/D&gt;&lt;D xsi:type="xsd:double"&gt;20.7143440596893&lt;/D&gt;&lt;D xsi:type="xsd:double"&gt;20.1580390218061&lt;/D&gt;&lt;D xsi:type="xsd:double"&gt;19.4675773175031&lt;/D&gt;&lt;D xsi:type="xsd:double"&gt;18.9420175667256&lt;/D&gt;&lt;D xsi:type="xsd:double"&gt;18.6876823020239&lt;/D&gt;&lt;D xsi:type="xsd:double"&gt;17.5499942004129&lt;/D&gt;&lt;D xsi:type="xsd:double"&gt;17.499859179015&lt;/D&gt;&lt;D xsi:type="xsd:double"&gt;16.5451794951727&lt;/D&gt;&lt;D xsi:type="xsd:double"&gt;16.1109584770976&lt;/D&gt;&lt;D xsi:type="xsd:double"&gt;15.4073675923459&lt;/D&gt;&lt;D xsi:type="xsd:double"&gt;14.4914870881752&lt;/D&gt;&lt;D xsi:type="xsd:double"&gt;14.4853967679739&lt;/D&gt;&lt;D xsi:type="xsd:double"&gt;14.2370393437607&lt;/D&gt;&lt;D xsi:type="xsd:double"&gt;14.3158262166475&lt;/D&gt;&lt;D xsi:type="xsd:double"&gt;13.8634272336999&lt;/D&gt;&lt;D xsi:type="xsd:double"&gt;13.890488308471&lt;/D&gt;&lt;D xsi:type="xsd:double"&gt;13.7644468472723&lt;/D&gt;&lt;D xsi:type="xsd:double"&gt;13.2508149241006&lt;/D&gt;&lt;D xsi:type="xsd:double"&gt;13.3514654305693&lt;/D&gt;&lt;D xsi:type="xsd:double"&gt;13.3748551116824&lt;/D&gt;&lt;D xsi:type="xsd:double"&gt;12.6897150703704&lt;/D&gt;&lt;D xsi:type="xsd:double"&gt;13.5182386185162&lt;/D&gt;&lt;D xsi:type="xsd:double"&gt;13.7473228852657&lt;/D&gt;&lt;D xsi:type="xsd:double"&gt;13.5825968461102&lt;/D&gt;&lt;D xsi:type="xsd:double"&gt;13.8608687458872&lt;/D&gt;&lt;D xsi:type="xsd:double"&gt;14.3039726958467&lt;/D&gt;&lt;D xsi:type="xsd:double"&gt;14.4926380157698&lt;/D&gt;&lt;D xsi:type="xsd:double"&gt;14.5736925757931&lt;/D&gt;&lt;D xsi:type="xsd:double"&gt;14.9026916909327&lt;/D&gt;&lt;D xsi:type="xsd:double"&gt;14.5212114606995&lt;/D&gt;&lt;D xsi:type="xsd:double"&gt;14.9428798825824&lt;/D&gt;&lt;D xsi:type="xsd:double"&gt;14.8939321208014&lt;/D&gt;&lt;D xsi:type="xsd:double"&gt;15.5667198265106&lt;/D&gt;&lt;D xsi:type="xsd:double"&gt;16.4731291039652&lt;/D&gt;&lt;D xsi:type="xsd:double"&gt;17.0566123097475&lt;/D&gt;&lt;D xsi:type="xsd:double"&gt;16.9697698043643&lt;/D&gt;&lt;D xsi:type="xsd:double"&gt;16.7975642824742&lt;/D&gt;&lt;/FQL&gt;&lt;FQL&gt;&lt;Q&gt;WL-FDS^FG_PRICE_CHANGE(0,-1AY)&lt;/Q&gt;&lt;R&gt;1&lt;/R&gt;&lt;C&gt;1&lt;/C&gt;&lt;D xsi:type="xsd:double"&gt;-18.8266817092089&lt;/D&gt;&lt;/FQL&gt;&lt;FQL&gt;&lt;Q&gt;NI-FDS^FG_PRICE_CHANGE(0,-1AY)&lt;/Q&gt;&lt;R&gt;1&lt;/R&gt;&lt;C&gt;1&lt;/C&gt;&lt;D xsi:type="xsd:double"&gt;-22.1688257417468&lt;/D&gt;&lt;/FQL&gt;&lt;FQL&gt;&lt;Q&gt;CPALM-FDS^FG_PRICE_CHANGE(0,-1AY)&lt;/Q&gt;&lt;R&gt;1&lt;/R&gt;&lt;C&gt;1&lt;/C&gt;&lt;D xsi:type="xsd:double"&gt;-3.13580246913581&lt;/D&gt;&lt;/FQL&gt;&lt;FQL&gt;&lt;Q&gt;BRENT-FDS^FG_PRICE_CHANGE(0,-1AY)&lt;/Q&gt;&lt;R&gt;1&lt;/R&gt;&lt;C&gt;1&lt;/C&gt;&lt;D xsi:type="xsd:double"&gt;11.6224648985959&lt;/D&gt;&lt;/FQL&gt;&lt;FQL&gt;&lt;Q&gt;TIOS-FDS^FG_PRICE_CHANGE(0,-1AY)&lt;/Q&gt;&lt;R&gt;1&lt;/R&gt;&lt;C&gt;1&lt;/C&gt;&lt;D xsi:type="xsd:double"&gt;9.93870815652995&lt;/D&gt;&lt;/FQL&gt;&lt;FQL&gt;&lt;Q&gt;EWD^FG_PRICE_MAVG(0,,,,30)&lt;/Q&gt;&lt;R&gt;1&lt;/R&gt;&lt;C&gt;1&lt;/C&gt;&lt;D xsi:type="xsd:double"&gt;39.3625&lt;/D&gt;&lt;/FQL&gt;&lt;FQL&gt;&lt;Q&gt;QQQ^FG_PRICE_MAVG(0,,,,30)&lt;/Q&gt;&lt;R&gt;1&lt;/R&gt;&lt;C&gt;1&lt;/C&gt;&lt;D xsi:type="xsd:double"&gt;433.58734&lt;/D&gt;&lt;/FQL&gt;&lt;FQL&gt;&lt;Q&gt;EWG^FG_PRICE_MAVG(0,,,,30)&lt;/Q&gt;&lt;R&gt;1&lt;/R&gt;&lt;C&gt;1&lt;/C&gt;&lt;D xsi:type="xsd:double"&gt;30.95&lt;/D&gt;&lt;/FQL&gt;&lt;FQL&gt;&lt;Q&gt;EWN^FG_COMPANY_NAME&lt;/Q&gt;&lt;R&gt;1&lt;/R&gt;&lt;C&gt;1&lt;/C&gt;&lt;D xsi:type="xsd:string"&gt;iShares MSCI Netherlands ETF&lt;/D&gt;&lt;/FQL&gt;&lt;FQL&gt;&lt;Q&gt;EWD^FG_COMPANY_NAME&lt;/Q&gt;&lt;R&gt;1&lt;/R&gt;&lt;C&gt;1&lt;/C&gt;&lt;D xsi:type="xsd:string"&gt;iShares MSCI Sweden ETF&lt;/D&gt;&lt;/FQL&gt;&lt;FQL&gt;&lt;Q&gt;FXI^FG_TOTAL_RETURNC(0,-3AM)&lt;/Q&gt;&lt;R&gt;1&lt;/R&gt;&lt;C&gt;1&lt;/C&gt;&lt;D xsi:type="xsd:double"&gt;22.540247&lt;/D&gt;&lt;/FQL&gt;&lt;FQL&gt;&lt;Q&gt;EWJ^P_PRICE(0)/P_PRICE_HIGH_PR(0,,,,,,"PRICE","INTRA","52W")&lt;/Q&gt;&lt;R&gt;1&lt;/R&gt;&lt;C&gt;1&lt;/C&gt;&lt;D xsi:type="xsd:double"&gt;0.9483105&lt;/D&gt;&lt;/FQL&gt;&lt;FQL&gt;&lt;Q&gt;VWO^FG_TOTAL_RETURNC(0,-12AM)&lt;/Q&gt;&lt;R&gt;1&lt;/R&gt;&lt;C&gt;1&lt;/C&gt;&lt;D xsi:type="xsd:double"&gt;11.796034&lt;/D&gt;&lt;/FQL&gt;&lt;FQL&gt;&lt;Q&gt;VGK^PERCENT_CHANGE(FMA_EPS(+1,0,,,,"PORTAGG","MEAN"),FMA_EPS(+1,-1AM,,,,"PORTAGG","MEAN"))&lt;/Q&gt;&lt;R&gt;1&lt;/R&gt;&lt;C&gt;1&lt;/C&gt;&lt;D xsi:type="xsd:double"&gt;0&lt;/D&gt;&lt;/FQL&gt;&lt;FQL&gt;&lt;Q&gt;EWD^FG_TOTAL_RETURNC(0,-1AM)&lt;/Q&gt;&lt;R&gt;1&lt;/R&gt;&lt;C&gt;1&lt;/C&gt;&lt;D xsi:type="xsd:double"&gt;-0.07417202&lt;/D&gt;&lt;/FQL&gt;&lt;FQL&gt;&lt;Q&gt;EWQ^FG_TOTAL_RETURNC(0,-6AM)&lt;/Q&gt;&lt;R&gt;1&lt;/R&gt;&lt;C&gt;1&lt;/C&gt;&lt;D xsi:type="xsd:double"&gt;18.694448&lt;/D&gt;&lt;/FQL&gt;&lt;FQL&gt;&lt;Q&gt;QQQ^P_PRICE(0)/P_PRICE_LOW_PR(0,,,,,,"PRICE","INTRA","52W")-1&lt;/Q&gt;&lt;R&gt;1&lt;/R&gt;&lt;C&gt;1&lt;/C&gt;&lt;D xsi:type="xsd:double"&gt;0.37133074&lt;/D&gt;&lt;/FQL&gt;&lt;FQL&gt;&lt;Q&gt;EWU^FMA_PCT_ABOVE_MAVG(200,0,,,,"PORTAGG")&lt;/Q&gt;&lt;R&gt;1&lt;/R&gt;&lt;C&gt;1&lt;/C&gt;&lt;D xsi:type="xsd:double"&gt;71.4285714285714&lt;/D&gt;&lt;/FQL&gt;&lt;FQL&gt;&lt;Q&gt;EWJ^PERCENT_CHANGE(FMA_EPS(+1,0,,,,"PORTAGG","MEAN"),FMA_EPS(+1,-3AM,,,,"PORTAGG","MEAN"))&lt;/Q&gt;&lt;R&gt;1&lt;/R&gt;&lt;C&gt;1&lt;/C&gt;&lt;D xsi:type="xsd:double"&gt;-0.0810005197510087&lt;/D&gt;&lt;/FQL&gt;&lt;FQL&gt;&lt;Q&gt;EWC^FG_TOTAL_RETURNC(0,-3AM)&lt;/Q&gt;&lt;R&gt;1&lt;/R&gt;&lt;C&gt;1&lt;/C&gt;&lt;D xsi:type="xsd:double"&gt;5.338466&lt;/D&gt;&lt;/FQL&gt;&lt;FQL&gt;&lt;Q&gt;ENZL^P_PRICE(0)/P_PRICE_HIGH_PR(0,,,,,,"PRICE","INTRA","52W")&lt;/Q&gt;&lt;R&gt;1&lt;/R&gt;&lt;C&gt;1&lt;/C&gt;&lt;D xsi:type="xsd:double"&gt;0.8826511&lt;/D&gt;&lt;/FQL&gt;&lt;FQL&gt;&lt;Q&gt;URTH^SIZE(FG_CONSTITUENTS)&lt;/Q&gt;&lt;R&gt;1&lt;/R&gt;&lt;C&gt;1&lt;/C&gt;&lt;D xsi:type="xsd:long"&gt;1470&lt;/D&gt;&lt;/FQL&gt;&lt;FQL&gt;&lt;Q&gt;EWN^FMA_COS_DOWN("EPS","1M",+1,0,,,"PORTAGG","MEANR")&lt;/Q&gt;&lt;R&gt;1&lt;/R&gt;&lt;C&gt;1&lt;/C&gt;&lt;D xsi:type="xsd:double"&gt;24&lt;/D&gt;&lt;/FQL&gt;&lt;FQL&gt;&lt;Q&gt;EWL^FMA_COS_UP("EPS","1M",+1,0,,,"PORTAGG","MEANR")&lt;/Q&gt;&lt;R&gt;1&lt;/R&gt;&lt;C&gt;1&lt;/C&gt;&lt;D xsi:type="xsd:double"&gt;21&lt;/D&gt;&lt;/FQL&gt;&lt;FQL&gt;&lt;Q&gt;EWQ^FMA_RBICS_REV_CURRENT(30, LOC, "PORTAGG")&lt;/Q&gt;&lt;R&gt;1&lt;/R&gt;&lt;C&gt;1&lt;/C&gt;&lt;D xsi:type="xsd:double"&gt;11.6274292606377&lt;/D&gt;&lt;/FQL&gt;&lt;FQL&gt;&lt;Q&gt;EWU^FG_ROE(0)&lt;/Q&gt;&lt;R&gt;1&lt;/R&gt;&lt;C&gt;1&lt;/C&gt;&lt;D xsi:type="xsd:double"&gt;17.0386826969934&lt;/D&gt;&lt;/FQL&gt;&lt;FQL&gt;&lt;Q&gt;TRYDE10Y-FDS^FG_YIELD_NAME&lt;/Q&gt;&lt;R&gt;1&lt;/R&gt;&lt;C&gt;1&lt;/C&gt;&lt;D xsi:type="xsd:string"&gt;Germany Benchmark Bond - 10 Year&lt;/D&gt;&lt;/FQL&gt;&lt;FQL&gt;&lt;Q&gt;REFFFUND-FDS^(SUBARRAY(NOT_NA(NO_REPEAT_F(FG_YIELD(NOW,-10AY,D))),0,1)-SUBARRAY(NOT_NA(NO_REPEAT_F(FG_YIELD(NOW,-10AY,D))),1,1))*100&lt;/Q&gt;&lt;R&gt;1&lt;/R&gt;&lt;C&gt;1&lt;/C&gt;&lt;D xsi:type="xsd:double"&gt;25&lt;/D&gt;&lt;/FQL&gt;&lt;FQL&gt;&lt;Q&gt;SPY^FMA_ROE(NTMA,-20AY,NOW,FY,"PORTAGG","MEANR")&lt;/Q&gt;&lt;R&gt;20&lt;/R&gt;&lt;C&gt;1&lt;/C&gt;&lt;D xsi:type="xsd:double"&gt;15.5861790200459&lt;/D&gt;&lt;D xsi:type="xsd:double"&gt;16.7322038566819&lt;/D&gt;&lt;D xsi:type="xsd:double"&gt;17.3873562088184&lt;/D&gt;&lt;D xsi:type="xsd:double"&gt;17.7935626477889&lt;/D&gt;&lt;D xsi:type="xsd:double"&gt;13.9384597707689&lt;/D&gt;&lt;D xsi:type="xsd:double"&gt;14.004346429543&lt;/D&gt;&lt;D xsi:type="xsd:double"&gt;15.0399433453936&lt;/D&gt;&lt;D xsi:type="xsd:double"&gt;15.5262408812809&lt;/D&gt;&lt;D xsi:type="xsd:double"&gt;15.3796547722071&lt;/D&gt;&lt;D xsi:type="xsd:double"&gt;15.8702437846916&lt;/D&gt;&lt;D xsi:type="xsd:double"&gt;15.8106739007597&lt;/D&gt;&lt;D xsi:type="xsd:double"&gt;15.8580313128215&lt;/D&gt;&lt;D xsi:type="xsd:double"&gt;16.0499124928518&lt;/D&gt;&lt;D xsi:type="xsd:double"&gt;16.907948658911&lt;/D&gt;&lt;D xsi:type="xsd:double"&gt;18.8923615036562&lt;/D&gt;&lt;D xsi:type="xsd:double"&gt;18.2929292642344&lt;/D&gt;&lt;D xsi:type="xsd:double"&gt;17.2298191446197&lt;/D&gt;&lt;D xsi:type="xsd:double"&gt;20.6862902761839&lt;/D&gt;&lt;D xsi:type="xsd:double"&gt;20.5983105929019&lt;/D&gt;&lt;D xsi:type="xsd:double"&gt;20.3486892313688&lt;/D&gt;&lt;/FQL&gt;&lt;FQL&gt;&lt;Q&gt;TRYAE10Y-FDS^FG_YIELD(-10AY,0,Y,,"YTM")&lt;/Q&gt;&lt;R&gt;10&lt;/R&gt;&lt;C&gt;1&lt;/C&gt;&lt;D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xsi:type="xsd:double"&gt;9.179499&lt;/D&gt;&lt;D xsi:type="xsd:double"&gt;9.791837&lt;/D&gt;&lt;D xsi:type="xsd:double"&gt;10.764477&lt;/D&gt;&lt;D xsi:type="xsd:double"&gt;11.358896&lt;/D&gt;&lt;/FQL&gt;&lt;FQL&gt;&lt;Q&gt;EWL^FG_TOTAL_RETURNC(0,-12AM)&lt;/Q&gt;&lt;R&gt;1&lt;/R&gt;&lt;C&gt;1&lt;/C&gt;&lt;D xsi:type="xsd:double"&gt;-0.0019609928&lt;/D&gt;&lt;/FQL&gt;&lt;FQL&gt;&lt;Q&gt;EWJ^PERCENT_CHANGE(FMA_EPS(+1,0,,,,"PORTAGG","MEAN"),FMA_EPS(+1,-1AM,,,,"PORTAGG","MEAN"))&lt;/Q&gt;&lt;R&gt;1&lt;/R&gt;&lt;C&gt;1&lt;/C&gt;&lt;D xsi:type="xsd:double"&gt;0.330674286687039&lt;/D&gt;&lt;/FQL&gt;&lt;FQL&gt;&lt;Q&gt;EWC^FG_TOTAL_RETURNC(0,-1AM)&lt;/Q&gt;&lt;R&gt;1&lt;/R&gt;&lt;C&gt;1&lt;/C&gt;&lt;D xsi:type="xsd:double"&gt;-0.6230593&lt;/D&gt;&lt;/FQL&gt;&lt;FQL&gt;&lt;Q&gt;ENZL^FG_TOTAL_RETURNC(0,-6AM)&lt;/Q&gt;&lt;R&gt;1&lt;/R&gt;&lt;C&gt;1&lt;/C&gt;&lt;D xsi:type="xsd:double"&gt;5.699241&lt;/D&gt;&lt;/FQL&gt;&lt;FQL&gt;&lt;Q&gt;CC_US^FG_COMPANY_NAME&lt;/Q&gt;&lt;R&gt;1&lt;/R&gt;&lt;C&gt;1&lt;/C&gt;&lt;D xsi:type="xsd:string"&gt;United States&lt;/D&gt;&lt;/FQL&gt;&lt;FQL&gt;&lt;Q&gt;USDITL^FG_COMPANY_NAME&lt;/Q&gt;&lt;R&gt;1&lt;/R&gt;&lt;C&gt;1&lt;/C&gt;&lt;D xsi:type="xsd:string"&gt;Italian Lira per U.S. Dollar&lt;/D&gt;&lt;/FQL&gt;&lt;FQL&gt;&lt;Q&gt;USDANG^FG_COMPANY_NAME&lt;/Q&gt;&lt;R&gt;1&lt;/R&gt;&lt;C&gt;1&lt;/C&gt;&lt;D xsi:type="xsd:string"&gt;Netherlands Antilles Guilder per U.S. Dollar&lt;/D&gt;&lt;/FQL&gt;&lt;FQL&gt;&lt;Q&gt;USDUSD^FG_COMPANY_NAME&lt;/Q&gt;&lt;R&gt;1&lt;/R&gt;&lt;C&gt;1&lt;/C&gt;&lt;D xsi:type="xsd:string"&gt;U.S. Dollar per U.S. Dollar&lt;/D&gt;&lt;/FQL&gt;&lt;FQL&gt;&lt;Q&gt;USDGBP^FG_COMPANY_NAME&lt;/Q&gt;&lt;R&gt;1&lt;/R&gt;&lt;C&gt;1&lt;/C&gt;&lt;D xsi:type="xsd:string"&gt;British Pounds per U.S. Dollar&lt;/D&gt;&lt;/FQL&gt;&lt;FQL&gt;&lt;Q&gt;USDJPY^FG_COMPANY_NAME&lt;/Q&gt;&lt;R&gt;1&lt;/R&gt;&lt;C&gt;1&lt;/C&gt;&lt;D xsi:type="xsd:string"&gt;Japanese Yen per U.S. Dollar&lt;/D&gt;&lt;/FQL&gt;&lt;FQL&gt;&lt;Q&gt;USDCAD^FG_COMPANY_NAME&lt;/Q&gt;&lt;R&gt;1&lt;/R&gt;&lt;C&gt;1&lt;/C&gt;&lt;D xsi:type="xsd:string"&gt;Canadian Dollar per U.S. Dollar&lt;/D&gt;&lt;/FQL&gt;&lt;FQL&gt;&lt;Q&gt;USDNZD^FG_COMPANY_NAME&lt;/Q&gt;&lt;R&gt;1&lt;/R&gt;&lt;C&gt;1&lt;/C&gt;&lt;D xsi:type="xsd:string"&gt;New Zealand Dollar per U.S. Dollar&lt;/D&gt;&lt;/FQL&gt;&lt;FQL&gt;&lt;Q&gt;EWD^P_PRICE_RETURNS_PR('52W',2,-10AY,0,AM)&lt;/Q&gt;&lt;R&gt;121&lt;/R&gt;&lt;C&gt;1&lt;/C&gt;&lt;D xsi:type="xsd:double"&gt;13.59117&lt;/D&gt;&lt;D xsi:type="xsd:double"&gt;17.539597&lt;/D&gt;&lt;D xsi:type="xsd:double"&gt;17.45696&lt;/D&gt;&lt;D xsi:type="xsd:double"&gt;2.5545359&lt;/D&gt;&lt;D xsi:type="xsd:double"&gt;2.7963042&lt;/D&gt;&lt;D xsi:type="xsd:double"&gt;-3.711468&lt;/D&gt;&lt;D xsi:type="xsd:double"&gt;0.5862117&lt;/D&gt;&lt;D xsi:type="xsd:double"&gt;1.5498161&lt;/D&gt;&lt;D xsi:type="xsd:double"&gt;-8.944845&lt;/D&gt;&lt;D xsi:type="xsd:double"&gt;-3.5755038&lt;/D&gt;&lt;D xsi:type="xsd:double"&gt;-5.4113626&lt;/D&gt;&lt;D xsi:type="xsd:double"&gt;-5.2149415&lt;/D&gt;&lt;D xsi:type="xsd:double"&gt;-2.3932338&lt;/D&gt;&lt;D xsi:type="xsd:double"&gt;-5.567765&lt;/D&gt;&lt;D xsi:type="xsd:double"&gt;-7.0768414&lt;/D&gt;&lt;D xsi:type="xsd:double"&gt;-0.6837368&lt;/D&gt;&lt;D xsi:type="xsd:double"&gt;-4.8680964&lt;/D&gt;&lt;D xsi:type="xsd:double"&gt;4.783976&lt;/D&gt;&lt;D xsi:type="xsd:double"&gt;-4.326308&lt;/D&gt;&lt;D xsi:type="xsd:double"&gt;-7.841712&lt;/D&gt;&lt;D xsi:type="xsd:double"&gt;-8.713836&lt;/D&gt;&lt;D xsi:type="xsd:double"&gt;-17.099035&lt;/D&gt;&lt;D xsi:type="xsd:double"&gt;-11.937422&lt;/D&gt;&lt;D xsi:type="xsd:double"&gt;-9.555304&lt;/D&gt;&lt;D xsi:type="xsd:double"&gt;-12.132919&lt;/D&gt;&lt;D xsi:type="xsd:double"&gt;-9.134203&lt;/D&gt;&lt;D xsi:type="xsd:double"&gt;-8.942324&lt;/D&gt;&lt;D xsi:type="xsd:double"&gt;-5.519569&lt;/D&gt;&lt;D xsi:type="xsd:double"&gt;-1.2248933&lt;/D&gt;&lt;D xsi:type="xsd:double"&gt;-0.71697235&lt;/D&gt;&lt;D xsi:type="xsd:double"&gt;-4.024601&lt;/D&gt;&lt;D xsi:type="xsd:double"&gt;2.0305753&lt;/D&gt;&lt;D xsi:type="xsd:double"&gt;10.842109&lt;/D&gt;&lt;D xsi:type="xsd:double"&gt;21.572256&lt;/D&gt;&lt;D xsi:type="xsd:double"&gt;11.859905&lt;/D&gt;&lt;D xsi:type="xsd:double"&gt;12.216878&lt;/D&gt;&lt;D xsi:type="xsd:double"&gt;20.006107&lt;/D&gt;&lt;D xsi:type="xsd:double"&gt;20.242893&lt;/D&gt;&lt;D xsi:type="xsd:double"&gt;32.81962&lt;/D&gt;&lt;D xsi:type="xsd:double"&gt;22.796524&lt;/D&gt;&lt;D xsi:type="xsd:double"&gt;21.659327&lt;/D&gt;&lt;D xsi:type="xsd:double"&gt;26.290476&lt;/D&gt;&lt;D xsi:type="xsd:double"&gt;29.255272&lt;/D&gt;&lt;D xsi:type="xsd:double"&gt;21.465492&lt;/D&gt;&lt;D xsi:type="xsd:double"&gt;25.419294&lt;/D&gt;&lt;D xsi:type="xsd:double"&gt;13.227749&lt;/D&gt;&lt;D xsi:type="xsd:double"&gt;16.135132&lt;/D&gt;&lt;D xsi:type="xsd:double"&gt;9.282994&lt;/D&gt;&lt;D xsi:type="xsd:double"&gt;4.7359347&lt;/D&gt;&lt;D xsi:type="xsd:double"&gt;-0.2399087&lt;/D&gt;&lt;D xsi:type="xsd:double"&gt;-3.362131&lt;/D&gt;&lt;D xsi:type="xsd:double"&gt;-1.6381562&lt;/D&gt;&lt;D xsi:type="xsd:double"&gt;-5.545175&lt;/D&gt;&lt;D xsi:type="xsd:double"&gt;-7.979685&lt;/D&gt;&lt;D xsi:type="xsd:double"&gt;-10.334551&lt;/D&gt;&lt;D xsi:type="xsd:double"&gt;-11.595928&lt;/D&gt;&lt;D xsi:type="xsd:double"&gt;-12.229085&lt;/D&gt;&lt;D xsi:type="xsd:double"&gt;-7.2045383&lt;/D&gt;&lt;D xsi:type="xsd:double"&gt;-9.733838&lt;/D&gt;&lt;D xsi:type="xsd:double"&gt;0.9605408&lt;/D&gt;&lt;D xsi:type="xsd:double"&gt;-6.7125854&lt;/D&gt;&lt;D xsi:type="xsd:double"&gt;-2.7100682&lt;/D&gt;&lt;D xsi:type="xsd:double"&gt;1.2786508&lt;/D&gt;&lt;D xsi:type="xsd:double"&gt;-8.0124855&lt;/D&gt;&lt;D xsi:type="xsd:double"&gt;-3.2340348&lt;/D&gt;&lt;D xsi:type="xsd:double"&gt;-5.6689205&lt;/D&gt;&lt;D xsi:type="xsd:double"&gt;11.129546&lt;/D&gt;&lt;D xsi:type="xsd:double"&gt;17.889095&lt;/D&gt;&lt;D xsi:type="xsd:double"&gt;17.179596&lt;/D&gt;&lt;D xsi:type="xsd:double"&gt;18.325985&lt;/D&gt;&lt;D xsi:type="xsd:double"&gt;-1.7936945&lt;/D&gt;&lt;D xsi:type="xsd:double"&gt;-12.200266&lt;/D&gt;&lt;D xsi:type="xsd:double"&gt;-5.6687713&lt;/D&gt;&lt;D xsi:type="xsd:double"&gt;10.1824875&lt;/D&gt;&lt;D xsi:type="xsd:double"&gt;6.448114&lt;/D&gt;&lt;D xsi:type="xsd:double"&gt;25.693846&lt;/D&gt;&lt;D xsi:type="xsd:double"&gt;24.55883&lt;/D&gt;&lt;D xsi:type="xsd:double"&gt;29.537846&lt;/D&gt;&lt;D xsi:type="xsd:double"&gt;20.082497&lt;/D&gt;&lt;D xsi:type="xsd:double"&gt;25.98331&lt;/D&gt;&lt;D xsi:type="xsd:double"&gt;27.832962&lt;/D&gt;&lt;D xsi:type="xsd:double"&gt;28.63946&lt;/D&gt;&lt;D xsi:type="xsd:double"&gt;60.738956&lt;/D&gt;&lt;D xsi:type="xsd:double"&gt;78.84852&lt;/D&gt;&lt;D xsi:type="xsd:double"&gt;81.3261&lt;/D&gt;&lt;D xsi:type="xsd:double"&gt;54.897465&lt;/D&gt;&lt;D xsi:type="xsd:double"&gt;51.862846&lt;/D&gt;&lt;D xsi:type="xsd:double"&gt;42.309498&lt;/D&gt;&lt;D xsi:type="xsd:double"&gt;36.762154&lt;/D&gt;&lt;D xsi:type="xsd:double"&gt;27.569199&lt;/D&gt;&lt;D xsi:type="xsd:double"&gt;32.33353&lt;/D&gt;&lt;D xsi:type="xsd:double"&gt;19.884003&lt;/D&gt;&lt;D xsi:type="xsd:double"&gt;16.171492&lt;/D&gt;&lt;D xsi:type="xsd:double"&gt;8.560932&lt;/D&gt;&lt;D xsi:type="xsd:double"&gt;-13.301462&lt;/D&gt;&lt;D xsi:type="xsd:double"&gt;-11.348539&lt;/D&gt;&lt;D xsi:type="xsd:double"&gt;-28.626823&lt;/D&gt;&lt;D xsi:type="xsd:double"&gt;-24.448513&lt;/D&gt;&lt;D xsi:type="xsd:double"&gt;-29.345364&lt;/D&gt;&lt;D xsi:type="xsd:double"&gt;-27.791231&lt;/D&gt;&lt;D xsi:type="xsd:double"&gt;-31.514894&lt;/D&gt;&lt;D xsi:type="xsd:double"&gt;-36.15728&lt;/D&gt;&lt;D xsi:type="xsd:double"&gt;-33.473545&lt;/D&gt;&lt;D xsi:type="xsd:double"&gt;-22.220505&lt;/D&gt;&lt;D xsi:type="xsd:double"&gt;-22.410435&lt;/D&gt;&lt;D xsi:type="xsd:double"&gt;-15.351695&lt;/D&gt;&lt;D xsi:type="xsd:double"&gt;-1.9621611&lt;/D&gt;&lt;D xsi:type="xsd:double"&gt;-6.363809&lt;/D&gt;&lt;D xsi:type="xsd:double"&gt;15.545786&lt;/D&gt;&lt;D xsi:type="xsd:double"&gt;3.5046816&lt;/D&gt;&lt;D xsi:type="xsd:double"&gt;11.684954&lt;/D&gt;&lt;D xsi:type="xsd:double"&gt;6.408167&lt;/D&gt;&lt;D xsi:type="xsd:double"&gt;10.318589&lt;/D&gt;&lt;D xsi:type="xsd:double"&gt;21.762276&lt;/D&gt;&lt;D xsi:type="xsd:double"&gt;7.661617&lt;/D&gt;&lt;D xsi:type="xsd:double"&gt;11.825943&lt;/D&gt;&lt;D xsi:type="xsd:double"&gt;12.082445&lt;/D&gt;&lt;D xsi:type="xsd:double"&gt;8.219683&lt;/D&gt;&lt;D xsi:type="xsd:double"&gt;19.631077&lt;/D&gt;&lt;D xsi:type="xsd:double"&gt;18.121635&lt;/D&gt;&lt;D xsi:type="xsd:double"&gt;13.19524&lt;/D&gt;&lt;/FQL&gt;&lt;FQL&gt;&lt;Q&gt;EWQ^FG_TOTAL_RETURNC(-10AY,0,AM)&lt;/Q&gt;&lt;R&gt;121&lt;/R&gt;&lt;C&gt;1&lt;/C&gt;&lt;D xsi:type="xsd:double"&gt;0.33590794&lt;/D&gt;&lt;D xsi:type="xsd:double"&gt;2.4104476&lt;/D&gt;&lt;D xsi:type="xsd:double"&gt;-4.481375&lt;/D&gt;&lt;D xsi:type="xsd:double"&gt;-6.079668&lt;/D&gt;&lt;D xsi:type="xsd:double"&gt;2.492559&lt;/D&gt;&lt;D xsi:type="xsd:double"&gt;-9.727764&lt;/D&gt;&lt;D xsi:type="xsd:double"&gt;1.1660576&lt;/D&gt;&lt;D xsi:type="xsd:double"&gt;2.146268&lt;/D&gt;&lt;D xsi:type="xsd:double"&gt;-6.374085&lt;/D&gt;&lt;D xsi:type="xsd:double"&gt;6.1215878&lt;/D&gt;&lt;D xsi:type="xsd:double"&gt;2.0150185&lt;/D&gt;&lt;D xsi:type="xsd:double"&gt;3.601861&lt;/D&gt;&lt;D xsi:type="xsd:double"&gt;2.953279&lt;/D&gt;&lt;D xsi:type="xsd:double"&gt;-3.3042908&lt;/D&gt;&lt;D xsi:type="xsd:double"&gt;-4.265332&lt;/D&gt;&lt;D xsi:type="xsd:double"&gt;8.256876&lt;/D&gt;&lt;D xsi:type="xsd:double"&gt;-8.843035&lt;/D&gt;&lt;D xsi:type="xsd:double"&gt;3.9207697&lt;/D&gt;&lt;D xsi:type="xsd:double"&gt;-0.9723842&lt;/D&gt;&lt;D xsi:type="xsd:double"&gt;-3.6527812&lt;/D&gt;&lt;D xsi:type="xsd:double"&gt;-7.0832014&lt;/D&gt;&lt;D xsi:type="xsd:double"&gt;-3.082335&lt;/D&gt;&lt;D xsi:type="xsd:double"&gt;6.9513917&lt;/D&gt;&lt;D xsi:type="xsd:double"&gt;0.8920908&lt;/D&gt;&lt;D xsi:type="xsd:double"&gt;1.8105268&lt;/D&gt;&lt;D xsi:type="xsd:double"&gt;2.233243&lt;/D&gt;&lt;D xsi:type="xsd:double"&gt;-7.2562637&lt;/D&gt;&lt;D xsi:type="xsd:double"&gt;6.6666603&lt;/D&gt;&lt;D xsi:type="xsd:double"&gt;1.3003349&lt;/D&gt;&lt;D xsi:type="xsd:double"&gt;-0.53830147&lt;/D&gt;&lt;D xsi:type="xsd:double"&gt;0.20815134&lt;/D&gt;&lt;D xsi:type="xsd:double"&gt;1.5371919&lt;/D&gt;&lt;D xsi:type="xsd:double"&gt;2.3715258&lt;/D&gt;&lt;D xsi:type="xsd:double"&gt;0&lt;/D&gt;&lt;D xsi:type="xsd:double"&gt;2.2061706&lt;/D&gt;&lt;D xsi:type="xsd:double"&gt;3.7284136&lt;/D&gt;&lt;D xsi:type="xsd:double"&gt;8.815742&lt;/D&gt;&lt;D xsi:type="xsd:double"&gt;2.1557689&lt;/D&gt;&lt;D xsi:type="xsd:double"&gt;-0.5909741&lt;/D&gt;&lt;D xsi:type="xsd:double"&gt;3.3437848&lt;/D&gt;&lt;D xsi:type="xsd:double"&gt;1.6515017&lt;/D&gt;&lt;D xsi:type="xsd:double"&gt;2.287805&lt;/D&gt;&lt;D xsi:type="xsd:double"&gt;-0.19448996&lt;/D&gt;&lt;D xsi:type="xsd:double"&gt;1.5589476&lt;/D&gt;&lt;D xsi:type="xsd:double"&gt;3.6399484&lt;/D&gt;&lt;D xsi:type="xsd:double"&gt;-5.013931&lt;/D&gt;&lt;D xsi:type="xsd:double"&gt;4.2033195&lt;/D&gt;&lt;D xsi:type="xsd:double"&gt;-0.15634298&lt;/D&gt;&lt;D xsi:type="xsd:double"&gt;1.7851591&lt;/D&gt;&lt;D xsi:type="xsd:double"&gt;-0.7692337&lt;/D&gt;&lt;D xsi:type="xsd:double"&gt;-0.7916331&lt;/D&gt;&lt;D xsi:type="xsd:double"&gt;-0.15953779&lt;/D&gt;&lt;D xsi:type="xsd:double"&gt;-4.0588083&lt;/D&gt;&lt;D xsi:type="xsd:double"&gt;0.46635866&lt;/D&gt;&lt;D xsi:type="xsd:double"&gt;-4.874003&lt;/D&gt;&lt;D xsi:type="xsd:double"&gt;-5.751133&lt;/D&gt;&lt;D xsi:type="xsd:double"&gt;1.6859055&lt;/D&gt;&lt;D xsi:type="xsd:double"&gt;1.4249206&lt;/D&gt;&lt;D xsi:type="xsd:double"&gt;4.5389056&lt;/D&gt;&lt;D xsi:type="xsd:double"&gt;3.5492778&lt;/D&gt;&lt;D xsi:type="xsd:double"&gt;-0.96505284&lt;/D&gt;&lt;D xsi:type="xsd:double"&gt;1.8481135&lt;/D&gt;&lt;D xsi:type="xsd:double"&gt;3.121972&lt;/D&gt;&lt;D xsi:type="xsd:double"&gt;-3.9672077&lt;/D&gt;&lt;D xsi:type="xsd:double"&gt;2.7654529&lt;/D&gt;&lt;D xsi:type="xsd:double"&gt;-2.093029&lt;/D&gt;&lt;D xsi:type="xsd:double"&gt;7.4991584&lt;/D&gt;&lt;D xsi:type="xsd:double"&gt;-0.69444776&lt;/D&gt;&lt;D xsi:type="xsd:double"&gt;4.0991664&lt;/D&gt;&lt;D xsi:type="xsd:double"&gt;-1.3769925&lt;/D&gt;&lt;D xsi:type="xsd:double"&gt;-19.671112&lt;/D&gt;&lt;D xsi:type="xsd:double"&gt;-5.793744&lt;/D&gt;&lt;D xsi:type="xsd:double"&gt;0&lt;/D&gt;&lt;D xsi:type="xsd:double"&gt;17.220175&lt;/D&gt;&lt;D xsi:type="xsd:double"&gt;-2.9376388&lt;/D&gt;&lt;D xsi:type="xsd:double"&gt;4.134929&lt;/D&gt;&lt;D xsi:type="xsd:double"&gt;2.5775075&lt;/D&gt;&lt;D xsi:type="xsd:double"&gt;-1.2224138&lt;/D&gt;&lt;D xsi:type="xsd:double"&gt;6.0845613&lt;/D&gt;&lt;D xsi:type="xsd:double"&gt;7.5826287&lt;/D&gt;&lt;D xsi:type="xsd:double"&gt;4.33923&lt;/D&gt;&lt;D xsi:type="xsd:double"&gt;-1.1314154&lt;/D&gt;&lt;D xsi:type="xsd:double"&gt;1.6138434&lt;/D&gt;&lt;D xsi:type="xsd:double"&gt;4.302621&lt;/D&gt;&lt;D xsi:type="xsd:double"&gt;5.952382&lt;/D&gt;&lt;D xsi:type="xsd:double"&gt;3.187883&lt;/D&gt;&lt;D xsi:type="xsd:double"&gt;-2.9286742&lt;/D&gt;&lt;D xsi:type="xsd:double"&gt;2.7697206&lt;/D&gt;&lt;D xsi:type="xsd:double"&gt;-0.410676&lt;/D&gt;&lt;D xsi:type="xsd:double"&gt;-3.273195&lt;/D&gt;&lt;D xsi:type="xsd:double"&gt;7.7538013&lt;/D&gt;&lt;D xsi:type="xsd:double"&gt;-3.808105&lt;/D&gt;&lt;D xsi:type="xsd:double"&gt;4.008007&lt;/D&gt;&lt;D xsi:type="xsd:double"&gt;-0.63500404&lt;/D&gt;&lt;D xsi:type="xsd:double"&gt;-13.6503105&lt;/D&gt;&lt;D xsi:type="xsd:double"&gt;1.1249304&lt;/D&gt;&lt;D xsi:type="xsd:double"&gt;-7.874709&lt;/D&gt;&lt;D xsi:type="xsd:double"&gt;5.174172&lt;/D&gt;&lt;D xsi:type="xsd:double"&gt;-8.1182&lt;/D&gt;&lt;D xsi:type="xsd:double"&gt;7.8537583&lt;/D&gt;&lt;D xsi:type="xsd:double"&gt;-5.0847473&lt;/D&gt;&lt;D xsi:type="xsd:double"&gt;-9.523809&lt;/D&gt;&lt;D xsi:type="xsd:double"&gt;12.134504&lt;/D&gt;&lt;D xsi:type="xsd:double"&gt;9.647978&lt;/D&gt;&lt;D xsi:type="xsd:double"&gt;4.8655868&lt;/D&gt;&lt;D xsi:type="xsd:double"&gt;4.352772&lt;/D&gt;&lt;D xsi:type="xsd:double"&gt;-0.89967847&lt;/D&gt;&lt;D xsi:type="xsd:double"&gt;5.0619006&lt;/D&gt;&lt;D xsi:type="xsd:double"&gt;2.1209836&lt;/D&gt;&lt;D xsi:type="xsd:double"&gt;-3.3479989&lt;/D&gt;&lt;D xsi:type="xsd:double"&gt;0.84079504&lt;/D&gt;&lt;D xsi:type="xsd:double"&gt;2.824092&lt;/D&gt;&lt;D xsi:type="xsd:double"&gt;-3.8713038&lt;/D&gt;&lt;D xsi:type="xsd:double"&gt;-4.1632595&lt;/D&gt;&lt;D xsi:type="xsd:double"&gt;1.0505319&lt;/D&gt;&lt;D xsi:type="xsd:double"&gt;7.642603&lt;/D&gt;&lt;D xsi:type="xsd:double"&gt;0.07328987&lt;/D&gt;&lt;D xsi:type="xsd:double"&gt;1.9952655&lt;/D&gt;&lt;D xsi:type="xsd:double"&gt;5.2767158&lt;/D&gt;&lt;D xsi:type="xsd:double"&gt;0.024449825&lt;/D&gt;&lt;D xsi:type="xsd:double"&gt;2.5910616&lt;/D&gt;&lt;/FQL&gt;&lt;FQL&gt;&lt;Q&gt;QQQ^FMA_DIV_YLD(NTMA,-10AY,0,AM,"PORTAGG","MEANR")&lt;/Q&gt;&lt;R&gt;121&lt;/R&gt;&lt;C&gt;1&lt;/C&gt;&lt;D xsi:type="xsd:double"&gt;1.37117478268192&lt;/D&gt;&lt;D xsi:type="xsd:double"&gt;1.29364613494156&lt;/D&gt;&lt;D xsi:type="xsd:double"&gt;1.25479973168227&lt;/D&gt;&lt;D xsi:type="xsd:double"&gt;1.26977386463768&lt;/D&gt;&lt;D xsi:type="xsd:double"&gt;1.21889522489611&lt;/D&gt;&lt;D xsi:type="xsd:double"&gt;1.26649546563206&lt;/D&gt;&lt;D xsi:type="xsd:double"&gt;1.22595244141113&lt;/D&gt;&lt;D xsi:type="xsd:double"&gt;1.20564428043092&lt;/D&gt;&lt;D xsi:type="xsd:double"&gt;1.21236066567382&lt;/D&gt;&lt;D xsi:type="xsd:double"&gt;1.26748659270427&lt;/D&gt;&lt;D xsi:type="xsd:double"&gt;1.24545795867287&lt;/D&gt;&lt;D xsi:type="xsd:double"&gt;1.25803025240049&lt;/D&gt;&lt;D xsi:type="xsd:double"&gt;1.24649478998341&lt;/D&gt;&lt;D xsi:type="xsd:double"&gt;1.2633134108418&lt;/D&gt;&lt;D xsi:type="xsd:double"&gt;1.28775062460172&lt;/D&gt;&lt;D xsi:type="xsd:double"&gt;1.28304718642628&lt;/D&gt;&lt;D xsi:type="xsd:double"&gt;1.37123901519813&lt;/D&gt;&lt;D xsi:type="xsd:double"&gt;1.3388914690956&lt;/D&gt;&lt;D xsi:type="xsd:double"&gt;1.27201079028544&lt;/D&gt;&lt;D xsi:type="xsd:double"&gt;1.2864469425063&lt;/D&gt;&lt;D xsi:type="xsd:double"&gt;1.35726598599402&lt;/D&gt;&lt;D xsi:type="xsd:double"&gt;1.49050316831068&lt;/D&gt;&lt;D xsi:type="xsd:double"&gt;1.38879197899387&lt;/D&gt;&lt;D xsi:type="xsd:double"&gt;1.33783201423562&lt;/D&gt;&lt;D xsi:type="xsd:double"&gt;1.39355826448847&lt;/D&gt;&lt;D xsi:type="xsd:double"&gt;1.34615523532139&lt;/D&gt;&lt;D xsi:type="xsd:double"&gt;1.33413857509111&lt;/D&gt;&lt;D xsi:type="xsd:double"&gt;1.27774833362925&lt;/D&gt;&lt;D xsi:type="xsd:double"&gt;1.31642251813892&lt;/D&gt;&lt;D xsi:type="xsd:double"&gt;1.26367492592005&lt;/D&gt;&lt;D xsi:type="xsd:double"&gt;1.28817099597804&lt;/D&gt;&lt;D xsi:type="xsd:double"&gt;1.28681401466482&lt;/D&gt;&lt;D xsi:type="xsd:double"&gt;1.2619906152774&lt;/D&gt;&lt;D xsi:type="xsd:double"&gt;1.24319304729798&lt;/D&gt;&lt;D xsi:type="xsd:double"&gt;1.21967004317461&lt;/D&gt;&lt;D xsi:type="xsd:double"&gt;1.21352753742002&lt;/D&gt;&lt;D xsi:type="xsd:double"&gt;1.17401788070561&lt;/D&gt;&lt;D xsi:type="xsd:double"&gt;1.17124959059601&lt;/D&gt;&lt;D xsi:type="xsd:double"&gt;1.21448990076791&lt;/D&gt;&lt;D xsi:type="xsd:double"&gt;1.17084751161823&lt;/D&gt;&lt;D xsi:type="xsd:double"&gt;1.17483955877134&lt;/D&gt;&lt;D xsi:type="xsd:double"&gt;1.14840768290391&lt;/D&gt;&lt;D xsi:type="xsd:double"&gt;1.11214552940585&lt;/D&gt;&lt;D xsi:type="xsd:double"&gt;1.11532720407803&lt;/D&gt;&lt;D xsi:type="xsd:double"&gt;1.05750479376894&lt;/D&gt;&lt;D xsi:type="xsd:double"&gt;1.12646340323705&lt;/D&gt;&lt;D xsi:type="xsd:double"&gt;1.03102296146111&lt;/D&gt;&lt;D xsi:type="xsd:double"&gt;1.14539041198831&lt;/D&gt;&lt;D xsi:type="xsd:double"&gt;1.09175585079143&lt;/D&gt;&lt;D xsi:type="xsd:double"&gt;1.05790094265532&lt;/D&gt;&lt;D xsi:type="xsd:double"&gt;1.04395074838115&lt;/D&gt;&lt;D xsi:type="xsd:double"&gt;1.07017403241694&lt;/D&gt;&lt;D xsi:type="xsd:double"&gt;1.08491242145593&lt;/D&gt;&lt;D xsi:type="xsd:double"&gt;1.10125864504966&lt;/D&gt;&lt;D xsi:type="xsd:double"&gt;1.16992239306012&lt;/D&gt;&lt;D xsi:type="xsd:double"&gt;1.26252473066627&lt;/D&gt;&lt;D xsi:type="xsd:double"&gt;1.26873633366197&lt;/D&gt;&lt;D xsi:type="xsd:double"&gt;1.22173269993305&lt;/D&gt;&lt;D xsi:type="xsd:double"&gt;1.19387034799096&lt;/D&gt;&lt;D xsi:type="xsd:double"&gt;1.11272801705126&lt;/D&gt;&lt;D xsi:type="xsd:double"&gt;1.1185421152815&lt;/D&gt;&lt;D xsi:type="xsd:double"&gt;1.1551033042647&lt;/D&gt;&lt;D xsi:type="xsd:double"&gt;1.09391450454772&lt;/D&gt;&lt;D xsi:type="xsd:double"&gt;1.12608320903163&lt;/D&gt;&lt;D xsi:type="xsd:double"&gt;1.09949155844985&lt;/D&gt;&lt;D xsi:type="xsd:double"&gt;1.12638115887877&lt;/D&gt;&lt;D xsi:type="xsd:double"&gt;1.06422596667809&lt;/D&gt;&lt;D xsi:type="xsd:double"&gt;1.07894321336523&lt;/D&gt;&lt;D xsi:type="xsd:double"&gt;1.01954006567421&lt;/D&gt;&lt;D xsi:type="xsd:double"&gt;0.981278053562208&lt;/D&gt;&lt;D xsi:type="xsd:double"&gt;1.16727700289111&lt;/D&gt;&lt;D xsi:type="xsd:double"&gt;1.12674411209563&lt;/D&gt;&lt;D xsi:type="xsd:double"&gt;0.988679037580016&lt;/D&gt;&lt;D xsi:type="xsd:double"&gt;0.91135236286864&lt;/D&gt;&lt;D xsi:type="xsd:double"&gt;0.846541602749028&lt;/D&gt;&lt;D xsi:type="xsd:double"&gt;0.819659204982688&lt;/D&gt;&lt;D xsi:type="xsd:double"&gt;0.80251</t>
        </r>
      </text>
    </comment>
    <comment ref="A5" authorId="0" shapeId="0" xr:uid="{23D95ADC-D2DA-4CD7-92D6-4830A1E7C74A}">
      <text>
        <r>
          <rPr>
            <b/>
            <sz val="9"/>
            <color indexed="81"/>
            <rFont val="Tahoma"/>
            <charset val="1"/>
          </rPr>
          <t>9306332143&lt;/D&gt;&lt;D xsi:type="xsd:double"&gt;0.783905568013503&lt;/D&gt;&lt;D xsi:type="xsd:double"&gt;0.783320345634333&lt;/D&gt;&lt;D xsi:type="xsd:double"&gt;0.752223171231478&lt;/D&gt;&lt;D xsi:type="xsd:double"&gt;0.751119558342645&lt;/D&gt;&lt;D xsi:type="xsd:double"&gt;0.727684088327478&lt;/D&gt;&lt;D xsi:type="xsd:double"&gt;0.783253471588039&lt;/D&gt;&lt;D xsi:type="xsd:double"&gt;0.72669912787613&lt;/D&gt;&lt;D xsi:type="xsd:double"&gt;0.739215717701388&lt;/D&gt;&lt;D xsi:type="xsd:double"&gt;0.738175473547266&lt;/D&gt;&lt;D xsi:type="xsd:double"&gt;0.692488935134041&lt;/D&gt;&lt;D xsi:type="xsd:double"&gt;0.699039679730203&lt;/D&gt;&lt;D xsi:type="xsd:double"&gt;0.682112723076801&lt;/D&gt;&lt;D xsi:type="xsd:double"&gt;0.718435716041637&lt;/D&gt;&lt;D xsi:type="xsd:double"&gt;0.663979828379174&lt;/D&gt;&lt;D xsi:type="xsd:double"&gt;0.672652421937975&lt;/D&gt;&lt;D xsi:type="xsd:double"&gt;0.701629123045008&lt;/D&gt;&lt;D xsi:type="xsd:double"&gt;0.73632446039104&lt;/D&gt;&lt;D xsi:type="xsd:double"&gt;0.817678685318623&lt;/D&gt;&lt;D xsi:type="xsd:double"&gt;0.787046747669947&lt;/D&gt;&lt;D xsi:type="xsd:double"&gt;0.929565500516842&lt;/D&gt;&lt;D xsi:type="xsd:double"&gt;0.930646414913116&lt;/D&gt;&lt;D xsi:type="xsd:double"&gt;0.949874646922333&lt;/D&gt;&lt;D xsi:type="xsd:double"&gt;0.88960980099861&lt;/D&gt;&lt;D xsi:type="xsd:double"&gt;0.926391445855467&lt;/D&gt;&lt;D xsi:type="xsd:double"&gt;1.06515371067817&lt;/D&gt;&lt;D xsi:type="xsd:double"&gt;1.09822784432281&lt;/D&gt;&lt;D xsi:type="xsd:double"&gt;1.02385475103314&lt;/D&gt;&lt;D xsi:type="xsd:double"&gt;1.02506981301398&lt;/D&gt;&lt;D xsi:type="xsd:double"&gt;0.930754926075882&lt;/D&gt;&lt;D xsi:type="xsd:double"&gt;0.966915867161074&lt;/D&gt;&lt;D xsi:type="xsd:double"&gt;0.891956678312045&lt;/D&gt;&lt;D xsi:type="xsd:double"&gt;0.868202931503775&lt;/D&gt;&lt;D xsi:type="xsd:double"&gt;0.795897267730727&lt;/D&gt;&lt;D xsi:type="xsd:double"&gt;0.770574181868245&lt;/D&gt;&lt;D xsi:type="xsd:double"&gt;0.893499881983283&lt;/D&gt;&lt;D xsi:type="xsd:double"&gt;0.887115398153198&lt;/D&gt;&lt;D xsi:type="xsd:double"&gt;0.926678565851773&lt;/D&gt;&lt;D xsi:type="xsd:double"&gt;0.924756159129216&lt;/D&gt;&lt;D xsi:type="xsd:double"&gt;0.886190252764902&lt;/D&gt;&lt;D xsi:type="xsd:double"&gt;0.923856761533915&lt;/D&gt;&lt;D xsi:type="xsd:double"&gt;0.880326793853971&lt;/D&gt;&lt;D xsi:type="xsd:double"&gt;0.886994140778458&lt;/D&gt;&lt;D xsi:type="xsd:double"&gt;0.88987697160886&lt;/D&gt;&lt;D xsi:type="xsd:double"&gt;0.916114774585186&lt;/D&gt;&lt;/FQL&gt;&lt;FQL&gt;&lt;Q&gt;EWL^FMA_PE(NTMA,-10AY,0,AM,"PORTAGG","MEANR")&lt;/Q&gt;&lt;R&gt;121&lt;/R&gt;&lt;C&gt;1&lt;/C&gt;&lt;D xsi:type="xsd:double"&gt;16.2365664480007&lt;/D&gt;&lt;D xsi:type="xsd:double"&gt;16.3031995917247&lt;/D&gt;&lt;D xsi:type="xsd:double"&gt;15.9772488003361&lt;/D&gt;&lt;D xsi:type="xsd:double"&gt;15.5774349256573&lt;/D&gt;&lt;D xsi:type="xsd:double"&gt;16.2237884761841&lt;/D&gt;&lt;D xsi:type="xsd:double"&gt;15.3543447907834&lt;/D&gt;&lt;D xsi:type="xsd:double"&gt;15.8756377707234&lt;/D&gt;&lt;D xsi:type="xsd:double"&gt;15.9043206969745&lt;/D&gt;&lt;D xsi:type="xsd:double"&gt;15.7565158369341&lt;/D&gt;&lt;D xsi:type="xsd:double"&gt;16.8580173241429&lt;/D&gt;&lt;D xsi:type="xsd:double"&gt;17.3930307415562&lt;/D&gt;&lt;D xsi:type="xsd:double"&gt;18.1928291521445&lt;/D&gt;&lt;D xsi:type="xsd:double"&gt;17.6011247078023&lt;/D&gt;&lt;D xsi:type="xsd:double"&gt;17.2142887699576&lt;/D&gt;&lt;D xsi:type="xsd:double"&gt;16.9866154201493&lt;/D&gt;&lt;D xsi:type="xsd:double"&gt;17.5281608691175&lt;/D&gt;&lt;D xsi:type="xsd:double"&gt;16.6132712100367&lt;/D&gt;&lt;D xsi:type="xsd:double"&gt;16.5148429239243&lt;/D&gt;&lt;D xsi:type="xsd:double"&gt;16.906138849277&lt;/D&gt;&lt;D xsi:type="xsd:double"&gt;16.5939210055074&lt;/D&gt;&lt;D xsi:type="xsd:double"&gt;15.8580968414456&lt;/D&gt;&lt;D xsi:type="xsd:double"&gt;15.5184051948464&lt;/D&gt;&lt;D xsi:type="xsd:double"&gt;16.544470312177&lt;/D&gt;&lt;D xsi:type="xsd:double"&gt;16.4853254928766&lt;/D&gt;&lt;D xsi:type="xsd:double"&gt;16.4360987853318&lt;/D&gt;&lt;D xsi:type="xsd:double"&gt;16.9702864881057&lt;/D&gt;&lt;D xsi:type="xsd:double"&gt;16.707304082633&lt;/D&gt;&lt;D xsi:type="xsd:double"&gt;17.4071229095168&lt;/D&gt;&lt;D xsi:type="xsd:double"&gt;17.3492168529548&lt;/D&gt;&lt;D xsi:type="xsd:double"&gt;16.9761775300175&lt;/D&gt;&lt;D xsi:type="xsd:double"&gt;16.5762239722631&lt;/D&gt;&lt;D xsi:type="xsd:double"&gt;16.6379478574713&lt;/D&gt;&lt;D xsi:type="xsd:double"&gt;17.166213958049&lt;/D&gt;&lt;D xsi:type="xsd:double"&gt;17.3503974081437&lt;/D&gt;&lt;D xsi:type="xsd:double"&gt;17.5523349547656&lt;/D&gt;&lt;D xsi:type="xsd:double"&gt;17.3271508312652&lt;/D&gt;&lt;D xsi:type="xsd:double"&gt;18.0786742299037&lt;/D&gt;&lt;D xsi:type="xsd:double"&gt;17.85127543502&lt;/D&gt;&lt;D xsi:type="xsd:double"&gt;17.6475807771361&lt;/D&gt;&lt;D xsi:type="xsd:double"&gt;17.6993127585044&lt;/D&gt;&lt;D xsi:type="xsd:double"&gt;17.5004270061688&lt;/D&gt;&lt;D xsi:type="xsd:double"&gt;17.8557538605341&lt;/D&gt;&lt;D xsi:type="xsd:double"&gt;17.6753256518257&lt;/D&gt;&lt;D xsi:type="xsd:double"&gt;17.5932464331134&lt;/D&gt;&lt;D xsi:type="xsd:double"&gt;18.0101959503067&lt;/D&gt;&lt;D xsi:type="xsd:double"&gt;16.2648856057421&lt;/D&gt;&lt;D xsi:type="xsd:double"&gt;16.4759389556176&lt;/D&gt;&lt;D xsi:type="xsd:double"&gt;15.9845420073171&lt;/D&gt;&lt;D xsi:type="xsd:double"&gt;16.281883835304&lt;/D&gt;&lt;D xsi:type="xsd:double"&gt;15.5381965507117&lt;/D&gt;&lt;D xsi:type="xsd:double"&gt;15.8707628714448&lt;/D&gt;&lt;D xsi:type="xsd:double"&gt;16.2538108523261&lt;/D&gt;&lt;D xsi:type="xsd:double"&gt;15.7674247915543&lt;/D&gt;&lt;D xsi:type="xsd:double"&gt;15.649637831245&lt;/D&gt;&lt;D xsi:type="xsd:double"&gt;15.7763992586422&lt;/D&gt;&lt;D xsi:type="xsd:double"&gt;15.1473652252849&lt;/D&gt;&lt;D xsi:type="xsd:double"&gt;15.0103756105949&lt;/D&gt;&lt;D xsi:type="xsd:double"&gt;15.5480675608053&lt;/D&gt;&lt;D xsi:type="xsd:double"&gt;16.1344931768982&lt;/D&gt;&lt;D xsi:type="xsd:double"&gt;16.8638376365272&lt;/D&gt;&lt;D xsi:type="xsd:double"&gt;16.3608748609628&lt;/D&gt;&lt;D xsi:type="xsd:double"&gt;16.9232712301261&lt;/D&gt;&lt;D xsi:type="xsd:double"&gt;17.1375290940998&lt;/D&gt;&lt;D xsi:type="xsd:double"&gt;16.8454919914567&lt;/D&gt;&lt;D xsi:type="xsd:double"&gt;17.2278578799498&lt;/D&gt;&lt;D xsi:type="xsd:double"&gt;16.7620272671101&lt;/D&gt;&lt;D xsi:type="xsd:double"&gt;17.4131128666556&lt;/D&gt;&lt;D xsi:type="xsd:double"&gt;17.511621053205&lt;/D&gt;&lt;D xsi:type="xsd:double"&gt;17.7773126025891&lt;/D&gt;&lt;D xsi:type="xsd:double"&gt;18.3208621242064&lt;/D&gt;&lt;D xsi:type="xsd:double"&gt;15.6924269384085&lt;/D&gt;&lt;D xsi:type="xsd:double"&gt;17.201386624659&lt;/D&gt;&lt;D xsi:type="xsd:double"&gt;18.4695814286525&lt;/D&gt;&lt;D xsi:type="xsd:double"&gt;19.5371308038355&lt;/D&gt;&lt;D xsi:type="xsd:double"&gt;19.4425926824949&lt;/D&gt;&lt;D xsi:type="xsd:double"&gt;19.3260551844294&lt;/D&gt;&lt;D xsi:type="xsd:double"&gt;19.5306502056468&lt;/D&gt;&lt;D xsi:type="xsd:double"&gt;19.1489146370552&lt;/D&gt;&lt;D xsi:type="xsd:double"&gt;18.9317444222921&lt;/D&gt;&lt;D xsi:type="xsd:double"&gt;18.5033812523761&lt;/D&gt;&lt;D xsi:type="xsd:double"&gt;19.0504584620459&lt;/D&gt;&lt;D xsi:type="xsd:double"&gt;18.8513388594433&lt;/D&gt;&lt;D xsi:type="xsd:double"&gt;18.528732608701&lt;/D&gt;&lt;D xsi:type="xsd:double"&gt;19.4318662139275&lt;/D&gt;&lt;D xsi:type="xsd:double"&gt;19.1378939209689&lt;/D&gt;&lt;D xsi:type="xsd:double"&gt;19.8787540492733&lt;/D&gt;&lt;D xsi:type="xsd:double"&gt;19.7674143893801&lt;/D&gt;&lt;D xsi:type="xsd:double"&gt;19.8606198626267&lt;/D&gt;&lt;D xsi:type="xsd:double"&gt;19.3700345938115&lt;/D&gt;&lt;D xsi:type="xsd:double"&gt;18.4288348270169&lt;/D&gt;&lt;D xsi:type="xsd:double"&gt;19.3324548683967&lt;/D&gt;&lt;D xsi:type="xsd:double"&gt;19.2894388045506&lt;/D&gt;&lt;D xsi:type="xsd:double"&gt;19.4721462389861&lt;/D&gt;&lt;D xsi:type="xsd:double"&gt;18.3777373081576&lt;/D&gt;&lt;D xsi:type="xsd:double"&gt;17.3299806809462&lt;/D&gt;&lt;D xsi:type="xsd:double"&gt;18.6778455814198&lt;/D&gt;&lt;D xsi:type="xsd:double"&gt;16.6423604182701&lt;/D&gt;&lt;D xsi:type="xsd:double"&gt;16.3504606696674&lt;/D&gt;&lt;D xsi:type="xsd:double"&gt;16.1552568439754&lt;/D&gt;&lt;D xsi:type="xsd:double"&gt;16.7784872256882&lt;/D&gt;&lt;D xsi:type="xsd:double"&gt;16.20173530647&lt;/D&gt;&lt;D xsi:type="xsd:double"&gt;14.949771835961&lt;/D&gt;&lt;D xsi:type="xsd:double"&gt;16.2567606320913&lt;/D&gt;&lt;D xsi:type="xsd:double"&gt;16.781087288449&lt;/D&gt;&lt;D xsi:type="xsd:double"&gt;17.0808447585456&lt;/D&gt;&lt;D xsi:type="xsd:double"&gt;17.2132105883466&lt;/D&gt;&lt;D xsi:type="xsd:double"&gt;16.7952202316538&lt;/D&gt;&lt;D xsi:type="xsd:double"&gt;17.3221795652853&lt;/D&gt;&lt;D xsi:type="xsd:double"&gt;17.6324659768934&lt;/D&gt;&lt;D xsi:type="xsd:double"&gt;16.4810585049268&lt;/D&gt;&lt;D xsi:type="xsd:double"&gt;16.0661089334063&lt;/D&gt;&lt;D xsi:type="xsd:double"&gt;16.565288880409&lt;/D&gt;&lt;D xsi:type="xsd:double"&gt;16.3509211007367&lt;/D&gt;&lt;D xsi:type="xsd:double"&gt;15.9374768330312&lt;/D&gt;&lt;D xsi:type="xsd:double"&gt;15.8571254309803&lt;/D&gt;&lt;D xsi:type="xsd:double"&gt;16.5446389967271&lt;/D&gt;&lt;D xsi:type="xsd:double"&gt;17.052953147403&lt;/D&gt;&lt;D xsi:type="xsd:double"&gt;17.0392345919556&lt;/D&gt;&lt;D xsi:type="xsd:double"&gt;17.7619617415685&lt;/D&gt;&lt;D xsi:type="xsd:double"&gt;17.2855256446711&lt;/D&gt;&lt;D xsi:type="xsd:double"&gt;16.74284061865&lt;/D&gt;&lt;/FQL&gt;&lt;FQL&gt;&lt;Q&gt;EWG^FMA_PE(LTMA,-10AY,0,AM,"PORTAGG","MEANR")&lt;/Q&gt;&lt;R&gt;121&lt;/R&gt;&lt;C&gt;1&lt;/C&gt;&lt;D xsi:type="xsd:double"&gt;14.5998367957307&lt;/D&gt;&lt;D xsi:type="xsd:double"&gt;14.730187822553&lt;/D&gt;&lt;D xsi:type="xsd:double"&gt;14.5085497177005&lt;/D&gt;&lt;D xsi:type="xsd:double"&gt;13.8603220621995&lt;/D&gt;&lt;D xsi:type="xsd:double"&gt;14.3402558399493&lt;/D&gt;&lt;D xsi:type="xsd:double"&gt;13.5087330659896&lt;/D&gt;&lt;D xsi:type="xsd:double"&gt;13.7081942695499&lt;/D&gt;&lt;D xsi:type="xsd:double"&gt;14.3244308316007&lt;/D&gt;&lt;D xsi:type="xsd:double"&gt;14.0789368329184&lt;/D&gt;&lt;D xsi:type="xsd:double"&gt;15.3996110849524&lt;/D&gt;&lt;D xsi:type="xsd:double"&gt;16.4843134318001&lt;/D&gt;&lt;D xsi:type="xsd:double"&gt;16.5683014702853&lt;/D&gt;&lt;D xsi:type="xsd:double"&gt;16.2211010336008&lt;/D&gt;&lt;D xsi:type="xsd:double"&gt;15.605174114251&lt;/D&gt;&lt;D xsi:type="xsd:double"&gt;15.3571960093434&lt;/D&gt;&lt;D xsi:type="xsd:double"&gt;15.4684899623573&lt;/D&gt;&lt;D xsi:type="xsd:double"&gt;14.3702678527323&lt;/D&gt;&lt;D xsi:type="xsd:double"&gt;13.9774515135673&lt;/D&gt;&lt;D xsi:type="xsd:double"&gt;14.4250721598403&lt;/D&gt;&lt;D xsi:type="xsd:double"&gt;14.0350823480242&lt;/D&gt;&lt;D xsi:type="xsd:double"&gt;12.8407409301555&lt;/D&gt;&lt;D xsi:type="xsd:double"&gt;11.7873389197622&lt;/D&gt;&lt;D xsi:type="xsd:double"&gt;12.6886911791184&lt;/D&gt;&lt;D xsi:type="xsd:double"&gt;12.6768696427742&lt;/D&gt;&lt;D xsi:type="xsd:double"&gt;12.8050372849816&lt;/D&gt;&lt;D xsi:type="xsd:double"&gt;12.8630141141455&lt;/D&gt;&lt;D xsi:type="xsd:double"&gt;12.6206342876968&lt;/D&gt;&lt;D xsi:type="xsd:double"&gt;13.4102122822597&lt;/D&gt;&lt;D xsi:type="xsd:double"&gt;13.5332344123155&lt;/D&gt;&lt;D xsi:type="xsd:double"&gt;13.5687405145069&lt;/D&gt;&lt;D xsi:type="xsd:double"&gt;13.659809076753&lt;/D&gt;&lt;D xsi:type="xsd:double"&gt;14.3636267024595&lt;/D&gt;&lt;D xsi:type="xsd:double"&gt;14.8708788198076&lt;/D&gt;&lt;D xsi:type="xsd:double"&gt;14.8865587693231&lt;/D&gt;&lt;D xsi:type="xsd:double"&gt;14.9755596214636&lt;/D&gt;&lt;D xsi:type="xsd:double"&gt;14.9332899692868&lt;/D&gt;&lt;D xsi:type="xsd:double"&gt;14.9435580622143&lt;/D&gt;&lt;D xsi:type="xsd:double"&gt;14.8163297120057&lt;/D&gt;&lt;D xsi:type="xsd:double"&gt;14.515501274072&lt;/D&gt;&lt;D xsi:type="xsd:double"&gt;14.2518657573153&lt;/D&gt;&lt;D xsi:type="xsd:double"&gt;14.2073531703741&lt;/D&gt;&lt;D xsi:type="xsd:double"&gt;14.7435035637902&lt;/D&gt;&lt;D xsi:type="xsd:double"&gt;15.3067620162917&lt;/D&gt;&lt;D xsi:type="xsd:double"&gt;15.4888879527074&lt;/D&gt;&lt;D xsi:type="xsd:double"&gt;15.760268657627&lt;/D&gt;&lt;D xsi:type="xsd:double"&gt;14.0776883634533&lt;/D&gt;&lt;D xsi:type="xsd:double"&gt;14.229153280713&lt;/D&gt;&lt;D xsi:type="xsd:double"&gt;14.1047861797629&lt;/D&gt;&lt;D xsi:type="xsd:double"&gt;14.2330505752977&lt;/D&gt;&lt;D xsi:type="xsd:double"&gt;14.1196296975432&lt;/D&gt;&lt;D xsi:type="xsd:double"&gt;14.0274630095636&lt;/D&gt;&lt;D xsi:type="xsd:double"&gt;14.1422994430259&lt;/D&gt;&lt;D xsi:type="xsd:double"&gt;13.7316716483335&lt;/D&gt;&lt;D xsi:type="xsd:double"&gt;13.6477928595572&lt;/D&gt;&lt;D xsi:type="xsd:double"&gt;13.1517536795005&lt;/D&gt;&lt;D xsi:type="xsd:double"&gt;12.4367199439864&lt;/D&gt;&lt;D xsi:type="xsd:double"&gt;12.4671625465794&lt;/D&gt;&lt;D xsi:type="xsd:double"&gt;12.6318446564247&lt;/D&gt;&lt;D xsi:type="xsd:double"&gt;13.1967730997372&lt;/D&gt;&lt;D xsi:type="xsd:double"&gt;13.2335006277593&lt;/D&gt;&lt;D xsi:type="xsd:double"&gt;13.2537677094008&lt;/D&gt;&lt;D xsi:type="xsd:double"&gt;13.1858915982093&lt;/D&gt;&lt;D xsi:type="xsd:double"&gt;13.538807005148&lt;/D&gt;&lt;D xsi:type="xsd:double"&gt;13.3144695032251&lt;/D&gt;&lt;D xsi:type="xsd:double"&gt;13.9044834929621&lt;/D&gt;&lt;D xsi:type="xsd:double"&gt;13.8857545937715&lt;/D&gt;&lt;D xsi:type="xsd:double"&gt;15.1694182595225&lt;/D&gt;&lt;D xsi:type="xsd:double"&gt;15.1742560498115&lt;/D&gt;&lt;D xsi:type="xsd:double"&gt;15.7334230985571&lt;/D&gt;&lt;D xsi:type="xsd:double"&gt;15.5271001561719&lt;/D&gt;&lt;D xsi:type="xsd:double"&gt;13.7639988065761&lt;/D&gt;&lt;D xsi:type="xsd:double"&gt;14.2755371533434&lt;/D&gt;&lt;D xsi:type="xsd:double"&gt;15.2582534684707&lt;/D&gt;&lt;D xsi:type="xsd:double"&gt;17.179715788103&lt;/D&gt;&lt;D xsi:type="xsd:double"&gt;18.287098919729&lt;/D&gt;&lt;D xsi:type="xsd:double"&gt;19.0254185128837&lt;/D&gt;&lt;D xsi:type="xsd:double"&gt;20.4762850293935&lt;/D&gt;&lt;D xsi:type="xsd:double"&gt;20.6697172467235&lt;/D&gt;&lt;D xsi:type="xsd:double"&gt;20.3101526683953&lt;/D&gt;&lt;D xsi:type="xsd:double"&gt;21.0025081324532&lt;/D&gt;&lt;D xsi:type="xsd:double"&gt;22.3778803004818&lt;/D&gt;&lt;D xsi:type="xsd:double"&gt;21.3418020054474&lt;/D&gt;&lt;D xsi:type="xsd:double"&gt;20.2348195539787&lt;/D&gt;&lt;D xsi:type="xsd:double"&gt;19.9978889789909&lt;/D&gt;&lt;D xsi:type="xsd:double"&gt;19.2451007080496&lt;/D&gt;&lt;D xsi:type="xsd:double"&gt;18.7321817578617&lt;/D&gt;&lt;D xsi:type="xsd:double"&gt;18.1967916886044&lt;/D&gt;&lt;D xsi:type="xsd:double"&gt;17.3698652271736&lt;/D&gt;&lt;D xsi:type="xsd:double"&gt;16.6402322127442&lt;/D&gt;&lt;D xsi:type="xsd:double"&gt;15.8636020501288&lt;/D&gt;&lt;D xsi:type="xsd:double"&gt;15.4895026249186&lt;/D&gt;&lt;D xsi:type="xsd:double"&gt;14.3506278331225&lt;/D&gt;&lt;D xsi:type="xsd:double"&gt;14.1649556822985&lt;/D&gt;&lt;D xsi:type="xsd:double"&gt;13.6225412549833&lt;/D&gt;&lt;D xsi:type="xsd:double"&gt;12.4074766376061&lt;/D&gt;&lt;D xsi:type="xsd:double"&gt;12.3990685325358&lt;/D&gt;&lt;D xsi:type="xsd:double"&gt;11.9311947447631&lt;/D&gt;&lt;D xsi:type="xsd:double"&gt;12.0260123550225&lt;/D&gt;&lt;D xsi:type="xsd:double"&gt;11.4581765417236&lt;/D&gt;&lt;D xsi:type="xsd:double"&gt;11.232863018207&lt;/D&gt;&lt;D xsi:type="xsd:double"&gt;10.8861633542092&lt;/D&gt;&lt;D xsi:type="xsd:double"&gt;10.1097038368952&lt;/D&gt;&lt;D xsi:type="xsd:double"&gt;10.6188260276225&lt;/D&gt;&lt;D xsi:type="xsd:double"&gt;10.8304330094286&lt;/D&gt;&lt;D xsi:type="xsd:double"&gt;11.1439045057784&lt;/D&gt;&lt;D xsi:type="xsd:double"&gt;11.7477236355588&lt;/D&gt;&lt;D xsi:type="xsd:double"&gt;11.3804773611946&lt;/D&gt;&lt;D xsi:type="xsd:double"&gt;11.3692985645576&lt;/D&gt;&lt;D xsi:type="xsd:double"&gt;11.3706663646181&lt;/D&gt;&lt;D xsi:type="xsd:double"&gt;11.232146150223&lt;/D&gt;&lt;D xsi:type="xsd:double"&gt;11.0969262416903&lt;/D&gt;&lt;D xsi:type="xsd:double"&gt;11.229243260512&lt;/D&gt;&lt;D xsi:type="xsd:double"&gt;11.1951347308791&lt;/D&gt;&lt;D xsi:type="xsd:double"&gt;10.9025985377035&lt;/D&gt;&lt;D xsi:type="xsd:double"&gt;11.0517788372437&lt;/D&gt;&lt;D xsi:type="xsd:double"&gt;11.9231253787269&lt;/D&gt;&lt;D xsi:type="xsd:double"&gt;11.8894983465607&lt;/D&gt;&lt;D xsi:type="xsd:double"&gt;12.0271248436458&lt;/D&gt;&lt;D xsi:type="xsd:double"&gt;12.5261681099433&lt;/D&gt;&lt;D xsi:type="xsd:double"&gt;12.5475827492132&lt;/D&gt;&lt;D xsi:type="xsd:double"&gt;12.5436372859893&lt;/D&gt;&lt;/FQL&gt;&lt;FQL&gt;&lt;Q&gt;WL-FDS^FG_PRICE_CHANGE(0,-6AM)&lt;/Q&gt;&lt;R&gt;1&lt;/R&gt;&lt;C&gt;1&lt;/C&gt;&lt;D xsi:type="xsd:double"&gt;-23.9228125826064&lt;/D&gt;&lt;/FQL&gt;&lt;FQL&gt;&lt;Q&gt;NI-FDS^FG_PRICE_CHANGE(0,-6AM)&lt;/Q&gt;&lt;R&gt;1&lt;/R&gt;&lt;C&gt;1&lt;/C&gt;&lt;D xsi:type="xsd:double"&gt;5.52407932011332&lt;/D&gt;&lt;/FQL&gt;&lt;FQL&gt;&lt;Q&gt;CPALM-FDS^FG_PRICE_CHANGE(0,-6AM)&lt;/Q&gt;&lt;R&gt;1&lt;/R&gt;&lt;C&gt;1&lt;/C&gt;&lt;D xsi:type="xsd:double"&gt;8.37016574585636&lt;/D&gt;&lt;/FQL&gt;&lt;FQL&gt;&lt;Q&gt;BRENT-FDS^FG_PRICE_CHANGE(0,-6AM)&lt;/Q&gt;&lt;R&gt;1&lt;/R&gt;&lt;C&gt;1&lt;/C&gt;&lt;D xsi:type="xsd:double"&gt;2.2386282448202&lt;/D&gt;&lt;/FQL&gt;&lt;FQL&gt;&lt;Q&gt;TIOS-FDS^FG_PRICE_CHANGE(0,-6AM)&lt;/Q&gt;&lt;R&gt;1&lt;/R&gt;&lt;C&gt;1&lt;/C&gt;&lt;D xsi:type="xsd:double"&gt;-8.47071753807505&lt;/D&gt;&lt;/FQL&gt;&lt;FQL&gt;&lt;Q&gt;EWD^FG_PRICE(0)&lt;/Q&gt;&lt;R&gt;1&lt;/R&gt;&lt;C&gt;1&lt;/C&gt;&lt;D xsi:type="xsd:double"&gt;40.42&lt;/D&gt;&lt;/FQL&gt;&lt;FQL&gt;&lt;Q&gt;QQQ^FG_PRICE(0)&lt;/Q&gt;&lt;R&gt;1&lt;/R&gt;&lt;C&gt;1&lt;/C&gt;&lt;D xsi:type="xsd:double"&gt;441.02&lt;/D&gt;&lt;/FQL&gt;&lt;FQL&gt;&lt;Q&gt;EWG^FG_PRICE(0)&lt;/Q&gt;&lt;R&gt;1&lt;/R&gt;&lt;C&gt;1&lt;/C&gt;&lt;D xsi:type="xsd:double"&gt;32.06&lt;/D&gt;&lt;/FQL&gt;&lt;FQL&gt;&lt;Q&gt;EWQ^FG_COMPANY_NAME&lt;/Q&gt;&lt;R&gt;1&lt;/R&gt;&lt;C&gt;1&lt;/C&gt;&lt;D xsi:type="xsd:string"&gt;iShares MSCI France ETF&lt;/D&gt;&lt;/FQL&gt;&lt;FQL&gt;&lt;Q&gt;FXI^FG_TOTAL_RETURNC(0,-1AM)&lt;/Q&gt;&lt;R&gt;1&lt;/R&gt;&lt;C&gt;1&lt;/C&gt;&lt;D xsi:type="xsd:double"&gt;11.4274025&lt;/D&gt;&lt;/FQL&gt;&lt;FQL&gt;&lt;Q&gt;EWJ^FG_TOTAL_RETURNC(0,-6AM)&lt;/Q&gt;&lt;R&gt;1&lt;/R&gt;&lt;C&gt;1&lt;/C&gt;&lt;D xsi:type="xsd:double"&gt;15.717566&lt;/D&gt;&lt;/FQL&gt;&lt;FQL&gt;&lt;Q&gt;VWO^P_PRICE(0)/P_PRICE_LOW_PR(0,,,,,,"PRICE","INTRA","52W")-1&lt;/Q&gt;&lt;R&gt;1&lt;/R&gt;&lt;C&gt;1&lt;/C&gt;&lt;D xsi:type="xsd:double"&gt;0.15792274&lt;/D&gt;&lt;/FQL&gt;&lt;FQL&gt;&lt;Q&gt;VGK^FMA_PCT_ABOVE_MAVG(200,0,,,,"PORTAGG")&lt;/Q&gt;&lt;R&gt;1&lt;/R&gt;&lt;C&gt;1&lt;/C&gt;&lt;D xsi:type="xsd:double"&gt;69.2368839427663&lt;/D&gt;&lt;/FQL&gt;&lt;FQL&gt;&lt;Q&gt;EWD^PERCENT_CHANGE(FMA_EPS(+1,0,,,,"PORTAGG","MEAN"),FMA_EPS(+1,-3AM,,,,"PORTAGG","MEAN"))&lt;/Q&gt;&lt;R&gt;1&lt;/R&gt;&lt;C&gt;1&lt;/C&gt;&lt;D xsi:type="xsd:double"&gt;2.37100137120988&lt;/D&gt;&lt;/FQL&gt;&lt;FQL&gt;&lt;Q&gt;EWQ^FG_TOTAL_RETURNC(0,-3AM)&lt;/Q&gt;&lt;R&gt;1&lt;/R&gt;&lt;C&gt;1&lt;/C&gt;&lt;D xsi:type="xsd:double"&gt;8.030891&lt;/D&gt;&lt;/FQL&gt;&lt;FQL&gt;&lt;Q&gt;QQQ^P_PRICE(0)/P_PRICE_HIGH_PR(0,,,,,,"PRICE","INTRA","52W")&lt;/Q&gt;&lt;R&gt;1&lt;/R&gt;&lt;C&gt;1&lt;/C&gt;&lt;D xsi:type="xsd:double"&gt;0.98148394&lt;/D&gt;&lt;/FQL&gt;&lt;FQL&gt;&lt;Q&gt;QQQ^FMA_ROE(NTMA,-20AY,NOW,FY,"PORTAGG","MEANR")&lt;/Q&gt;&lt;R&gt;20&lt;/R&gt;&lt;C&gt;1&lt;/C&gt;&lt;D xsi:type="xsd:double"&gt;14.817843581598&lt;/D&gt;&lt;D xsi:type="xsd:double"&gt;15.4866947775921&lt;/D&gt;&lt;D xsi:type="xsd:double"&gt;16.8339704998129&lt;/D&gt;&lt;D xsi:type="xsd:double"&gt;17.9560593685279&lt;/D&gt;&lt;D xsi:type="xsd:double"&gt;16.5654843697708&lt;/D&gt;&lt;D xsi:type="xsd:double"&gt;17.5965741262714&lt;/D&gt;&lt;D xsi:type="xsd:double"&gt;20.0003742371644&lt;/D&gt;&lt;D xsi:type="xsd:double"&gt;20.9591568938239&lt;/D&gt;&lt;D xsi:type="xsd:double"&gt;20.7921963775154&lt;/D&gt;&lt;D xsi:type="xsd:double"&gt;20.047298915306&lt;/D&gt;&lt;D xsi:type="xsd:double"&gt;22.0568276514703&lt;/D&gt;&lt;D xsi:type="xsd:double"&gt;21.8504635786249&lt;/D&gt;&lt;D xsi:type="xsd:double"&gt;21.1146076459691&lt;/D&gt;&lt;D xsi:type="xsd:double"&gt;22.0784263508941&lt;/D&gt;&lt;D xsi:type="xsd:double"&gt;26.4902293367872&lt;/D&gt;&lt;D xsi:type="xsd:double"&gt;25.011729152832&lt;/D&gt;&lt;D xsi:type="xsd:double"&gt;24.534442850509&lt;/D&gt;&lt;D xsi:type="xsd:double"&gt;26.6372021642568&lt;/D&gt;&lt;D xsi:type="xsd:double"&gt;24.0483215722889&lt;/D&gt;&lt;D xsi:type="xsd:double"&gt;25.3199155964462&lt;/D&gt;&lt;/FQL&gt;&lt;FQL&gt;&lt;Q&gt;TRYMY10Y-FDS^FG_YIELD(-10AY,0,Y,,"YTM")&lt;/Q&gt;&lt;R&gt;10&lt;/R&gt;&lt;C&gt;1&lt;/C&gt;&lt;D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xsi:type="xsd:double"&gt;3.955&lt;/D&gt;&lt;/FQL&gt;&lt;FQL&gt;&lt;Q&gt;USDSEK^STD(FG_PRICE_CHANGE(0,-3AY,M))&lt;/Q&gt;&lt;R&gt;1&lt;/R&gt;&lt;C&gt;1&lt;/C&gt;&lt;D xsi:type="xsd:double"&gt;2.91505747000306&lt;/D&gt;&lt;/FQL&gt;&lt;FQL&gt;&lt;Q&gt;USDCHF^STD(FG_PRICE_CHANGE(0,-3AY,M))&lt;/Q&gt;&lt;R&gt;1&lt;/R&gt;&lt;C&gt;1&lt;/C&gt;&lt;D xsi:type="xsd:double"&gt;2.45552879219006&lt;/D&gt;&lt;/FQL&gt;&lt;FQL&gt;&lt;Q&gt;USDUSD^STD(FG_PRICE_CHANGE(0,-3AY,M))&lt;/Q&gt;&lt;R&gt;1&lt;/R&gt;&lt;C&gt;1&lt;/C&gt;&lt;D xsi:type="xsd:double"&gt;0&lt;/D&gt;&lt;/FQL&gt;&lt;FQL&gt;&lt;Q&gt;USDEUR^STD(FG_PRICE_CHANGE(0,-3AY,M))&lt;/Q&gt;&lt;R&gt;1&lt;/R&gt;&lt;C&gt;1&lt;/C&gt;&lt;D xsi:type="xsd:double"&gt;2.17952888526641&lt;/D&gt;&lt;/FQL&gt;&lt;FQL&gt;&lt;Q&gt;USDAUD^STD(FG_PRICE_CHANGE(0,-3AY,M))&lt;/Q&gt;&lt;R&gt;1&lt;/R&gt;&lt;C&gt;1&lt;/C&gt;&lt;D xsi:type="xsd:double"&gt;3.05578812282471&lt;/D&gt;&lt;/FQL&gt;&lt;FQL&gt;&lt;Q&gt;EWC^FMA_PE(LTMA,-10AY,0,AM,"PORTAGG","MEANR")&lt;/Q&gt;&lt;R&gt;121&lt;/R&gt;&lt;C&gt;1&lt;/C&gt;&lt;D xsi:type="xsd:double"&gt;16.2422588582579&lt;/D&gt;&lt;D xsi:type="xsd:double"&gt;16.2022356874999&lt;/D&gt;&lt;D xsi:type="xsd:double"&gt;16.3245600950186&lt;/D&gt;&lt;D xsi:type="xsd:double"&gt;16.2342543757366&lt;/D&gt;&lt;D xsi:type="xsd:double"&gt;16.4334907384751&lt;/D&gt;&lt;D xsi:type="xsd:double"&gt;15.5527979671744&lt;/D&gt;&lt;D xsi:type="xsd:double"&gt;15.6780769913796&lt;/D&gt;&lt;D xsi:type="xsd:double"&gt;15.2870222957568&lt;/D&gt;&lt;D xsi:type="xsd:double"&gt;15.3376035407089&lt;/D&gt;&lt;D xsi:type="xsd:double"&gt;16.3432314204729&lt;/D&gt;&lt;D xsi:type="xsd:double"&gt;16.9904039474101&lt;/D&gt;&lt;D xsi:type="xsd:double"&gt;17.2292468037511&lt;/D&gt;&lt;D xsi:type="xsd:double"&gt;17.3372816239292&lt;/D&gt;&lt;D xsi:type="xsd:double"&gt;17.1553558279422&lt;/D&gt;&lt;D xsi:type="xsd:double"&gt;16.8656417783604&lt;/D&gt;&lt;D xsi:type="xsd:double"&gt;16.9460070022645&lt;/D&gt;&lt;D xsi:type="xsd:double"&gt;16.4315796315224&lt;/D&gt;&lt;D xsi:type="xsd:double"&gt;17.0482870791567&lt;/D&gt;&lt;D xsi:type="xsd:double"&gt;16.7696567313389&lt;/D&gt;&lt;D xsi:type="xsd:double"&gt;16.0694684729075&lt;/D&gt;&lt;D xsi:type="xsd:double"&gt;15.0505927050366&lt;/D&gt;&lt;D xsi:type="xsd:double"&gt;14.8066196252382&lt;/D&gt;&lt;D xsi:type="xsd:double"&gt;15.855389811254&lt;/D&gt;&lt;D xsi:type="xsd:double"&gt;16.0124165674239&lt;/D&gt;&lt;D xsi:type="xsd:double"&gt;16.2832653325835&lt;/D&gt;&lt;D xsi:type="xsd:double"&gt;16.8421757301903&lt;/D&gt;&lt;D xsi:type="xsd:double"&gt;16.9398702942232&lt;/D&gt;&lt;D xsi:type="xsd:double"&gt;17.4669756487604&lt;/D&gt;&lt;D xsi:type="xsd:double"&gt;17.5260598080156&lt;/D&gt;&lt;D xsi:type="xsd:double"&gt;17.8311226497604&lt;/D&gt;&lt;D xsi:type="xsd:double"&gt;18.383753939306&lt;/D&gt;&lt;D xsi:type="xsd:double"&gt;19.1512962673975&lt;/D&gt;&lt;D xsi:type="xsd:double"&gt;19.4228760131284&lt;/D&gt;&lt;D xsi:type="xsd:double"&gt;19.6785845771227&lt;/D&gt;&lt;D xsi:type="xsd:double"&gt;19.3290326978659&lt;/D&gt;&lt;D xsi:type="xsd:double"&gt;19.0739248082819&lt;/D&gt;&lt;D xsi:type="xsd:double"&gt;18.6892084139126&lt;/D&gt;&lt;D xsi:type="xsd:double"&gt;18.3731674506928&lt;/D&gt;&lt;D xsi:type="xsd:double"&gt;17.9432470477489&lt;/D&gt;&lt;D xsi:type="xsd:double"&gt;17.922884910831&lt;/D&gt;&lt;D xsi:type="xsd:double"&gt;17.3049876506492&lt;/D&gt;&lt;D xsi:type="xsd:double"&gt;17.6219783411521&lt;/D&gt;&lt;D xsi:type="xsd:double"&gt;17.5018603271154&lt;/D&gt;&lt;D xsi:type="xsd:double"&gt;17.3250294085497&lt;/D&gt;&lt;D xsi:type="xsd:double"&gt;17.3134180866042&lt;/D&gt;&lt;D xsi:type="xsd:double"&gt;15.7055638038075&lt;/D&gt;&lt;D xsi:type="xsd:double"&gt;15.8189162920825&lt;/D&gt;&lt;D xsi:type="xsd:double"&gt;15.6057021177976&lt;/D&gt;&lt;D xsi:type="xsd:double"&gt;15.6256122548706&lt;/D&gt;&lt;D xsi:type="xsd:double"&gt;15.5753314974297&lt;/D&gt;&lt;D xsi:type="xsd:double"&gt;15.5273231356813&lt;/D&gt;&lt;D xsi:type="xsd:double"&gt;15.4630858664693&lt;/D&gt;&lt;D xsi:type="xsd:double"&gt;15.0922527522245&lt;/D&gt;&lt;D xsi:type="xsd:double"&gt;14.8785980187732&lt;/D&gt;&lt;D xsi:type="xsd:double"&gt;14.1939020728361&lt;/D&gt;&lt;D xsi:type="xsd:double"&gt;13.6834823827088&lt;/D&gt;&lt;D xsi:type="xsd:double"&gt;13.6174216582578&lt;/D&gt;&lt;D xsi:type="xsd:double"&gt;14.6401791659123&lt;/D&gt;&lt;D xsi:type="xsd:double"&gt;14.7133223918647&lt;/D&gt;&lt;D xsi:type="xsd:double"&gt;14.7439654169516&lt;/D&gt;&lt;D xsi:type="xsd:double"&gt;14.5240521487865&lt;/D&gt;&lt;D xsi:type="xsd:double"&gt;14.4416581758976&lt;/D&gt;&lt;D xsi:type="xsd:double"&gt;14.5282126827215&lt;/D&gt;&lt;D xsi:type="xsd:double"&gt;14.3899521995027&lt;/D&gt;&lt;D xsi:type="xsd:double"&gt;14.5025721003451&lt;/D&gt;&lt;D xsi:type="xsd:double"&gt;14.4775301773033&lt;/D&gt;&lt;D xsi:type="xsd:double"&gt;15.0417764068709&lt;/D&gt;&lt;D xsi:type="xsd:double"&gt;15.0715827042779&lt;/D&gt;&lt;D xsi:type="xsd:double"&gt;15.4027589463458&lt;/D&gt;&lt;D xsi:type="xsd:double"&gt;15.6793140455&lt;/D&gt;&lt;D xsi:type="xsd:double"&gt;14.1002432951762&lt;/D&gt;&lt;D xsi:type="xsd:double"&gt;14.7024224119322&lt;/D&gt;&lt;D xsi:type="xsd:double"&gt;16.1377913305158&lt;/D&gt;&lt;D xsi:type="xsd:double"&gt;17.3941283296962&lt;/D&gt;&lt;D xsi:type="xsd:double"&gt;17.460347127068&lt;/D&gt;&lt;D xsi:type="xsd:double"&gt;18.1670009599637&lt;/D&gt;&lt;D xsi:type="xsd:double"&gt;18.3069093817654&lt;/D&gt;&lt;D xsi:type="xsd:double"&gt;18.8406299275922&lt;/D&gt;&lt;D xsi:type="xsd:double"&gt;18.8571074546606&lt;/D&gt;&lt;D xsi:type="xsd:double"&gt;20.1996332269271&lt;/D&gt;&lt;D xsi:type="xsd:double"&gt;21.3647671717998&lt;/D&gt;&lt;D xsi:type="xsd:double"&gt;21.3773297794067&lt;/D&gt;&lt;D xsi:type="xsd:double"&gt;19.8968843805444&lt;/D&gt;&lt;D xsi:type="xsd:double"&gt;19.5288423412236&lt;/D&gt;&lt;D xsi:type="xsd:double"&gt;19.1914994263918&lt;/D&gt;&lt;D xsi:type="xsd:double"&gt;18.66469205649&lt;/D&gt;&lt;D xsi:type="xsd:double"&gt;18.3030045215367&lt;/D&gt;&lt;D xsi:type="xsd:double"&gt;17.6329714057395&lt;/D&gt;&lt;D xsi:type="xsd:double"&gt;17.0742365397781&lt;/D&gt;&lt;D xsi:type="xsd:double"&gt;16.5072064685152&lt;/D&gt;&lt;D xsi:type="xsd:double"&gt;16.6739571279786&lt;/D&gt;&lt;D xsi:type="xsd:double"&gt;15.5903306916376&lt;/D&gt;&lt;D xsi:type="xsd:double"&gt;15.3240888860688&lt;/D&gt;&lt;D xsi:type="xsd:double"&gt;15.6957728021381&lt;/D&gt;&lt;D xsi:type="xsd:double"&gt;15.2283033378851&lt;/D&gt;&lt;D xsi:type="xsd:double"&gt;14.9774588288382&lt;/D&gt;&lt;D xsi:type="xsd:double"&gt;14.3053776526208&lt;/D&gt;&lt;D xsi:type="xsd:double"&gt;14.143706138052&lt;/D&gt;&lt;D xsi:type="xsd:double"&gt;13.4052699977414&lt;/D&gt;&lt;D xsi:type="xsd:double"&gt;13.1607010306153&lt;/D&gt;&lt;D xsi:type="xsd:double"&gt;12.9163798040129&lt;/D&gt;&lt;D xsi:type="xsd:double"&gt;12.1572153111223&lt;/D&gt;&lt;D xsi:type="xsd:double"&gt;12.3048319343444&lt;/D&gt;&lt;D xsi:type="xsd:double"&gt;12.5373941196975&lt;/D&gt;&lt;D xsi:type="xsd:double"&gt;12.3286891443406&lt;/D&gt;&lt;D xsi:type="xsd:double"&gt;12.8204857478235&lt;/D&gt;&lt;D xsi:type="xsd:double"&gt;12.5870709877539&lt;/D&gt;&lt;D xsi:type="xsd:double"&gt;12.6583972444848&lt;/D&gt;&lt;D xsi:type="xsd:double"&gt;12.8358388441122&lt;/D&gt;&lt;D xsi:type="xsd:double"&gt;12.876394451056&lt;/D&gt;&lt;D xsi:type="xsd:double"&gt;12.9437540385095&lt;/D&gt;&lt;D xsi:type="xsd:double"&gt;13.442028125383&lt;/D&gt;&lt;D xsi:type="xsd:double"&gt;13.46989613621&lt;/D&gt;&lt;D xsi:type="xsd:double"&gt;13.1125297836621&lt;/D&gt;&lt;D xsi:type="xsd:double"&gt;13.3571730913128&lt;/D&gt;&lt;D xsi:type="xsd:double"&gt;14.0009768244591&lt;/D&gt;&lt;D xsi:type="xsd:double"&gt;14.6075213521012&lt;/D&gt;&lt;D xsi:type="xsd:double"&gt;14.6301487896657&lt;/D&gt;&lt;D xsi:type="xsd:double"&gt;14.9105500821082&lt;/D&gt;&lt;D xsi:type="xsd:double"&gt;15.0037701245524&lt;/D&gt;&lt;D xsi:type="xsd:double"&gt;14.9777562002752&lt;/D&gt;&lt;/FQL&gt;&lt;FQL&gt;&lt;Q&gt;CPALM-FDS^FG_PRICE_CHANGE(0,-3AM)&lt;/Q&gt;&lt;R&gt;1&lt;/R&gt;&lt;C&gt;1&lt;/C&gt;&lt;D xsi:type="xsd:double"&gt;0.0765306122449072&lt;/D&gt;&lt;/FQL&gt;&lt;FQL&gt;&lt;Q&gt;TIOS-FDS^FG_PRICE_CHANGE(0,-3AM)&lt;/Q&gt;&lt;R&gt;1&lt;/R&gt;&lt;C&gt;1&lt;/C&gt;&lt;D xsi:type="xsd:double"&gt;-9.44466019417476&lt;/D&gt;&lt;/FQL&gt;&lt;FQL&gt;&lt;Q&gt;FC0000CH^FG_PRICE(0)&lt;/Q&gt;&lt;R&gt;1&lt;/R&gt;&lt;C&gt;1&lt;/C&gt;&lt;D xsi:type="xsd:double"&gt;318.46484&lt;/D&gt;&lt;/FQL&gt;&lt;FQL&gt;&lt;Q&gt;EWU^FG_PRICE_MAVG(0,,,,200)&lt;/Q&gt;&lt;R&gt;1&lt;/R&gt;&lt;C&gt;1&lt;/C&gt;&lt;D xsi:type="xsd:double"&gt;32.59955&lt;/D&gt;&lt;/FQL&gt;&lt;FQL&gt;&lt;Q&gt;FXI^PERCENT_CHANGE(FMA_EPS(+1,0,,,,"PORTAGG","MEAN"),FMA_EPS(+1,-3AM,,,,"PORTAGG","MEAN"))&lt;/Q&gt;&lt;R&gt;1&lt;/R&gt;&lt;C&gt;1&lt;/C&gt;&lt;D xsi:type="xsd:double"&gt;-1.13261029147109&lt;/D&gt;&lt;/FQL&gt;&lt;FQL&gt;&lt;Q&gt;VWO^P_PRICE(0)/P_PRICE_HIGH_PR(0,,,,,,"PRICE","INTRA","52W")&lt;/Q&gt;&lt;R&gt;1&lt;/R&gt;&lt;C&gt;1&lt;/C&gt;&lt;D xsi:type="xsd:double"&gt;0.9935853&lt;/D&gt;&lt;/FQL&gt;&lt;FQL&gt;&lt;Q&gt;EWD^PERCENT_CHANGE(FMA_EPS(+1,0,,,,"PORTAGG","MEAN"),FMA_EPS(+1,-1AM,,,,"PORTAGG","MEAN"))&lt;/Q&gt;&lt;R&gt;1&lt;/R&gt;&lt;C&gt;1&lt;/C&gt;&lt;D xsi:type="xsd:double"&gt;0.0134399665677032&lt;/D&gt;&lt;/FQL&gt;&lt;FQL&gt;&lt;Q&gt;QQQ^FG_TOTAL_RETURNC(0,-6AM)&lt;/Q&gt;&lt;R&gt;1&lt;/R&gt;&lt;C&gt;1&lt;/C&gt;&lt;D xsi:type="xsd:double"&gt;19.627893&lt;/D&gt;&lt;/FQL&gt;&lt;FQL&gt;&lt;Q&gt;EWL^P_PRICE(0)/P_PRICE_LOW_PR(0,,,,,,"PRICE","INTRA","52W")-1&lt;/Q&gt;&lt;R&gt;1&lt;/R&gt;&lt;C&gt;1&lt;/C&gt;&lt;D xsi:type="xsd:double"&gt;0.14608908&lt;/D&gt;&lt;/FQL&gt;&lt;FQL&gt;&lt;Q&gt;EWJ^FMA_PCT_ABOVE_MAVG(200,0,,,,"PORTAGG")&lt;/Q&gt;&lt;R&gt;1&lt;/R&gt;&lt;C&gt;1&lt;/C&gt;&lt;D xsi:type="xsd:double"&gt;71.1009174311927&lt;/D&gt;&lt;/FQL&gt;&lt;FQL&gt;&lt;Q&gt;EWC^PERCENT_CHANGE(FMA_EPS(+1,0,,,,"PORTAGG","MEAN"),FMA_EPS(+1,-3AM,,,,"PORTAGG","MEAN"))&lt;/Q&gt;&lt;R&gt;1&lt;/R&gt;&lt;C&gt;1&lt;/C&gt;&lt;D xsi:type="xsd:double"&gt;-2.30777519462323&lt;/D&gt;&lt;/FQL&gt;&lt;FQL&gt;&lt;Q&gt;URTH^FMA_COS_UP("EPS","1M",+1,0,,,"PORTAGG","MEANR")&lt;/Q&gt;&lt;R&gt;1&lt;/R&gt;&lt;C&gt;1&lt;/C&gt;&lt;D xsi:type="xsd:double"&gt;681&lt;/D&gt;&lt;/FQL&gt;&lt;FQL&gt;&lt;Q&gt;QQQ^FMA_RBICS_REV_CURRENT(30, LOC, "PORTAGG")&lt;/Q&gt;&lt;R&gt;1&lt;/R&gt;&lt;C&gt;1&lt;/C&gt;&lt;D xsi:type="xsd:double"&gt;0.907617891806806&lt;/D&gt;&lt;/FQL&gt;&lt;FQL&gt;&lt;Q&gt;REFFFUND-FDS^PROPER_NAME(0,,,"SECURITY","NAME")&lt;/Q&gt;&lt;R&gt;1&lt;/R&gt;&lt;C&gt;1&lt;/C&gt;&lt;D xsi:type="xsd:string"&gt;US Federal Funds Target Rate&lt;/D&gt;&lt;/FQL&gt;&lt;FQL&gt;&lt;Q&gt;EWJ^FMA_EVAL_EBITDA(NTMA,0,,,"PORTAGG","MEANR")&lt;/Q&gt;&lt;R&gt;1&lt;/R&gt;&lt;C&gt;1&lt;/C&gt;&lt;D xsi:type="xsd:double"&gt;10.6535783024538&lt;/D&gt;&lt;/FQL&gt;&lt;FQL&gt;&lt;Q&gt;EWI^FMA_EPS(NTMA,-20AY,0,CY,,"PORTAGG","MEANR")&lt;/Q&gt;&lt;R&gt;20&lt;/R&gt;&lt;C&gt;1&lt;/C&gt;&lt;D xsi:type="xsd:double"&gt;3.169168339117&lt;/D&gt;&lt;D xsi:type="xsd:double"&gt;3.12405993279458&lt;/D&gt;&lt;D xsi:type="xsd:double"&gt;5.04981282066684&lt;/D&gt;&lt;D xsi:type="xsd:double"&gt;5.56224784875388&lt;/D&gt;&lt;D xsi:type="xsd:double"&gt;4.17624790880873&lt;/D&gt;&lt;D xsi:type="xsd:double"&gt;3.08892808052067&lt;/D&gt;&lt;D xsi:type="xsd:double"&gt;3.32359348097665&lt;/D&gt;&lt;D xsi:type="xsd:double"&gt;2.98712765861625&lt;/D&gt;&lt;D xsi:type="xsd:double"&gt;2.83099275676073&lt;/D&gt;&lt;D xsi:type="xsd:double"&gt;2.51709042577162&lt;/D&gt;&lt;D xsi:type="xsd:double"&gt;2.20451072320163&lt;/D&gt;&lt;D xsi:type="xsd:double"&gt;1.95489186317479&lt;/D&gt;&lt;D xsi:type="xsd:double"&gt;1.78844259381098&lt;/D&gt;&lt;D xsi:type="xsd:double"&gt;2.35129536081733&lt;/D&gt;&lt;D xsi:type="xsd:double"&gt;2.64924756496654&lt;/D&gt;&lt;D xsi:type="xsd:double"&gt;2.59251661571796&lt;/D&gt;&lt;D xsi:type="xsd:double"&gt;1.99711745729498&lt;/D&gt;&lt;D xsi:type="xsd:double"&gt;2.96400297596909&lt;/D&gt;&lt;D xsi:type="xsd:double"&gt;3.54736708862932&lt;/D&gt;&lt;D xsi:type="xsd:double"&gt;3.81180306159793&lt;/D&gt;&lt;/FQL&gt;&lt;FQL&gt;&lt;Q&gt;EWN^P_PRICE_RETURNS_PR('52W',2,-10AY,0,AM)&lt;/Q&gt;&lt;R&gt;121&lt;/R&gt;&lt;C&gt;1&lt;/C&gt;&lt;D xsi:type="xsd:double"&gt;20.803106&lt;/D&gt;&lt;D xsi:type="xsd:double"&gt;22.795391&lt;/D&gt;&lt;D xsi:type="xsd:double"&gt;20.945131&lt;/D&gt;&lt;D xsi:type="xsd:double"&gt;2.8314948&lt;/D&gt;&lt;D xsi:type="xsd:double"&gt;8.672894&lt;/D&gt;&lt;D xsi:type="xsd:double"&gt;1.0451436&lt;/D&gt;&lt;D xsi:type="xsd:double"&gt;-1.6838491&lt;/D&gt;&lt;D xsi:type="xsd:double"&gt;1.2751341&lt;/D&gt;&lt;D xsi:type="xsd:double"&gt;-8.207637&lt;/D&gt;&lt;D xsi:type="xsd:double"&gt;-2.8761506&lt;/D&gt;&lt;D xsi:type="xsd:double"&gt;-0.1003623&lt;/D&gt;&lt;D xsi:type="xsd:double"&gt;1.0577202&lt;/D&gt;&lt;D xsi:type="xsd:double"&gt;5.2827597&lt;/D&gt;&lt;D xsi:type="xsd:double"&gt;1.409626&lt;/D&gt;&lt;D xsi:type="xsd:double"&gt;0.06657839&lt;/D&gt;&lt;D xsi:type="xsd:double"&gt;13.843668&lt;/D&gt;&lt;D xsi:type="xsd:double"&gt;-0.29182434&lt;/D&gt;&lt;D xsi:type="xsd:double"&gt;7.2202563&lt;/D&gt;&lt;D xsi:type="xsd:double"&gt;6.553066&lt;/D&gt;&lt;D xsi:type="xsd:double"&gt;-0.53526163&lt;/D&gt;&lt;D xsi:type="xsd:double"&gt;-2.1757126&lt;/D&gt;&lt;D xsi:type="xsd:double"&gt;-6.030619&lt;/D&gt;&lt;D xsi:type="xsd:double"&gt;-5.3507447&lt;/D&gt;&lt;D xsi:type="xsd:double"&gt;-4.965651&lt;/D&gt;&lt;D xsi:type="xsd:double"&gt;-6.4528522&lt;/D&gt;&lt;D xsi:type="xsd:double"&gt;-2.7190864&lt;/D&gt;&lt;D xsi:type="xsd:double"&gt;-5.3663254&lt;/D&gt;&lt;D xsi:type="xsd:double"&gt;-6.0842457&lt;/D&gt;&lt;D xsi:type="xsd:double"&gt;3.6751628&lt;/D&gt;&lt;D xsi:type="xsd:double"&gt;4.077697&lt;/D&gt;&lt;D xsi:type="xsd:double"&gt;-0.1181066&lt;/D&gt;&lt;D xsi:type="xsd:double"&gt;1.5625954&lt;/D&gt;&lt;D xsi:type="xsd:double"&gt;11.885667&lt;/D&gt;&lt;D xsi:type="xsd:double"&gt;17.492258&lt;/D&gt;&lt;D xsi:type="xsd:double"&gt;14.267015&lt;/D&gt;&lt;D xsi:type="xsd:double"&gt;14.474297&lt;/D&gt;&lt;D xsi:type="xsd:double"&gt;21.684599&lt;/D&gt;&lt;D xsi:type="xsd:double"&gt;21.517765&lt;/D&gt;&lt;D xsi:type="xsd:double"&gt;33.34924&lt;/D&gt;&lt;D xsi:type="xsd:double"&gt;29.678154&lt;/D&gt;&lt;D xsi:type="xsd:double"&gt;26.156734&lt;/D&gt;&lt;D xsi:type="xsd:double"&gt;29.110765&lt;/D&gt;&lt;D xsi:type="xsd:double"&gt;31.927168&lt;/D&gt;&lt;D xsi:type="xsd:double"&gt;35.27832&lt;/D&gt;&lt;D xsi:type="xsd:double"&gt;35.536945&lt;/D&gt;&lt;D xsi:type="xsd:double"&gt;26.326252&lt;/D&gt;&lt;D xsi:type="xsd:double"&gt;26.626896&lt;/D&gt;&lt;D xsi:type="xsd:double"&gt;22.569477&lt;/D&gt;&lt;D xsi:type="xsd:double"&gt;12.592495&lt;/D&gt;&lt;D xsi:type="xsd:double"&gt;10.677874&lt;/D&gt;&lt;D xsi:type="xsd:double"&gt;9.322775&lt;/D&gt;&lt;D xsi:type="xsd:double"&gt;4.65616&lt;/D&gt;&lt;D xsi:type="xsd:double"&gt;-1.394397&lt;/D&gt;&lt;D xsi:type="xsd:double"&gt;-5.0403833&lt;/D&gt;&lt;D xsi:type="xsd:double"&gt;-5.803454&lt;/D&gt;&lt;D xsi:type="xsd:double"&gt;-11.102295&lt;/D&gt;&lt;D xsi:type="xsd:double"&gt;-14.494586&lt;/D&gt;&lt;D xsi:type="xsd:double"&gt;-6.189698&lt;/D&gt;&lt;D xsi:type="xsd:double"&gt;-8.77577&lt;/D&gt;&lt;D xsi:type="xsd:double"&gt;-2.9235065&lt;/D&gt;&lt;D xsi:type="xsd:double"&gt;-1.9151509&lt;/D&gt;&lt;D xsi:type="xsd:double"&gt;-2.0542085&lt;/D&gt;&lt;D xsi:type="xsd:double"&gt;1.8587828&lt;/D&gt;&lt;D xsi:type="xsd:double"&gt;-1.450938&lt;/D&gt;&lt;D xsi:type="xsd:double"&gt;8.017719&lt;/D&gt;&lt;D xsi:type="xsd:double"&gt;9.214401&lt;/D&gt;&lt;D xsi:type="xsd:double"&gt;17.135239&lt;/D&gt;&lt;D xsi:type="xsd:double"&gt;24.257242&lt;/D&gt;&lt;D xsi:type="xsd:double"&gt;28.356339&lt;/D&gt;&lt;D xsi:type="xsd:double"&gt;21.721436&lt;/D&gt;&lt;D xsi:type="xsd:double"&gt;0.57433844&lt;/D&gt;&lt;D xsi:type="xsd:double"&gt;-7.4298024&lt;/D&gt;&lt;D xsi:type="xsd:double"&gt;-3.877008&lt;/D&gt;&lt;D xsi:type="xsd:double"&gt;9.234691&lt;/D&gt;&lt;D xsi:type="xsd:double"&gt;11.187696&lt;/D&gt;&lt;D xsi:type="xsd:double"&gt;17.095684&lt;/D&gt;&lt;D xsi:type="xsd:double"&gt;12.964165&lt;/D&gt;&lt;D xsi:type="xsd:double"&gt;20.052124&lt;/D&gt;&lt;D xsi:type="xsd:double"&gt;16.17676&lt;/D&gt;&lt;D xsi:type="xsd:double"&gt;23.69107&lt;/D&gt;&lt;D xsi:type="xsd:double"&gt;28.189968&lt;/D&gt;&lt;D xsi:type="xsd:double"&gt;32.291412&lt;/D&gt;&lt;D xsi:type="xsd:double"&gt;58.25229&lt;/D&gt;&lt;D xsi:type="xsd:double"&gt;75.71104&lt;/D&gt;&lt;D xsi:type="xsd:double"&gt;75.459816&lt;/D&gt;&lt;D xsi:type="xsd:double"&gt;53.66491&lt;/D&gt;&lt;D xsi:type="xsd:double"&gt;44.11527&lt;/D&gt;&lt;D xsi:type="xsd:double"&gt;46.329094&lt;/D&gt;&lt;D xsi:type="xsd:double"&gt;52.56692&lt;/D&gt;&lt;D xsi:type="xsd:double"&gt;38.260616&lt;/D&gt;&lt;D xsi:type="xsd:double"&gt;42.3597&lt;/D&gt;&lt;D xsi:type="xsd:double"&gt;22.894896&lt;/D&gt;&lt;D xsi:type="xsd:double"&gt;17.723633&lt;/D&gt;&lt;D xsi:type="xsd:double"&gt;7.7637076&lt;/D&gt;&lt;D xsi:type="xsd:double"&gt;-8.266038&lt;/D&gt;&lt;D xsi:type="xsd:double"&gt;-13.505405&lt;/D&gt;&lt;D xsi:type="xsd:double"&gt;-26.658422&lt;/D&gt;&lt;D xsi:type="xsd:double"&gt;-22.664291&lt;/D&gt;&lt;D xsi:type="xsd:double"&gt;-25.740265&lt;/D&gt;&lt;D xsi:type="xsd:double"&gt;-25.662977&lt;/D&gt;&lt;D xsi:type="xsd:double"&gt;-32.93848&lt;/D&gt;&lt;D xsi:type="xsd:double"&gt;-36.63501&lt;/D&gt;&lt;D xsi:type="xsd:double"&gt;-35.130154&lt;/D&gt;&lt;D xsi:type="xsd:double"&gt;-19.519901&lt;/D&gt;&lt;D xsi:type="xsd:double"&gt;-16.62597&lt;/D&gt;&lt;D xsi:type="xsd:double"&gt;-9.476572&lt;/D&gt;&lt;D xsi:type="xsd:double"&gt;1.6349554&lt;/D&gt;&lt;D xsi:type="xsd:double"&gt;3.866303&lt;/D&gt;&lt;D xsi:type="xsd:double"&gt;18.861462&lt;/D&gt;&lt;D xsi:type="xsd:double"&gt;13.539516&lt;/D&gt;&lt;D xsi:type="xsd:double"&gt;24.961292&lt;/D&gt;&lt;D xsi:type="xsd:double"&gt;18.788815&lt;/D&gt;&lt;D xsi:type="xsd:double"&gt;19.212364&lt;/D&gt;&lt;D xsi:type="xsd:double"&gt;23.888897&lt;/D&gt;&lt;D xsi:type="xsd:double"&gt;18.921911&lt;/D&gt;&lt;D xsi:type="xsd:double"&gt;12.038064&lt;/D&gt;&lt;D xsi:type="xsd:double"&gt;8.840191&lt;/D&gt;&lt;D xsi:type="xsd:double"&gt;14.585436&lt;/D&gt;&lt;D xsi:type="xsd:double"&gt;22.209942&lt;/D&gt;&lt;D xsi:type="xsd:double"&gt;20.819712&lt;/D&gt;&lt;D xsi:type="xsd:double"&gt;23.110485&lt;/D&gt;&lt;/FQL&gt;&lt;FQL&gt;&lt;Q&gt;SPY^FG_TOTAL_RETURNC(-10AY,0,AM)&lt;/Q&gt;&lt;R&gt;121&lt;/R&gt;&lt;C&gt;1&lt;/C&gt;&lt;D xsi:type="xsd:double"&gt;0.46502352&lt;/D&gt;&lt;D xsi:type="xsd:double"&gt;4.0540457&lt;/D&gt;&lt;D xsi:type="xsd:double"&gt;1.2692094&lt;/D&gt;&lt;D xsi:type="xsd:double"&gt;-1.9683361&lt;/D&gt;&lt;D xsi:type="xsd:double"&gt;3.1463504&lt;/D&gt;&lt;D xsi:type="xsd:double"&gt;-2.8487265&lt;/D&gt;&lt;D xsi:type="xsd:double"&gt;5.499637&lt;/D&gt;&lt;D xsi:type="xsd:double"&gt;1.5393019&lt;/D&gt;&lt;D xsi:type="xsd:double"&gt;-0.53157806&lt;/D&gt;&lt;D xsi:type="xsd:double"&gt;0.18604994&lt;/D&gt;&lt;D xsi:type="xsd:double"&gt;1.8228054&lt;/D&gt;&lt;D xsi:type="xsd:double"&gt;0.70267916&lt;/D&gt;&lt;D xsi:type="xsd:double"&gt;1.3020635&lt;/D&gt;&lt;D xsi:type="xsd:double"&gt;-1.497966&lt;/D&gt;&lt;D xsi:type="xsd:double"&gt;-1.2227476&lt;/D&gt;&lt;D xsi:type="xsd:double"&gt;1.4885306&lt;/D&gt;&lt;D xsi:type="xsd:double"&gt;-6.3284454&lt;/D&gt;&lt;D xsi:type="xsd:double"&gt;3.903973&lt;/D&gt;&lt;D xsi:type="xsd:double"&gt;3.3527017&lt;/D&gt;&lt;D xsi:type="xsd:double"&gt;-1.3168037&lt;/D&gt;&lt;D xsi:type="xsd:double"&gt;-5.967909&lt;/D&gt;&lt;D xsi:type="xsd:double"&gt;-3.3831358&lt;/D&gt;&lt;D xsi:type="xsd:double"&gt;7.52306&lt;/D&gt;&lt;D xsi:type="xsd:double"&gt;3.0943036&lt;/D&gt;&lt;D xsi:type="xsd:double"&gt;0.6797075&lt;/D&gt;&lt;D xsi:type="xsd:double"&gt;3.0068636&lt;/D&gt;&lt;D xsi:type="xsd:double"&gt;0.7923603&lt;/D&gt;&lt;D xsi:type="xsd:double"&gt;2.600515&lt;/D&gt;&lt;D xsi:type="xsd:double"&gt;-2.2458494&lt;/D&gt;&lt;D xsi:type="xsd:double"&gt;1.3365269&lt;/D&gt;&lt;D xsi:type="xsd:double"&gt;0.6227732&lt;/D&gt;&lt;D xsi:type="xsd:double"&gt;4.6819687&lt;/D&gt;&lt;D xsi:type="xsd:double"&gt;0.5683303&lt;/D&gt;&lt;D xsi:type="xsd:double"&gt;1.8281341&lt;/D&gt;&lt;D xsi:type="xsd:double"&gt;2.7146578&lt;/D&gt;&lt;D xsi:type="xsd:double"&gt;-0.2680242&lt;/D&gt;&lt;D xsi:type="xsd:double"&gt;1.8027186&lt;/D&gt;&lt;D xsi:type="xsd:double"&gt;1.6580343&lt;/D&gt;&lt;D xsi:type="xsd:double"&gt;-0.049084425&lt;/D&gt;&lt;D xsi:type="xsd:double"&gt;2.1229982&lt;/D&gt;&lt;D xsi:type="xsd:double"&gt;-0.2709806&lt;/D&gt;&lt;D xsi:type="xsd:double"&gt;3.4991264&lt;/D&gt;&lt;D xsi:type="xsd:double"&gt;1.6617537&lt;/D&gt;&lt;D xsi:type="xsd:double"&gt;2.843082&lt;/D&gt;&lt;D xsi:type="xsd:double"&gt;3.9252877&lt;/D&gt;&lt;D xsi:type="xsd:double"&gt;-4.749769&lt;/D&gt;&lt;D xsi:type="xsd:double"&gt;6.642449&lt;/D&gt;&lt;D xsi:type="xsd:double"&gt;-6.033647&lt;/D&gt;&lt;D xsi:type="xsd:double"&gt;3.2567024&lt;/D&gt;&lt;D xsi:type="xsd:double"&gt;3.224492&lt;/D&gt;&lt;D xsi:type="xsd:double"&gt;0.34472942&lt;/D&gt;&lt;D xsi:type="xsd:double"&gt;2.5800705&lt;/D&gt;&lt;D xsi:type="xsd:double"&gt;0.88750124&lt;/D&gt;&lt;D xsi:type="xsd:double"&gt;0.3831029&lt;/D&gt;&lt;D xsi:type="xsd:double"&gt;-3.3542037&lt;/D&gt;&lt;D xsi:type="xsd:double"&gt;-5.108726&lt;/D&gt;&lt;D xsi:type="xsd:double"&gt;-1.5409887&lt;/D&gt;&lt;D xsi:type="xsd:double"&gt;4.845524&lt;/D&gt;&lt;D xsi:type="xsd:double"&gt;1.475203&lt;/D&gt;&lt;D xsi:type="xsd:double"&gt;5.1407933&lt;/D&gt;&lt;D xsi:type="xsd:double"&gt;-0.22623539&lt;/D&gt;&lt;D xsi:type="xsd:double"&gt;0.3453493&lt;/D&gt;&lt;D xsi:type="xsd:do</t>
        </r>
      </text>
    </comment>
    <comment ref="A6" authorId="0" shapeId="0" xr:uid="{E8F4718C-5996-4F59-B54C-0D107B0DAF4D}">
      <text>
        <r>
          <rPr>
            <b/>
            <sz val="9"/>
            <color indexed="81"/>
            <rFont val="Tahoma"/>
            <charset val="1"/>
          </rPr>
          <t>uble"&gt;3.8196325&lt;/D&gt;&lt;D xsi:type="xsd:double"&gt;-1.8742263&lt;/D&gt;&lt;D xsi:type="xsd:double"&gt;2.2563696&lt;/D&gt;&lt;D xsi:type="xsd:double"&gt;-1.8708706&lt;/D&gt;&lt;D xsi:type="xsd:double"&gt;6.066537&lt;/D&gt;&lt;D xsi:type="xsd:double"&gt;1.5990138&lt;/D&gt;&lt;D xsi:type="xsd:double"&gt;4.5778513&lt;/D&gt;&lt;D xsi:type="xsd:double"&gt;1.6990662&lt;/D&gt;&lt;D xsi:type="xsd:double"&gt;-17.450333&lt;/D&gt;&lt;D xsi:type="xsd:double"&gt;2.0709038&lt;/D&gt;&lt;D xsi:type="xsd:double"&gt;5.1186204&lt;/D&gt;&lt;D xsi:type="xsd:double"&gt;9.694302&lt;/D&gt;&lt;D xsi:type="xsd:double"&gt;-1.5643716&lt;/D&gt;&lt;D xsi:type="xsd:double"&gt;6.422162&lt;/D&gt;&lt;D xsi:type="xsd:double"&gt;1.5602112&lt;/D&gt;&lt;D xsi:type="xsd:double"&gt;2.4912&lt;/D&gt;&lt;D xsi:type="xsd:double"&gt;2.2228599&lt;/D&gt;&lt;D xsi:type="xsd:double"&gt;3.4662724&lt;/D&gt;&lt;D xsi:type="xsd:double"&gt;4.372823&lt;/D&gt;&lt;D xsi:type="xsd:double"&gt;2.3579717&lt;/D&gt;&lt;D xsi:type="xsd:double"&gt;-0.789237&lt;/D&gt;&lt;D xsi:type="xsd:double"&gt;6.6301465&lt;/D&gt;&lt;D xsi:type="xsd:double"&gt;2.583301&lt;/D&gt;&lt;D xsi:type="xsd:double"&gt;-0.11134148&lt;/D&gt;&lt;D xsi:type="xsd:double"&gt;3.6319613&lt;/D&gt;&lt;D xsi:type="xsd:double"&gt;1.517725&lt;/D&gt;&lt;D xsi:type="xsd:double"&gt;1.5493155&lt;/D&gt;&lt;D xsi:type="xsd:double"&gt;-2.1612048&lt;/D&gt;&lt;D xsi:type="xsd:double"&gt;6.7418814&lt;/D&gt;&lt;D xsi:type="xsd:double"&gt;-0.22037625&lt;/D&gt;&lt;D xsi:type="xsd:double"&gt;0.2998948&lt;/D&gt;&lt;D xsi:type="xsd:double"&gt;-1.8344045&lt;/D&gt;&lt;D xsi:type="xsd:double"&gt;-6.5852165&lt;/D&gt;&lt;D xsi:type="xsd:double"&gt;5.0385714&lt;/D&gt;&lt;D xsi:type="xsd:double"&gt;-11.037379&lt;/D&gt;&lt;D xsi:type="xsd:double"&gt;0.82125664&lt;/D&gt;&lt;D xsi:type="xsd:double"&gt;-2.7637541&lt;/D&gt;&lt;D xsi:type="xsd:double"&gt;5.835283&lt;/D&gt;&lt;D xsi:type="xsd:double"&gt;-1.1547327&lt;/D&gt;&lt;D xsi:type="xsd:double"&gt;-10.405284&lt;/D&gt;&lt;D xsi:type="xsd:double"&gt;3.1257749&lt;/D&gt;&lt;D xsi:type="xsd:double"&gt;5.118537&lt;/D&gt;&lt;D xsi:type="xsd:double"&gt;-0.9197712&lt;/D&gt;&lt;D xsi:type="xsd:double"&gt;4.957974&lt;/D&gt;&lt;D xsi:type="xsd:double"&gt;-3.814882&lt;/D&gt;&lt;D xsi:type="xsd:double"&gt;4.906106&lt;/D&gt;&lt;D xsi:type="xsd:double"&gt;0.42523146&lt;/D&gt;&lt;D xsi:type="xsd:double"&gt;4.616356&lt;/D&gt;&lt;D xsi:type="xsd:double"&gt;2.3924112&lt;/D&gt;&lt;D xsi:type="xsd:double"&gt;1.6417742&lt;/D&gt;&lt;D xsi:type="xsd:double"&gt;-0.05159974&lt;/D&gt;&lt;D xsi:type="xsd:double"&gt;-2.6230872&lt;/D&gt;&lt;D xsi:type="xsd:double"&gt;0.3585577&lt;/D&gt;&lt;D xsi:type="xsd:double"&gt;6.0759783&lt;/D&gt;&lt;D xsi:type="xsd:double"&gt;3.3908129&lt;/D&gt;&lt;D xsi:type="xsd:double"&gt;5.765176&lt;/D&gt;&lt;D xsi:type="xsd:double"&gt;2.0989656&lt;/D&gt;&lt;D xsi:type="xsd:double"&gt;1.802671&lt;/D&gt;&lt;D xsi:type="xsd:double"&gt;0.16367435&lt;/D&gt;&lt;/FQL&gt;&lt;FQL&gt;&lt;Q&gt;EWU^FMA_DIV_YLD(NTMA,-10AY,0,AM,"PORTAGG","MEANR")&lt;/Q&gt;&lt;R&gt;121&lt;/R&gt;&lt;C&gt;1&lt;/C&gt;&lt;D xsi:type="xsd:double"&gt;3.8271595470988&lt;/D&gt;&lt;D xsi:type="xsd:double"&gt;3.82775580247419&lt;/D&gt;&lt;D xsi:type="xsd:double"&gt;3.88609978285685&lt;/D&gt;&lt;D xsi:type="xsd:double"&gt;4.01466462664235&lt;/D&gt;&lt;D xsi:type="xsd:double"&gt;3.92115371052151&lt;/D&gt;&lt;D xsi:type="xsd:double"&gt;4.16917010867932&lt;/D&gt;&lt;D xsi:type="xsd:double"&gt;4.10030464357955&lt;/D&gt;&lt;D xsi:type="xsd:double"&gt;4.13860909825769&lt;/D&gt;&lt;D xsi:type="xsd:double"&gt;4.22313167959041&lt;/D&gt;&lt;D xsi:type="xsd:double"&gt;4.00606330921327&lt;/D&gt;&lt;D xsi:type="xsd:double"&gt;3.94723812608394&lt;/D&gt;&lt;D xsi:type="xsd:double"&gt;3.93116779425543&lt;/D&gt;&lt;D xsi:type="xsd:double"&gt;3.86174263255781&lt;/D&gt;&lt;D xsi:type="xsd:double"&gt;4.05440820160188&lt;/D&gt;&lt;D xsi:type="xsd:double"&gt;4.21349654696988&lt;/D&gt;&lt;D xsi:type="xsd:double"&gt;4.07027522685725&lt;/D&gt;&lt;D xsi:type="xsd:double"&gt;4.41017647056012&lt;/D&gt;&lt;D xsi:type="xsd:double"&gt;4.21592468068719&lt;/D&gt;&lt;D xsi:type="xsd:double"&gt;4.28139576113098&lt;/D&gt;&lt;D xsi:type="xsd:double"&gt;4.34799821904208&lt;/D&gt;&lt;D xsi:type="xsd:double"&gt;4.56809558026564&lt;/D&gt;&lt;D xsi:type="xsd:double"&gt;4.75807295998314&lt;/D&gt;&lt;D xsi:type="xsd:double"&gt;4.38352491978361&lt;/D&gt;&lt;D xsi:type="xsd:double"&gt;4.36324498751506&lt;/D&gt;&lt;D xsi:type="xsd:double"&gt;4.391545130379&lt;/D&gt;&lt;D xsi:type="xsd:double"&gt;4.2881489961046&lt;/D&gt;&lt;D xsi:type="xsd:double"&gt;4.24241830931427&lt;/D&gt;&lt;D xsi:type="xsd:double"&gt;4.08695213351268&lt;/D&gt;&lt;D xsi:type="xsd:double"&gt;4.16058799419207&lt;/D&gt;&lt;D xsi:type="xsd:double"&gt;4.19541174218872&lt;/D&gt;&lt;D xsi:type="xsd:double"&gt;4.34900013927466&lt;/D&gt;&lt;D xsi:type="xsd:double"&gt;4.32940806620778&lt;/D&gt;&lt;D xsi:type="xsd:double"&gt;4.25743425178805&lt;/D&gt;&lt;D xsi:type="xsd:double"&gt;4.2686811393885&lt;/D&gt;&lt;D xsi:type="xsd:double"&gt;4.34620847781822&lt;/D&gt;&lt;D xsi:type="xsd:double"&gt;4.34217466815082&lt;/D&gt;&lt;D xsi:type="xsd:double"&gt;4.29783791476947&lt;/D&gt;&lt;D xsi:type="xsd:double"&gt;4.25510615883469&lt;/D&gt;&lt;D xsi:type="xsd:double"&gt;4.34300679199619&lt;/D&gt;&lt;D xsi:type="xsd:double"&gt;4.24690655847005&lt;/D&gt;&lt;D xsi:type="xsd:double"&gt;4.3220849364429&lt;/D&gt;&lt;D xsi:type="xsd:double"&gt;4.27662127355143&lt;/D&gt;&lt;D xsi:type="xsd:double"&gt;4.33116030941099&lt;/D&gt;&lt;D xsi:type="xsd:double"&gt;4.36525188562309&lt;/D&gt;&lt;D xsi:type="xsd:double"&gt;4.17854037946372&lt;/D&gt;&lt;D xsi:type="xsd:double"&gt;4.52648762818742&lt;/D&gt;&lt;D xsi:type="xsd:double"&gt;4.46575346016303&lt;/D&gt;&lt;D xsi:type="xsd:double"&gt;4.47271343458312&lt;/D&gt;&lt;D xsi:type="xsd:double"&gt;4.29020066200187&lt;/D&gt;&lt;D xsi:type="xsd:double"&gt;4.34098741750988&lt;/D&gt;&lt;D xsi:type="xsd:double"&gt;4.37428695671166&lt;/D&gt;&lt;D xsi:type="xsd:double"&gt;4.39913418692483&lt;/D&gt;&lt;D xsi:type="xsd:double"&gt;4.68730018869927&lt;/D&gt;&lt;D xsi:type="xsd:double"&gt;4.67457424103814&lt;/D&gt;&lt;D xsi:type="xsd:double"&gt;4.82620639031375&lt;/D&gt;&lt;D xsi:type="xsd:double"&gt;5.13680106015196&lt;/D&gt;&lt;D xsi:type="xsd:double"&gt;5.19478225390545&lt;/D&gt;&lt;D xsi:type="xsd:double"&gt;5.0351069269838&lt;/D&gt;&lt;D xsi:type="xsd:double"&gt;5.02860546559306&lt;/D&gt;&lt;D xsi:type="xsd:double"&gt;4.83117448478876&lt;/D&gt;&lt;D xsi:type="xsd:double"&gt;4.98289365549063&lt;/D&gt;&lt;D xsi:type="xsd:double"&gt;4.82147313568884&lt;/D&gt;&lt;D xsi:type="xsd:double"&gt;4.7871127999684&lt;/D&gt;&lt;D xsi:type="xsd:double"&gt;5.07589190174678&lt;/D&gt;&lt;D xsi:type="xsd:double"&gt;5.01765093717239&lt;/D&gt;&lt;D xsi:type="xsd:double"&gt;5.06522009324813&lt;/D&gt;&lt;D xsi:type="xsd:double"&gt;4.79720927949078&lt;/D&gt;&lt;D xsi:type="xsd:double"&gt;4.78021345365067&lt;/D&gt;&lt;D xsi:type="xsd:double"&gt;4.5713524541179&lt;/D&gt;&lt;D xsi:type="xsd:double"&gt;4.67574974866733&lt;/D&gt;&lt;D xsi:type="xsd:double"&gt;5.83191774637814&lt;/D&gt;&lt;D xsi:type="xsd:double"&gt;5.76939994975924&lt;/D&gt;&lt;D xsi:type="xsd:double"&gt;4.62468309449211&lt;/D&gt;&lt;D xsi:type="xsd:double"&gt;3.98351437294329&lt;/D&gt;&lt;D xsi:type="xsd:double"&gt;4.18048458347318&lt;/D&gt;&lt;D xsi:type="xsd:double"&gt;4.01969756601868&lt;/D&gt;&lt;D xsi:type="xsd:double"&gt;4.0712021978858&lt;/D&gt;&lt;D xsi:type="xsd:double"&gt;4.18217388100027&lt;/D&gt;&lt;D xsi:type="xsd:double"&gt;4.14224784460689&lt;/D&gt;&lt;D xsi:type="xsd:double"&gt;3.88346526094265&lt;/D&gt;&lt;D xsi:type="xsd:double"&gt;3.76079293583472&lt;/D&gt;&lt;D xsi:type="xsd:double"&gt;4.02111232719118&lt;/D&gt;&lt;D xsi:type="xsd:double"&gt;3.94596750282473&lt;/D&gt;&lt;D xsi:type="xsd:double"&gt;3.9544635323765&lt;/D&gt;&lt;D xsi:type="xsd:double"&gt;3.86686484136516&lt;/D&gt;&lt;D xsi:type="xsd:double"&gt;3.89410922203225&lt;/D&gt;&lt;D xsi:type="xsd:double"&gt;4.00699698904756&lt;/D&gt;&lt;D xsi:type="xsd:double"&gt;4.14378712189383&lt;/D&gt;&lt;D xsi:type="xsd:double"&gt;4.23105039369557&lt;/D&gt;&lt;D xsi:type="xsd:double"&gt;4.14368245465819&lt;/D&gt;&lt;D xsi:type="xsd:double"&gt;4.04378227838735&lt;/D&gt;&lt;D xsi:type="xsd:double"&gt;4.03313005951315&lt;/D&gt;&lt;D xsi:type="xsd:double"&gt;3.8541286306807&lt;/D&gt;&lt;D xsi:type="xsd:double"&gt;3.77519764195929&lt;/D&gt;&lt;D xsi:type="xsd:double"&gt;4.0848444559661&lt;/D&gt;&lt;D xsi:type="xsd:double"&gt;3.91326718550379&lt;/D&gt;&lt;D xsi:type="xsd:double"&gt;4.28539289506154&lt;/D&gt;&lt;D xsi:type="xsd:double"&gt;4.09537235853071&lt;/D&gt;&lt;D xsi:type="xsd:double"&gt;4.30152515117827&lt;/D&gt;&lt;D xsi:type="xsd:double"&gt;4.1855916612698&lt;/D&gt;&lt;D xsi:type="xsd:double"&gt;4.39674697607607&lt;/D&gt;&lt;D xsi:type="xsd:double"&gt;4.63787984201413&lt;/D&gt;&lt;D xsi:type="xsd:double"&gt;4.46002100116767&lt;/D&gt;&lt;D xsi:type="xsd:double"&gt;4.2193097954132&lt;/D&gt;&lt;D xsi:type="xsd:double"&gt;4.15262407461729&lt;/D&gt;&lt;D xsi:type="xsd:double"&gt;4.06273131948302&lt;/D&gt;&lt;D xsi:type="xsd:double"&gt;4.17552896820149&lt;/D&gt;&lt;D xsi:type="xsd:double"&gt;4.15501439841151&lt;/D&gt;&lt;D xsi:type="xsd:double"&gt;4.22505046592274&lt;/D&gt;&lt;D xsi:type="xsd:double"&gt;4.34194972185065&lt;/D&gt;&lt;D xsi:type="xsd:double"&gt;4.51431621579187&lt;/D&gt;&lt;D xsi:type="xsd:double"&gt;4.38390224679148&lt;/D&gt;&lt;D xsi:type="xsd:double"&gt;4.49511928276099&lt;/D&gt;&lt;D xsi:type="xsd:double"&gt;4.52583087806019&lt;/D&gt;&lt;D xsi:type="xsd:double"&gt;4.54388411449024&lt;/D&gt;&lt;D xsi:type="xsd:double"&gt;4.39758377131051&lt;/D&gt;&lt;D xsi:type="xsd:double"&gt;4.29770191499331&lt;/D&gt;&lt;D xsi:type="xsd:double"&gt;4.31488812399404&lt;/D&gt;&lt;D xsi:type="xsd:double"&gt;4.1411170825546&lt;/D&gt;&lt;D xsi:type="xsd:double"&gt;4.01448819533035&lt;/D&gt;&lt;D xsi:type="xsd:double"&gt;3.90537640218347&lt;/D&gt;&lt;/FQL&gt;&lt;FQL&gt;&lt;Q&gt;EWJ^FMA_PE(NTMA,-10AY,0,AM,"PORTAGG","MEANR")&lt;/Q&gt;&lt;R&gt;121&lt;/R&gt;&lt;C&gt;1&lt;/C&gt;&lt;D xsi:type="xsd:double"&gt;12.8494573044499&lt;/D&gt;&lt;D xsi:type="xsd:double"&gt;13.6075379610822&lt;/D&gt;&lt;D xsi:type="xsd:double"&gt;13.8061130517862&lt;/D&gt;&lt;D xsi:type="xsd:double"&gt;13.1896086759008&lt;/D&gt;&lt;D xsi:type="xsd:double"&gt;13.7893122528714&lt;/D&gt;&lt;D xsi:type="xsd:double"&gt;13.3449772730231&lt;/D&gt;&lt;D xsi:type="xsd:double"&gt;14.2950699689662&lt;/D&gt;&lt;D xsi:type="xsd:double"&gt;14.6897328831061&lt;/D&gt;&lt;D xsi:type="xsd:double"&gt;13.9224536986246&lt;/D&gt;&lt;D xsi:type="xsd:double"&gt;14.1432836186317&lt;/D&gt;&lt;D xsi:type="xsd:double"&gt;15.1655506805227&lt;/D&gt;&lt;D xsi:type="xsd:double"&gt;15.6808915812925&lt;/D&gt;&lt;D xsi:type="xsd:double"&gt;15.6655521225723&lt;/D&gt;&lt;D xsi:type="xsd:double"&gt;15.7895388534653&lt;/D&gt;&lt;D xsi:type="xsd:double"&gt;14.8762782486373&lt;/D&gt;&lt;D xsi:type="xsd:double"&gt;15.6582503854014&lt;/D&gt;&lt;D xsi:type="xsd:double"&gt;13.9583732414746&lt;/D&gt;&lt;D xsi:type="xsd:double"&gt;14.0086136298185&lt;/D&gt;&lt;D xsi:type="xsd:double"&gt;14.6847249770336&lt;/D&gt;&lt;D xsi:type="xsd:double"&gt;14.2501929813034&lt;/D&gt;&lt;D xsi:type="xsd:double"&gt;13.0983679938856&lt;/D&gt;&lt;D xsi:type="xsd:double"&gt;11.9493928648402&lt;/D&gt;&lt;D xsi:type="xsd:double"&gt;12.6914833973727&lt;/D&gt;&lt;D xsi:type="xsd:double"&gt;12.2559847001336&lt;/D&gt;&lt;D xsi:type="xsd:double"&gt;12.5716959487531&lt;/D&gt;&lt;D xsi:type="xsd:double"&gt;13.4286550894584&lt;/D&gt;&lt;D xsi:type="xsd:double"&gt;12.3165579992413&lt;/D&gt;&lt;D xsi:type="xsd:double"&gt;13.3886704983598&lt;/D&gt;&lt;D xsi:type="xsd:double"&gt;13.6231945826808&lt;/D&gt;&lt;D xsi:type="xsd:double"&gt;13.5161456175383&lt;/D&gt;&lt;D xsi:type="xsd:double"&gt;12.8963077603638&lt;/D&gt;&lt;D xsi:type="xsd:double"&gt;14.9883334209233&lt;/D&gt;&lt;D xsi:type="xsd:double"&gt;14.9450011024825&lt;/D&gt;&lt;D xsi:type="xsd:double"&gt;14.1901429615353&lt;/D&gt;&lt;D xsi:type="xsd:double"&gt;14.225719159309&lt;/D&gt;&lt;D xsi:type="xsd:double"&gt;13.5519300048222&lt;/D&gt;&lt;D xsi:type="xsd:double"&gt;14.2852395375029&lt;/D&gt;&lt;D xsi:type="xsd:double"&gt;14.354416422436&lt;/D&gt;&lt;D xsi:type="xsd:double"&gt;14.192204284289&lt;/D&gt;&lt;D xsi:type="xsd:double"&gt;14.057334219483&lt;/D&gt;&lt;D xsi:type="xsd:double"&gt;13.4253563579144&lt;/D&gt;&lt;D xsi:type="xsd:double"&gt;14.0457376738634&lt;/D&gt;&lt;D xsi:type="xsd:double"&gt;15.0048153169735&lt;/D&gt;&lt;D xsi:type="xsd:double"&gt;14.6920993836785&lt;/D&gt;&lt;D xsi:type="xsd:double"&gt;15.2863937325316&lt;/D&gt;&lt;D xsi:type="xsd:double"&gt;13.7244013862978&lt;/D&gt;&lt;D xsi:type="xsd:double"&gt;12.8410379803821&lt;/D&gt;&lt;D xsi:type="xsd:double"&gt;12.8286354357485&lt;/D&gt;&lt;D xsi:type="xsd:double"&gt;13.1584945133529&lt;/D&gt;&lt;D xsi:type="xsd:double"&gt;13.1813628221858&lt;/D&gt;&lt;D xsi:type="xsd:double"&gt;12.6497491391164&lt;/D&gt;&lt;D xsi:type="xsd:double"&gt;12.8062302223478&lt;/D&gt;&lt;D xsi:type="xsd:double"&gt;12.2991698517824&lt;/D&gt;&lt;D xsi:type="xsd:double"&gt;12.8707409626114&lt;/D&gt;&lt;D xsi:type="xsd:double"&gt;12.1830320458456&lt;/D&gt;&lt;D xsi:type="xsd:double"&gt;11.9399101423011&lt;/D&gt;&lt;D xsi:type="xsd:double"&gt;11.4748243072449&lt;/D&gt;&lt;D xsi:type="xsd:double"&gt;11.7839178368175&lt;/D&gt;&lt;D xsi:type="xsd:double"&gt;12.2742177536373&lt;/D&gt;&lt;D xsi:type="xsd:double"&gt;12.716658278495&lt;/D&gt;&lt;D xsi:type="xsd:double"&gt;12.2628856381935&lt;/D&gt;&lt;D xsi:type="xsd:double"&gt;12.434581211629&lt;/D&gt;&lt;D xsi:type="xsd:double"&gt;12.9037430174079&lt;/D&gt;&lt;D xsi:type="xsd:double"&gt;12.3916945349303&lt;/D&gt;&lt;D xsi:type="xsd:double"&gt;12.9453260524669&lt;/D&gt;&lt;D xsi:type="xsd:double"&gt;13.1324672720874&lt;/D&gt;&lt;D xsi:type="xsd:double"&gt;14.1530601864086&lt;/D&gt;&lt;D xsi:type="xsd:double"&gt;14.5395225567006&lt;/D&gt;&lt;D xsi:type="xsd:double"&gt;14.5784892780583&lt;/D&gt;&lt;D xsi:type="xsd:double"&gt;14.5862936997702&lt;/D&gt;&lt;D xsi:type="xsd:double"&gt;12.0296008147284&lt;/D&gt;&lt;D xsi:type="xsd:double"&gt;12.876598561993&lt;/D&gt;&lt;D xsi:type="xsd:double"&gt;14.1449657045347&lt;/D&gt;&lt;D xsi:type="xsd:double"&gt;17.6504979839216&lt;/D&gt;&lt;D xsi:type="xsd:double"&gt;17.7350886125979&lt;/D&gt;&lt;D xsi:type="xsd:double"&gt;17.5832677747004&lt;/D&gt;&lt;D xsi:type="xsd:double"&gt;17.9977515991666&lt;/D&gt;&lt;D xsi:type="xsd:double"&gt;18.2031711358787&lt;/D&gt;&lt;D xsi:type="xsd:double"&gt;18.0707466270668&lt;/D&gt;&lt;D xsi:type="xsd:double"&gt;18.4893474665629&lt;/D&gt;&lt;D xsi:type="xsd:double"&gt;18.7375314634572&lt;/D&gt;&lt;D xsi:type="xsd:double"&gt;18.9245145096557&lt;/D&gt;&lt;D xsi:type="xsd:double"&gt;17.7062542713347&lt;/D&gt;&lt;D xsi:type="xsd:double"&gt;17.4869297893671&lt;/D&gt;&lt;D xsi:type="xsd:double"&gt;16.8970069010759&lt;/D&gt;&lt;D xsi:type="xsd:double"&gt;16.5254324977473&lt;/D&gt;&lt;D xsi:type="xsd:double"&gt;15.8682688767272&lt;/D&gt;&lt;D xsi:type="xsd:double"&gt;15.6550252458521&lt;/D&gt;&lt;D xsi:type="xsd:double"&gt;15.9373305761293&lt;/D&gt;&lt;D xsi:type="xsd:double"&gt;14.9002000312575&lt;/D&gt;&lt;D xsi:type="xsd:double"&gt;15.2586813774279&lt;/D&gt;&lt;D xsi:type="xsd:double"&gt;14.6340768467254&lt;/D&gt;&lt;D xsi:type="xsd:double"&gt;14.5244171931628&lt;/D&gt;&lt;D xsi:type="xsd:double"&gt;13.9118572223357&lt;/D&gt;&lt;D xsi:type="xsd:double"&gt;12.1213804837228&lt;/D&gt;&lt;D xsi:type="xsd:double"&gt;12.8972634785552&lt;/D&gt;&lt;D xsi:type="xsd:double"&gt;12.6347739308485&lt;/D&gt;&lt;D xsi:type="xsd:double"&gt;13.1354938327407&lt;/D&gt;&lt;D xsi:type="xsd:double"&gt;12.4498846591048&lt;/D&gt;&lt;D xsi:type="xsd:double"&gt;12.72006893205&lt;/D&gt;&lt;D xsi:type="xsd:double"&gt;12.8495892528788&lt;/D&gt;&lt;D xsi:type="xsd:double"&gt;12.3295305596959&lt;/D&gt;&lt;D xsi:type="xsd:double"&gt;12.6306239516464&lt;/D&gt;&lt;D xsi:type="xsd:double"&gt;12.7500404241949&lt;/D&gt;&lt;D xsi:type="xsd:double"&gt;12.1775253613632&lt;/D&gt;&lt;D xsi:type="xsd:double"&gt;13.0233907405746&lt;/D&gt;&lt;D xsi:type="xsd:double"&gt;13.6093321430357&lt;/D&gt;&lt;D xsi:type="xsd:double"&gt;12.8988817315801&lt;/D&gt;&lt;D xsi:type="xsd:double"&gt;13.731182239566&lt;/D&gt;&lt;D xsi:type="xsd:double"&gt;14.558979443088&lt;/D&gt;&lt;D xsi:type="xsd:double"&gt;14.6106082545662&lt;/D&gt;&lt;D xsi:type="xsd:double"&gt;14.4223843411217&lt;/D&gt;&lt;D xsi:type="xsd:double"&gt;14.6725093487035&lt;/D&gt;&lt;D xsi:type="xsd:double"&gt;13.9658138732804&lt;/D&gt;&lt;D xsi:type="xsd:double"&gt;14.2157811757518&lt;/D&gt;&lt;D xsi:type="xsd:double"&gt;13.8751506742074&lt;/D&gt;&lt;D xsi:type="xsd:double"&gt;14.2463570625329&lt;/D&gt;&lt;D xsi:type="xsd:double"&gt;15.0205736678415&lt;/D&gt;&lt;D xsi:type="xsd:double"&gt;15.7484736540153&lt;/D&gt;&lt;D xsi:type="xsd:double"&gt;15.7539446740178&lt;/D&gt;&lt;D xsi:type="xsd:double"&gt;15.4346607368914&lt;/D&gt;&lt;/FQL&gt;&lt;FQL&gt;&lt;Q&gt;WL-FDS^FG_PRICE_CHANGE(0,-3AM)&lt;/Q&gt;&lt;R&gt;1&lt;/R&gt;&lt;C&gt;1&lt;/C&gt;&lt;D xsi:type="xsd:double"&gt;-13.5086401202104&lt;/D&gt;&lt;/FQL&gt;&lt;FQL&gt;&lt;Q&gt;NI-FDS^FG_PRICE_CHANGE(0,-3AM)&lt;/Q&gt;&lt;R&gt;1&lt;/R&gt;&lt;C&gt;1&lt;/C&gt;&lt;D xsi:type="xsd:double"&gt;18.4419713831478&lt;/D&gt;&lt;/FQL&gt;&lt;FQL&gt;&lt;Q&gt;BRENT-FDS^FG_PRICE_CHANGE(0,-3AM)&lt;/Q&gt;&lt;R&gt;1&lt;/R&gt;&lt;C&gt;1&lt;/C&gt;&lt;D xsi:type="xsd:double"&gt;0&lt;/D&gt;&lt;/FQL&gt;&lt;FQL&gt;&lt;Q&gt;FC0000AU^FG_PRICE(0)&lt;/Q&gt;&lt;R&gt;1&lt;/R&gt;&lt;C&gt;1&lt;/C&gt;&lt;D xsi:type="xsd:double"&gt;356.97443&lt;/D&gt;&lt;/FQL&gt;&lt;FQL&gt;&lt;Q&gt;EWN^FG_PRICE_MAVG(0,,,,200)&lt;/Q&gt;&lt;R&gt;1&lt;/R&gt;&lt;C&gt;1&lt;/C&gt;&lt;D xsi:type="xsd:double"&gt;43.71608&lt;/D&gt;&lt;/FQL&gt;&lt;FQL&gt;&lt;Q&gt;EWC^FG_PRICE_MAVG(0,,,,200)&lt;/Q&gt;&lt;R&gt;1&lt;/R&gt;&lt;C&gt;1&lt;/C&gt;&lt;D xsi:type="xsd:double"&gt;35.5183&lt;/D&gt;&lt;/FQL&gt;&lt;FQL&gt;&lt;Q&gt;EWI^FG_TOTAL_RETURNC(0,-12AM)&lt;/Q&gt;&lt;R&gt;1&lt;/R&gt;&lt;C&gt;1&lt;/C&gt;&lt;D xsi:type="xsd:double"&gt;23.965527&lt;/D&gt;&lt;/FQL&gt;&lt;FQL&gt;&lt;Q&gt;EWQ^FG_TOTAL_RETURNC(0,-1AM)&lt;/Q&gt;&lt;R&gt;1&lt;/R&gt;&lt;C&gt;1&lt;/C&gt;&lt;D xsi:type="xsd:double"&gt;2.5910616&lt;/D&gt;&lt;/FQL&gt;&lt;FQL&gt;&lt;Q&gt;ENZL^FG_TOTAL_RETURNC(0,-3AM)&lt;/Q&gt;&lt;R&gt;1&lt;/R&gt;&lt;C&gt;1&lt;/C&gt;&lt;D xsi:type="xsd:double"&gt;-2.7282476&lt;/D&gt;&lt;/FQL&gt;&lt;FQL&gt;&lt;Q&gt;EWQ^SIZE(FG_CONSTITUENTS)&lt;/Q&gt;&lt;R&gt;1&lt;/R&gt;&lt;C&gt;1&lt;/C&gt;&lt;D xsi:type="xsd:long"&gt;64&lt;/D&gt;&lt;/FQL&gt;&lt;FQL&gt;&lt;Q&gt;EWJ^FG_ROE(0)&lt;/Q&gt;&lt;R&gt;1&lt;/R&gt;&lt;C&gt;1&lt;/C&gt;&lt;D xsi:type="xsd:double"&gt;9.83541349590492&lt;/D&gt;&lt;/FQL&gt;&lt;FQL&gt;&lt;Q&gt;TRYAU10Y-FDS^FG_YIELD_NAME&lt;/Q&gt;&lt;R&gt;1&lt;/R&gt;&lt;C&gt;1&lt;/C&gt;&lt;D xsi:type="xsd:string"&gt;Australia Benchmark Bond - 10 Year&lt;/D&gt;&lt;/FQL&gt;&lt;FQL&gt;&lt;Q&gt;REFEUREFI-FDS^FG_YIELD(NOW,,,0)&lt;/Q&gt;&lt;R&gt;1&lt;/R&gt;&lt;C&gt;1&lt;/C&gt;&lt;D xsi:type="xsd:double"&gt;4.5&lt;/D&gt;&lt;/FQL&gt;&lt;FQL&gt;&lt;Q&gt;REFAUCASH-FDS^(SUBARRAY(NOT_NA(NO_REPEAT_F(FG_YIELD(NOW,-10AY,D))),0,1)-SUBARRAY(NOT_NA(NO_REPEAT_F(FG_YIELD(NOW,-10AY,D))),1,1))*100&lt;/Q&gt;&lt;R&gt;1&lt;/R&gt;&lt;C&gt;1&lt;/C&gt;&lt;D xsi:type="xsd:double"&gt;25&lt;/D&gt;&lt;/FQL&gt;&lt;FQL&gt;&lt;Q&gt;TRYUS10Y-FDS^PCTCHG(FG_YIELD(0,,,,"YTM"),FG_YIELD(-3AM,,,,"YTM"))&lt;/Q&gt;&lt;R&gt;1&lt;/R&gt;&lt;C&gt;1&lt;/C&gt;&lt;D xsi:type="xsd:double"&gt;6.8816733&lt;/D&gt;&lt;/FQL&gt;&lt;FQL&gt;&lt;Q&gt;TRYUS10Y-FDS^FG_YIELD(0,,,,"YTM")&lt;/Q&gt;&lt;R&gt;1&lt;/R&gt;&lt;C&gt;1&lt;/C&gt;&lt;D xsi:type="xsd:double"&gt;4.4575&lt;/D&gt;&lt;/FQL&gt;&lt;FQL&gt;&lt;Q&gt;TRYCH10Y-FDS^FG_YIELD(0,,,,"YTM")&lt;/Q&gt;&lt;R&gt;1&lt;/R&gt;&lt;C&gt;1&lt;/C&gt;&lt;D xsi:type="xsd:double"&gt;0.741&lt;/D&gt;&lt;/FQL&gt;&lt;FQL&gt;&lt;Q&gt;CC_US^IMF_IFS_RCPI_Q(0)&lt;/Q&gt;&lt;R&gt;1&lt;/R&gt;&lt;C&gt;1&lt;/C&gt;&lt;D xsi:type="xsd:double"&gt;3.209516&lt;/D&gt;&lt;/FQL&gt;&lt;FQL&gt;&lt;Q&gt;VGK^FMA_EVAL_EBIT(LTMA,NOW,NOW,M,"PORTAGG","MEANR")&lt;/Q&gt;&lt;R&gt;1&lt;/R&gt;&lt;C&gt;1&lt;/C&gt;&lt;D xsi:type="xsd:double"&gt;13.260949007199&lt;/D&gt;&lt;/FQL&gt;&lt;FQL&gt;&lt;Q&gt;EWD^FG_FCF_YIELD_NTM(0)&lt;/Q&gt;&lt;R&gt;1&lt;/R&gt;&lt;C&gt;1&lt;/C&gt;&lt;D xsi:type="xsd:double"&gt;5.09297201381219&lt;/D&gt;&lt;/FQL&gt;&lt;FQL&gt;&lt;Q&gt;EWQ^FMA_PE(NTMA,0,,,"PORTAGG","MEANR")&lt;/Q&gt;&lt;R&gt;1&lt;/R&gt;&lt;C&gt;1&lt;/C&gt;&lt;D xsi:type="xsd:double"&gt;14.3981260506018&lt;/D&gt;&lt;/FQL&gt;&lt;FQL&gt;&lt;Q&gt;QQQ^JULIAN(FMA_DIV_YLD(NTMA,NOW,NOW,M,"PORTAGG","MEANR").DATES)&lt;/Q&gt;&lt;R&gt;1&lt;/R&gt;&lt;C&gt;1&lt;/C&gt;&lt;D xsi:type="xsd:long"&gt;45412&lt;/D&gt;&lt;/FQL&gt;&lt;FQL&gt;&lt;Q&gt;EWC^FMA_DIV_YLD(NTMA,NOW,NOW,M,"PORTAGG","MEANR")&lt;/Q&gt;&lt;R&gt;1&lt;/R&gt;&lt;C&gt;1&lt;/C&gt;&lt;D xsi:type="xsd:double"&gt;3.14188973465838&lt;/D&gt;&lt;/FQL&gt;&lt;FQL&gt;&lt;Q&gt;ENZL^FMA_PE(LTM,0,,,"PORTAGG","MEANR")&lt;/Q&gt;&lt;R&gt;1&lt;/R&gt;&lt;C&gt;1&lt;/C&gt;&lt;D xsi:type="xsd:double"&gt;29.6404360799036&lt;/D&gt;&lt;/FQL&gt;&lt;FQL&gt;&lt;Q&gt;EWC^FG_COMPANY_NAME&lt;/Q&gt;&lt;R&gt;1&lt;/R&gt;&lt;C&gt;1&lt;/C&gt;&lt;D xsi:type="xsd:string"&gt;iShares MSCI Canada ETF&lt;/D&gt;&lt;/FQL&gt;&lt;FQL&gt;&lt;Q&gt;EWU^FMA_ROE(NTMA,-20AY,NOW,FY,"PORTAGG","MEANR")&lt;/Q&gt;&lt;R&gt;20&lt;/R&gt;&lt;C&gt;1&lt;/C&gt;&lt;D xsi:type="xsd:double"&gt;17.0013743335587&lt;/D&gt;&lt;D xsi:type="xsd:double"&gt;17.4840740170497&lt;/D&gt;&lt;D xsi:type="xsd:double"&gt;19.4425742504053&lt;/D&gt;&lt;D xsi:type="xsd:double"&gt;18.9225481633064&lt;/D&gt;&lt;D xsi:type="xsd:double"&gt;14.9735451636047&lt;/D&gt;&lt;D xsi:type="xsd:double"&gt;14.6457818658238&lt;/D&gt;&lt;D xsi:type="xsd:double"&gt;16.1542964974398&lt;/D&gt;&lt;D xsi:type="xsd:double"&gt;15.1996078376158&lt;/D&gt;&lt;D xsi:type="xsd:double"&gt;14.4781479669762&lt;/D&gt;&lt;D xsi:type="xsd:double"&gt;13.3640315886099&lt;/D&gt;&lt;D xsi:type="xsd:double"&gt;12.2326503305714&lt;/D&gt;&lt;D xsi:type="xsd:double"&gt;11.1900784012713&lt;/D&gt;&lt;D xsi:type="xsd:double"&gt;12.1967915012023&lt;/D&gt;&lt;D xsi:type="xsd:double"&gt;12.7329318595365&lt;/D&gt;&lt;D xsi:type="xsd:double"&gt;13.1887832891224&lt;/D&gt;&lt;D xsi:type="xsd:double"&gt;12.8710545012496&lt;/D&gt;&lt;D xsi:type="xsd:double"&gt;11.2050609808234&lt;/D&gt;&lt;D xsi:type="xsd:double"&gt;13.9227699470217&lt;/D&gt;&lt;D xsi:type="xsd:double"&gt;15.8587444123321&lt;/D&gt;&lt;D xsi:type="xsd:double"&gt;14.7207289002436&lt;/D&gt;&lt;/FQL&gt;&lt;FQL&gt;&lt;Q&gt;TRYMX10Y-FDS^FG_YIELD(-10AY,0,Y,,"YTM")&lt;/Q&gt;&lt;R&gt;10&lt;/R&gt;&lt;C&gt;1&lt;/C&gt;&lt;D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xsi:type="xsd:double"&gt;6.6087&lt;/D&gt;&lt;/FQL&gt;&lt;FQL&gt;&lt;Q&gt;EWA^FMA_PE(LTMA,-10AY,0,AM,"PORTAGG","MEANR")&lt;/Q&gt;&lt;R&gt;121&lt;/R&gt;&lt;C&gt;1&lt;/C&gt;&lt;D xsi:type="xsd:double"&gt;15.2140957094035&lt;/D&gt;&lt;D xsi:type="xsd:double"&gt;15.1616862008642&lt;/D&gt;&lt;D xsi:type="xsd:double"&gt;15.2409396772482&lt;/D&gt;&lt;D xsi:type="xsd:double"&gt;15.1637518846628&lt;/D&gt;&lt;D xsi:type="xsd:double"&gt;15.4482584975231&lt;/D&gt;&lt;D xsi:type="xsd:double"&gt;14.8236260259705&lt;/D&gt;&lt;D xsi:type="xsd:double"&gt;15.3197001559365&lt;/D&gt;&lt;D xsi:type="xsd:double"&gt;14.3509875987456&lt;/D&gt;&lt;D xsi:type="xsd:double"&gt;14.9696334262436&lt;/D&gt;&lt;D xsi:type="xsd:double"&gt;15.8685431190923&lt;/D&gt;&lt;D xsi:type="xsd:double"&gt;16.1609161430026&lt;/D&gt;&lt;D xsi:type="xsd:double"&gt;16.3263426398093&lt;/D&gt;&lt;D xsi:type="xsd:double"&gt;16.171792662089&lt;/D&gt;&lt;D xsi:type="xsd:double"&gt;15.8723959872118&lt;/D&gt;&lt;D xsi:type="xsd:double"&gt;15.8284103870307&lt;/D&gt;&lt;D xsi:type="xsd:double"&gt;15.8319538123132&lt;/D&gt;&lt;D xsi:type="xsd:double"&gt;15.5373932516154&lt;/D&gt;&lt;D xsi:type="xsd:double"&gt;15.7686341041972&lt;/D&gt;&lt;D xsi:type="xsd:double"&gt;15.2831430593618&lt;/D&gt;&lt;D xsi:type="xsd:double"&gt;15.2580521470911&lt;/D&gt;&lt;D xsi:type="xsd:double"&gt;14.9852778490439&lt;/D&gt;&lt;D xsi:type="xsd:double"&gt;14.7833959570743&lt;/D&gt;&lt;D xsi:type="xsd:double"&gt;15.1365248003493&lt;/D&gt;&lt;D xsi:type="xsd:double"&gt;15.0440316161878&lt;/D&gt;&lt;D xsi:type="xsd:double"&gt;15.6056988946231&lt;/D&gt;&lt;D xsi:type="xsd:double"&gt;15.8256515438331&lt;/D&gt;&lt;D xsi:type="xsd:double"&gt;15.7579605937236&lt;/D&gt;&lt;D xsi:type="xsd:double"&gt;16.5950991462665&lt;/D&gt;&lt;D xsi:type="xsd:double"&gt;16.3410469681811&lt;/D&gt;&lt;D xsi:type="xsd:double"&gt;16.8644596042812&lt;/D&gt;&lt;D xsi:type="xsd:double"&gt;16.3575322991239&lt;/D&gt;&lt;D xsi:type="xsd:double"&gt;17.4724396473507&lt;/D&gt;&lt;D xsi:type="xsd:double"&gt;18.1457838908097&lt;/D&gt;&lt;D xsi:type="xsd:double"&gt;17.5749907873108&lt;/D&gt;&lt;D xsi:type="xsd:double"&gt;17.4717205030894&lt;/D&gt;&lt;D xsi:type="xsd:double"&gt;17.3232594569932&lt;/D&gt;&lt;D xsi:type="xsd:double"&gt;17.1283179815082&lt;/D&gt;&lt;D xsi:type="xsd:double"&gt;16.7711077057384&lt;/D&gt;&lt;D xsi:type="xsd:double"&gt;16.7273129030181&lt;/D&gt;&lt;D xsi:type="xsd:double"&gt;16.8108709301772&lt;/D&gt;&lt;D xsi:type="xsd:double"&gt;16.4942940675246&lt;/D&gt;&lt;D xsi:type="xsd:double"&gt;16.4003305465996&lt;/D&gt;&lt;D xsi:type="xsd:double"&gt;16.9338952920325&lt;/D&gt;&lt;D xsi:type="xsd:double"&gt;16.579253036847&lt;/D&gt;&lt;D xsi:type="xsd:double"&gt;16.9348742726036&lt;/D&gt;&lt;D xsi:type="xsd:double"&gt;16.1209237484529&lt;/D&gt;&lt;D xsi:type="xsd:double"&gt;16.502246099838&lt;/D&gt;&lt;D xsi:type="xsd:double"&gt;16.2723393024575&lt;/D&gt;&lt;D xsi:type="xsd:double"&gt;16.3468428380779&lt;/D&gt;&lt;D xsi:type="xsd:double"&gt;16.1680603143844&lt;/D&gt;&lt;D xsi:type="xsd:double"&gt;16.3928017620743&lt;/D&gt;&lt;D xsi:type="xsd:double"&gt;16.3981840262306&lt;/D&gt;&lt;D xsi:type="xsd:double"&gt;16.0074256616399&lt;/D&gt;&lt;D xsi:type="xsd:double"&gt;15.6930484501557&lt;/D&gt;&lt;D xsi:type="xsd:double"&gt;15.4997242575337&lt;/D&gt;&lt;D xsi:type="xsd:double"&gt;14.8477124818024&lt;/D&gt;&lt;D xsi:type="xsd:double"&gt;15.0254027915738&lt;/D&gt;&lt;D xsi:type="xsd:double"&gt;15.7276475991797&lt;/D&gt;&lt;D xsi:type="xsd:double"&gt;15.9024796837006&lt;/D&gt;&lt;D xsi:type="xsd:double"&gt;15.8505241307805&lt;/D&gt;&lt;D xsi:type="xsd:double"&gt;15.8364253271513&lt;/D&gt;&lt;D xsi:type="xsd:double"&gt;16.0253484852617&lt;/D&gt;&lt;D xsi:type="xsd:double"&gt;16.2609396198629&lt;/D&gt;&lt;D xsi:type="xsd:double"&gt;16.2636799741993&lt;/D&gt;&lt;D xsi:type="xsd:double"&gt;16.6187254391309&lt;/D&gt;&lt;D xsi:type="xsd:double"&gt;16.6342125198025&lt;/D&gt;&lt;D xsi:type="xsd:double"&gt;17.467570943009&lt;/D&gt;&lt;D xsi:type="xsd:double"&gt;17.5980913232944&lt;/D&gt;&lt;D xsi:type="xsd:double"&gt;18.1051775092405&lt;/D&gt;&lt;D xsi:type="xsd:double"&gt;18.4543307310423&lt;/D&gt;&lt;D xsi:type="xsd:double"&gt;16.6414417201205&lt;/D&gt;&lt;D xsi:type="xsd:double"&gt;16.7400853802088&lt;/D&gt;&lt;D xsi:type="xsd:double"&gt;17.3381554514832&lt;/D&gt;&lt;D xsi:type="xsd:double"&gt;18.8098551463306&lt;/D&gt;&lt;D xsi:type="xsd:double"&gt;18.6052736525176&lt;/D&gt;&lt;D xsi:type="xsd:double"&gt;19.1389057506213&lt;/D&gt;&lt;D xsi:type="xsd:double"&gt;19.3972280142921&lt;/D&gt;&lt;D xsi:type="xsd:double"&gt;19.9101742863037&lt;/D&gt;&lt;D xsi:type="xsd:double"&gt;20.8709909735239&lt;/D&gt;&lt;D xsi:type="xsd:double"&gt;22.771178607185&lt;/D&gt;&lt;D xsi:type="xsd:double"&gt;23.6619447046297&lt;/D&gt;&lt;D xsi:type="xsd:double"&gt;22.978283852877&lt;/D&gt;&lt;D xsi:type="xsd:double"&gt;21.7116992062134&lt;/D&gt;&lt;D xsi:type="xsd:double"&gt;21.3121881870479&lt;/D&gt;&lt;D xsi:type="xsd:double"&gt;20.9611716476955&lt;/D&gt;&lt;D xsi:type="xsd:double"&gt;20.6828494980998&lt;/D&gt;&lt;D xsi:type="xsd:double"&gt;19.6245206930597&lt;/D&gt;&lt;D xsi:type="xsd:double"&gt;19.2922353888169&lt;/D&gt;&lt;D xsi:type="xsd:double"&gt;18.7411935579641&lt;/D&gt;&lt;D xsi:type="xsd:double"&gt;18.5511302399935&lt;/D&gt;&lt;D xsi:type="xsd:double"&gt;18.5041715036504&lt;/D&gt;&lt;D xsi:type="xsd:double"&gt;17.9145660046787&lt;/D&gt;&lt;D xsi:type="xsd:double"&gt;17.72357191728&lt;/D&gt;&lt;D xsi:type="xsd:double"&gt;16.4044063339942&lt;/D&gt;&lt;D xsi:type="xsd:double"&gt;15.6769392666925&lt;/D&gt;&lt;D xsi:type="xsd:double"&gt;15.7042078430406&lt;/D&gt;&lt;D xsi:type="xsd:double"&gt;15.1539216626814&lt;/D&gt;&lt;D xsi:type="xsd:double"&gt;14.7343751470802&lt;/D&gt;&lt;D xsi:type="xsd:double"&gt;14.1187706221358&lt;/D&gt;&lt;D xsi:type="xsd:double"&gt;14.5200040403921&lt;/D&gt;&lt;D xsi:type="xsd:double"&gt;14.1354768250674&lt;/D&gt;&lt;D xsi:type="xsd:double"&gt;13.5942256205717&lt;/D&gt;&lt;D xsi:type="xsd:double"&gt;13.7513630466322&lt;/D&gt;&lt;D xsi:type="xsd:double"&gt;14.2912873799392&lt;/D&gt;&lt;D xsi:type="xsd:double"&gt;14.1822166176844&lt;/D&gt;&lt;D xsi:type="xsd:double"&gt;14.7840792451734&lt;/D&gt;&lt;D xsi:type="xsd:double"&gt;14.2654765489933&lt;/D&gt;&lt;D xsi:type="xsd:double"&gt;14.2678494278165&lt;/D&gt;&lt;D xsi:type="xsd:double"&gt;14.3875900368775&lt;/D&gt;&lt;D xsi:type="xsd:double"&gt;14.3828880541592&lt;/D&gt;&lt;D xsi:type="xsd:double"&gt;14.4666009984728&lt;/D&gt;&lt;D xsi:type="xsd:double"&gt;15.0025338221565&lt;/D&gt;&lt;D xsi:type="xsd:double"&gt;14.937382748301&lt;/D&gt;&lt;D xsi:type="xsd:double"&gt;14.5968687520692&lt;/D&gt;&lt;D xsi:type="xsd:double"&gt;14.9474015503009&lt;/D&gt;&lt;D xsi:type="xsd:double"&gt;15.3967649470981&lt;/D&gt;&lt;D xsi:type="xsd:double"&gt;16.3041688439932&lt;/D&gt;&lt;D xsi:type="xsd:double"&gt;16.5067742385129&lt;/D&gt;&lt;D xsi:type="xsd:double"&gt;16.682284696027&lt;/D&gt;&lt;D xsi:type="xsd:double"&gt;16.6980330623603&lt;/D&gt;&lt;D xsi:type="xsd:double"&gt;16.663446151853&lt;/D&gt;&lt;/FQL&gt;&lt;FQL&gt;&lt;Q&gt;WL-FDS^FG_PRICE_CHANGE(0,-1AM)&lt;/Q&gt;&lt;R&gt;1&lt;/R&gt;&lt;C&gt;1&lt;/C&gt;&lt;D xsi:type="xsd:double"&gt;-9.22567418388267&lt;/D&gt;&lt;/FQL&gt;&lt;FQL&gt;&lt;Q&gt;NI-FDS^FG_PRICE_CHANGE(0,-1AM)&lt;/Q&gt;&lt;R&gt;1&lt;/R&gt;&lt;C&gt;1&lt;/C&gt;&lt;D xsi:type="xsd:double"&gt;4.7525309336333&lt;/D&gt;&lt;/FQL&gt;&lt;FQL&gt;&lt;Q&gt;CPALM-FDS^FG_PRICE_CHANGE(0,-1AM)&lt;/Q&gt;&lt;R&gt;1&lt;/R&gt;&lt;C&gt;1&lt;/C&gt;&lt;D xsi:type="xsd:double"&gt;-13.1503210095196&lt;/D&gt;&lt;/FQL&gt;&lt;FQL&gt;&lt;Q&gt;BRENT-FDS^FG_PRICE_CHANGE(0,-1AM)&lt;/Q&gt;&lt;R&gt;1&lt;/R&gt;&lt;C&gt;1&lt;/C&gt;&lt;D xsi:type="xsd:double"&gt;0&lt;/D&gt;&lt;/FQL&gt;&lt;FQL&gt;&lt;Q&gt;TIOS-FDS^FG_PRICE_CHANGE(0,-1AM)&lt;/Q&gt;&lt;R&gt;1&lt;/R&gt;&lt;C&gt;1&lt;/C&gt;&lt;D xsi:type="xsd:double"&gt;11.7511741589188&lt;/D&gt;&lt;/FQL&gt;&lt;FQL&gt;&lt;Q&gt;SPY^FG_COMPANY_NAME&lt;/Q&gt;&lt;R&gt;1&lt;/R&gt;&lt;C&gt;1&lt;/C&gt;&lt;D xsi:type="xsd:string"&gt;SPDR S&amp;amp;P 500 ETF Trust&lt;/D&gt;&lt;/FQL&gt;&lt;FQL&gt;&lt;Q&gt;EWJ^FG_TOTAL_RETURNC(0,-1AM)&lt;/Q&gt;&lt;R&gt;1&lt;/R&gt;&lt;C&gt;1&lt;/C&gt;&lt;D xsi:type="xsd:double"&gt;-3.0363321&lt;/D&gt;&lt;/FQL&gt;&lt;FQL&gt;&lt;Q&gt;VWO^FG_TOTAL_RETURNC(0,-6AM)&lt;/Q&gt;&lt;R&gt;1&lt;/R&gt;&lt;C&gt;1&lt;/C&gt;&lt;D xsi:type="xsd:double"&gt;13.3830185&lt;/D&gt;&lt;/FQL&gt;&lt;FQL&gt;&lt;Q&gt;EWI^P_PRICE(0)/P_PRICE_LOW_PR(0,,,,,,"PRICE","INTRA","52W")-1&lt;/Q&gt;&lt;R&gt;1&lt;/R&gt;&lt;C&gt;1&lt;/C&gt;&lt;D xsi:type="xsd:double"&gt;0.30587626&lt;/D&gt;&lt;/FQL&gt;&lt;FQL&gt;&lt;Q&gt;EWQ^PERCENT_CHANGE(FMA_EPS(+1,0,,,,"PORTAGG","MEAN"),FMA_EPS(+1,-3AM,,,,"PORTAGG","MEAN"))&lt;/Q&gt;&lt;R&gt;1&lt;/R&gt;&lt;C&gt;1&lt;/C&gt;&lt;D xsi:type="xsd:double"&gt;-1.36655246483517&lt;/D&gt;&lt;/FQL&gt;&lt;FQL&gt;&lt;Q&gt;QQQ^FG_TOTAL_RETURNC(0,-3AM)&lt;/Q&gt;&lt;R&gt;1&lt;/R&gt;&lt;C&gt;1&lt;/C&gt;&lt;D xsi:type="xsd:double"&gt;1.0406375&lt;/D&gt;&lt;/FQL&gt;&lt;FQL&gt;&lt;Q&gt;EWG^FG_TOTAL_RETURNC(0,-12AM)&lt;/Q&gt;&lt;R&gt;1&lt;/R&gt;&lt;C&gt;1&lt;/C&gt;&lt;D xsi:type="xsd:double"&gt;12.660933&lt;/D&gt;&lt;/FQL&gt;&lt;FQL&gt;&lt;Q&gt;ENZL^FG_TOTAL_RETURNC(0,-1AM)&lt;/Q&gt;&lt;R&gt;1&lt;/R&gt;&lt;C&gt;1&lt;/C&gt;&lt;D xsi:type="xsd:double"&gt;-0.68085194&lt;/D&gt;&lt;/FQL&gt;&lt;FQL&gt;&lt;Q&gt;VWO^SIZE(FG_CONSTITUENTS)&lt;/Q&gt;&lt;R&gt;1&lt;/R&gt;&lt;C&gt;1&lt;/C&gt;&lt;D xsi:type="xsd:long"&gt;1&lt;/D&gt;&lt;/FQL&gt;&lt;FQL&gt;&lt;Q&gt;REFEUREFI-FDS^PROPER_NAME(0,,,"SECURITY","NAME")&lt;/Q&gt;&lt;R&gt;1&lt;/R&gt;&lt;C&gt;1&lt;/C&gt;&lt;D xsi:type="xsd:string"&gt;Eurozone Main Refinancing Operations Minimum Bid Rate&lt;/D&gt;&lt;/FQL&gt;&lt;FQL&gt;&lt;Q&gt;TRYUS10Y-FDS^FG_YIELD_NAME&lt;/Q&gt;&lt;R&gt;1&lt;/R&gt;&lt;C&gt;1&lt;/C&gt;&lt;D xsi:type="xsd:string"&gt;US Benchmark Bond - 10 Year&lt;/D&gt;&lt;/FQL&gt;&lt;FQL&gt;&lt;Q&gt;EWQ^FMA_PE(LTM,0,,,"PORTAGG","MEANR")&lt;/Q&gt;&lt;R&gt;1&lt;/R&gt;&lt;C&gt;1&lt;/C&gt;&lt;D xsi:type="xsd:double"&gt;16.4623496326959&lt;/D&gt;&lt;/FQL&gt;&lt;FQL&gt;&lt;Q&gt;EWJ^FG_FCF_YIELD_NTM(0)&lt;/Q&gt;&lt;R&gt;1&lt;/R&gt;&lt;C&gt;1&lt;/C&gt;&lt;D xsi:type="xsd:double"&gt;4.10562164085355&lt;/D&gt;&lt;/FQL&gt;&lt;FQL&gt;&lt;Q&gt;CAGDPY@GB^EE_ACTUAL_ANNUAL(MED,+1)&lt;/Q&gt;&lt;R&gt;1&lt;/R&gt;&lt;C&gt;1&lt;/C&gt;&lt;D xsi:type="xsd:double"&gt;-2.9&lt;/D&gt;&lt;/FQL&gt;&lt;FQL&gt;&lt;Q&gt;CC_GB^FG_COMPANY_NAME&lt;/Q&gt;&lt;R&gt;1&lt;/R&gt;&lt;C&gt;1&lt;/C&gt;&lt;D xsi:type="xsd:string"&gt;United Kingdom&lt;/D&gt;&lt;/FQL&gt;&lt;FQL&gt;&lt;Q&gt;USDSEK^STD(FG_PRICE_CHANGE(0,-1AY,AM))&lt;/Q&gt;&lt;R&gt;1&lt;/R&gt;&lt;C&gt;1&lt;/C&gt;&lt;D xsi:type="xsd:double"&gt;3.00570696779611&lt;/D&gt;&lt;/FQL&gt;&lt;FQL&gt;&lt;Q&gt;USDCHF^STD(FG_PRICE_CHANGE(0,-1AY,AM))&lt;/Q&gt;&lt;R&gt;1&lt;/R&gt;&lt;C&gt;1&lt;/C&gt;&lt;D xsi:type="xsd:double"&gt;1.96805922484328&lt;/D&gt;&lt;/FQL&gt;&lt;FQL&gt;&lt;Q&gt;USDUSD^STD(FG_PRICE_CHANGE(0,-1AY,AM))&lt;/Q&gt;&lt;R&gt;1&lt;/R&gt;&lt;C&gt;1&lt;/C&gt;&lt;D xsi:type="xsd:double"&gt;0&lt;/D&gt;&lt;/FQL&gt;&lt;FQL&gt;&lt;Q&gt;USDEUR^STD(FG_PRICE_CHANGE(0,-1AY,AM))&lt;/Q&gt;&lt;R&gt;1&lt;/R&gt;&lt;C&gt;1&lt;/C&gt;&lt;D xsi:type="xsd:double"&gt;1.45636759639426&lt;/D&gt;&lt;/FQL&gt;&lt;FQL&gt;&lt;Q&gt;USDAUD^STD(FG_PRICE_CHANGE(0,-1AY,AM))&lt;/Q&gt;&lt;R&gt;1&lt;/R&gt;&lt;C&gt;1&lt;/C&gt;&lt;D xsi:type="xsd:double"&gt;1.60927750022522&lt;/D&gt;&lt;/FQL&gt;&lt;FQL&gt;&lt;Q&gt;EWD^FMA_EPS(NTMA,-20AY,0,CY,,"PORTAGG","MEANR")&lt;/Q&gt;&lt;R&gt;20&lt;/R&gt;&lt;C&gt;1&lt;/C&gt;&lt;D xsi:type="xsd:double"&gt;1.55275820794805&lt;/D&gt;&lt;D xsi:type="xsd:double"&gt;1.54581744522321&lt;/D&gt;&lt;D xsi:type="xsd:double"&gt;2.18886161040082&lt;/D&gt;&lt;D xsi:type="xsd:double"&gt;2.54439610565031&lt;/D&gt;&lt;D xsi:type="xsd:double"&gt;1.55027933568846&lt;/D&gt;&lt;D xsi:type="xsd:double"&gt;1.36361799599867&lt;/D&gt;&lt;D xsi:type="xsd:double"&gt;2.27207932583515&lt;/D&gt;&lt;D xsi:type="xsd:double"&gt;2.18253517023992&lt;/D&gt;&lt;D xsi:type="xsd:double"&gt;2.32063293486455&lt;/D&gt;&lt;D xsi:type="xsd:double"&gt;2.31545066006368&lt;/D&gt;&lt;D xsi:type="xsd:double"&gt;2.02872425818202&lt;/D&gt;&lt;D xsi:type="xsd:double"&gt;1.94857888922314&lt;/D&gt;&lt;D xsi:type="xsd:double"&gt;1.75138174890933&lt;/D&gt;&lt;D xsi:type="xsd:double"&gt;2.10390186893761&lt;/D&gt;&lt;D xsi:type="xsd:double"&gt;2.115438961001&lt;/D&gt;&lt;D xsi:type="xsd:double"&gt;2.04500090501156&lt;/D&gt;&lt;D xsi:type="xsd:double"&gt;2.21381527791346&lt;/D&gt;&lt;D xsi:type="xsd:double"&gt;2.48981565223205&lt;/D&gt;&lt;D xsi:type="xsd:double"&gt;2.56419574366016&lt;/D&gt;&lt;D xsi:type="xsd:double"&gt;2.49567304906309&lt;/D&gt;&lt;/FQL&gt;&lt;FQL&gt;&lt;Q&gt;EWQ^P_PRICE_RETURNS_PR('52W',2,-10AY,0,AM)&lt;/Q&gt;&lt;R&gt;121&lt;/R&gt;&lt;C&gt;1&lt;/C&gt;&lt;D xsi:type="xsd:double"&gt;23.2633&lt;/D&gt;&lt;D xsi:type="xsd:double"&gt;25.32959&lt;/D&gt;&lt;D xsi:type="xsd:double"&gt;23.994839&lt;/D&gt;&lt;D xsi:type="xsd:double"&gt;5.250931&lt;/D&gt;&lt;D xsi:type="xsd:double"&gt;9.589982&lt;/D&gt;&lt;D xsi:type="xsd:double"&gt;-4.8003616&lt;/D&gt;&lt;D xsi:type="xsd:double"&gt;-5.524075&lt;/D&gt;&lt;D xsi:type="xsd:double"&gt;-3.4610152&lt;/D&gt;&lt;D xsi:type="xsd:double"&gt;-11.251509&lt;/D&gt;&lt;D xsi:type="xsd:double"&gt;-6.2252164&lt;/D&gt;&lt;D xsi:type="xsd:double"&gt;-9.077978&lt;/D&gt;&lt;D xsi:type="xsd:double"&gt;-7.4484644&lt;/D&gt;&lt;D xsi:type="xsd:double"&gt;-5.5715857&lt;/D&gt;&lt;D xsi:type="xsd:double"&gt;-10.333472&lt;/D&gt;&lt;D xsi:type="xsd:double"&gt;-10.130655&lt;/D&gt;&lt;D xsi:type="xsd:double"&gt;5.0729394&lt;/D&gt;&lt;D xsi:type="xsd:double"&gt;-7.8691664&lt;/D&gt;&lt;D xsi:type="xsd:double"&gt;6.060374&lt;/D&gt;&lt;D xsi:type="xsd:double"&gt;3.8184762&lt;/D&gt;&lt;D xsi:type="xsd:double"&gt;-2.0755112&lt;/D&gt;&lt;D xsi:type="xsd:double"&gt;-3.585267&lt;/D&gt;&lt;D xsi:type="xsd:double"&gt;-11.245852&lt;/D&gt;&lt;D xsi:type="xsd:double"&gt;-6.9511595&lt;/D&gt;&lt;D xsi:type="xsd:double"&gt;-9.249199&lt;/D&gt;&lt;D xsi:type="xsd:double"&gt;-10.390705&lt;/D&gt;&lt;D xsi:type="xsd:double"&gt;-5.2589893&lt;/D&gt;&lt;D xsi:type="xsd:double"&gt;-6.3892245&lt;/D&gt;&lt;D xsi:type="xsd:double"&gt;-9.567076&lt;/D&gt;&lt;D xsi:type="xsd:double"&gt;0.49573183&lt;/D&gt;&lt;D xsi:type="xsd:double"&gt;-2.8719187&lt;/D&gt;&lt;D xsi:type="xsd:double"&gt;-2.6697397&lt;/D&gt;&lt;D xsi:type="xsd:double"&gt;2.5731921&lt;/D&gt;&lt;D xsi:type="xsd:double"&gt;13.01049&lt;/D&gt;&lt;D xsi:type="xsd:double"&gt;16.60465&lt;/D&gt;&lt;D xsi:type="xsd:double"&gt;11.431146&lt;/D&gt;&lt;D xsi:type="xsd:double"&gt;16.426563&lt;/D&gt;&lt;D xsi:type="xsd:double"&gt;22.446465&lt;/D&gt;&lt;D xsi:type="xsd:double"&gt;22.35366&lt;/D&gt;&lt;D xsi:type="xsd:double"&gt;33.53685&lt;/D&gt;&lt;D xsi:type="xsd:double"&gt;27.061451&lt;/D&gt;&lt;D xsi:type="xsd:double"&gt;24.966372&lt;/D&gt;&lt;D xsi:type="xsd:double"&gt;31.12476&lt;/D&gt;&lt;D xsi:type="xsd:double"&gt;30.597889&lt;/D&gt;&lt;D xsi:type="xsd:double"&gt;31.001068&lt;/D&gt;&lt;D xsi:type="xsd:double"&gt;32.244373&lt;/D&gt;&lt;D xsi:type="xsd:double"&gt;25.613749&lt;/D&gt;&lt;D xsi:type="xsd:double"&gt;28.06828&lt;/D&gt;&lt;D xsi:type="xsd:double"&gt;23.271965&lt;/D&gt;&lt;D xsi:type="xsd:double"&gt;15.307367&lt;/D&gt;&lt;D xsi:type="xsd:double"&gt;12.005782&lt;/D&gt;&lt;D xsi:type="xsd:double"&gt;11.779701&lt;/D&gt;&lt;D xsi:type="xsd:double"&gt;7.990408&lt;/D&gt;&lt;D xsi:type="xsd:double"&gt;1.9240141&lt;/D&gt;&lt;D xsi:type="xsd:double"&gt;0.10905266&lt;/D&gt;&lt;D xsi:type="xsd:double"&gt;-4.584712&lt;/D&gt;&lt;D xsi:type="xsd:double"&gt;-11.225456&lt;/D&gt;&lt;D xsi:type="xsd:double"&gt;-13.122058&lt;/D&gt;&lt;D xsi:type="xsd:double"&gt;-7.1420727&lt;/D&gt;&lt;D xsi:type="xsd:double"&gt;-6.4367175&lt;/D&gt;&lt;D xsi:type="xsd:double"&gt;-3.4800172&lt;/D&gt;&lt;D xsi:type="xsd:double"&gt;-6.087965&lt;/D&gt;&lt;D xsi:type="xsd:double"&gt;-3.1906545&lt;/D&gt;&lt;D xsi:type="xsd:double"&gt;0.19148588&lt;/D&gt;&lt;D xsi:type="xsd:double"&gt;-3.6295772&lt;/D&gt;&lt;D xsi:type="xsd:double"&gt;3.2252192&lt;/D&gt;&lt;D xsi:type="xsd:double"&gt;0.59554577&lt;/D&gt;&lt;D xsi:type="xsd:double"&gt;13.088882&lt;/D&gt;&lt;D xsi:type="xsd:double"&gt;19.779348&lt;/D&gt;&lt;D xsi:type="xsd:double"&gt;22.622013&lt;/D&gt;&lt;D xsi:type="xsd:double"&gt;18.636204&lt;/D&gt;&lt;D xsi:type="xsd:double"&gt;-8.3788395&lt;/D&gt;&lt;D xsi:type="xsd:double"&gt;-16.645605&lt;/D&gt;&lt;D xsi:type="xsd:double"&gt;-16.311407&lt;/D&gt;&lt;D xsi:type="xsd:double"&gt;-3.129971&lt;/D&gt;&lt;D xsi:type="xsd:double"&gt;-8.822203&lt;/D&gt;&lt;D xsi:type="xsd:double"&gt;-0.27852654&lt;/D&gt;&lt;D xsi:type="xsd:double"&gt;-1.3104856&lt;/D&gt;&lt;D xsi:type="xsd:double"&gt;-0.4329145&lt;/D&gt;&lt;D xsi:type="xsd:double"&gt;-1.7431259&lt;/D&gt;&lt;D xsi:type="xsd:double"&gt;6.4465523&lt;/D&gt;&lt;D xsi:type="xsd:double"&gt;6.790054&lt;/D&gt;&lt;D xsi:type="xsd:double"&gt;6.957698&lt;/D&gt;&lt;D xsi:type="xsd:double"&gt;35.29855&lt;/D&gt;&lt;D xsi:type="xsd:double"&gt;49.79892&lt;/D&gt;&lt;D xsi:type="xsd:double"&gt;61.42917&lt;/D&gt;&lt;D xsi:type="xsd:double"&gt;39.715862&lt;/D&gt;&lt;D xsi:type="xsd:double"&gt;39.72875&lt;/D&gt;&lt;D xsi:type="xsd:double"&gt;37.896896&lt;/D&gt;&lt;D xsi:type="xsd:double"&gt;33.87983&lt;/D&gt;&lt;D xsi:type="xsd:double"&gt;32.328487&lt;/D&gt;&lt;D xsi:type="xsd:double"&gt;33.163116&lt;/D&gt;&lt;D xsi:type="xsd:double"&gt;19.06395&lt;/D&gt;&lt;D xsi:type="xsd:double"&gt;19.343817&lt;/D&gt;&lt;D xsi:type="xsd:double"&gt;19.2819&lt;/D&gt;&lt;D xsi:type="xsd:double"&gt;1.3637066&lt;/D&gt;&lt;D xsi:type="xsd:double"&gt;-1.3968766&lt;/D&gt;&lt;D xsi:type="xsd:double"&gt;-14.549703&lt;/D&gt;&lt;D xsi:type="xsd:double"&gt;-12.90484&lt;/D&gt;&lt;D xsi:type="xsd:double"&gt;-15.783858&lt;/D&gt;&lt;D xsi:type="xsd:double"&gt;-13.482761&lt;/D&gt;&lt;D xsi:type="xsd:double"&gt;-17.54331&lt;/D&gt;&lt;D xsi:type="xsd:double"&gt;-23.09717&lt;/D&gt;&lt;D xsi:type="xsd:double"&gt;-19.736135&lt;/D&gt;&lt;D xsi:type="xsd:double"&gt;-8.508194&lt;/D&gt;&lt;D xsi:type="xsd:double"&gt;-7.7538133&lt;/D&gt;&lt;D xsi:type="xsd:double"&gt;-3.1233728&lt;/D&gt;&lt;D xsi:type="xsd:double"&gt;11.181688&lt;/D&gt;&lt;D xsi:type="xsd:double"&gt;15.747368&lt;/D&gt;&lt;D xsi:type="xsd:double"&gt;28.043163&lt;/D&gt;&lt;D xsi:type="xsd:double"&gt;17.667925&lt;/D&gt;&lt;D xsi:type="xsd:double"&gt;29.053843&lt;/D&gt;&lt;D xsi:type="xsd:double"&gt;23.118818&lt;/D&gt;&lt;D xsi:type="xsd:double"&gt;27.994287&lt;/D&gt;&lt;D xsi:type="xsd:double"&gt;32.08065&lt;/D&gt;&lt;D xsi:type="xsd:double"&gt;19.025112&lt;/D&gt;&lt;D xsi:type="xsd:double"&gt;16.570997&lt;/D&gt;&lt;D xsi:type="xsd:double"&gt;11.508346&lt;/D&gt;&lt;D xsi:type="xsd:double"&gt;8.98918&lt;/D&gt;&lt;D xsi:type="xsd:double"&gt;14.646471&lt;/D&gt;&lt;D xsi:type="xsd:double"&gt;10.230446&lt;/D&gt;&lt;D xsi:type="xsd:double"&gt;10.737848&lt;/D&gt;&lt;/FQL&gt;&lt;FQL&gt;&lt;Q&gt;QQQ^FG_TOTAL_RETURNC(-10AY,0,AM)&lt;/Q&gt;&lt;R&gt;121&lt;/R&gt;&lt;C&gt;1&lt;/C&gt;&lt;D xsi:type="xsd:double"&gt;-1.1614621&lt;/D&gt;&lt;D xsi:type="xsd:double"&gt;6.854832&lt;/D&gt;&lt;D xsi:type="xsd:double"&gt;2.6576638&lt;/D&gt;&lt;D xsi:type="xsd:double"&gt;-0.06318092&lt;/D&gt;&lt;D xsi:type="xsd:double"&gt;4.583776&lt;/D&gt;&lt;D xsi:type="xsd:double"&gt;-2.175939&lt;/D&gt;&lt;D xsi:type="xsd:double"&gt;4.8936605&lt;/D&gt;&lt;D xsi:type="xsd:double"&gt;3.3070922&lt;/D&gt;&lt;D xsi:type="xsd:double"&gt;-1.866889&lt;/D&gt;&lt;D xsi:type="xsd:double"&gt;0.17540455&lt;/D&gt;&lt;D xsi:type="xsd:double"&gt;4.7859907&lt;/D&gt;&lt;D xsi:type="xsd:double"&gt;-0.15292168&lt;/D&gt;&lt;D xsi:type="xsd:double"&gt;1.285994&lt;/D&gt;&lt;D xsi:type="xsd:double"&gt;-0.6256342&lt;/D&gt;&lt;D xsi:type="xsd:double"&gt;-1.6061246&lt;/D&gt;&lt;D xsi:type="xsd:double"&gt;4.0365934&lt;/D&gt;&lt;D xsi:type="xsd:double"&gt;-5.847156&lt;/D&gt;&lt;D xsi:type="xsd:double"&gt;2.823937&lt;/D&gt;&lt;D xsi:type="xsd:double"&gt;6.6084623&lt;/D&gt;&lt;D xsi:type="xsd:double"&gt;-0.5987525&lt;/D&gt;&lt;D xsi:type="xsd:double"&gt;-7.5788855999999996&lt;/D&gt;&lt;D xsi:type="xsd:</t>
        </r>
      </text>
    </comment>
    <comment ref="A7" authorId="0" shapeId="0" xr:uid="{EBEDC3DC-9DAB-410C-9114-8E25AA6B3676}">
      <text>
        <r>
          <rPr>
            <b/>
            <sz val="9"/>
            <color indexed="81"/>
            <rFont val="Tahoma"/>
            <charset val="1"/>
          </rPr>
          <t>double"&gt;-7.3935213&lt;/D&gt;&lt;D xsi:type="xsd:double"&gt;8.824754&lt;/D&gt;&lt;D xsi:type="xsd:double"&gt;4.2955637&lt;/D&gt;&lt;D xsi:type="xsd:double"&gt;-2.862388&lt;/D&gt;&lt;D xsi:type="xsd:double"&gt;4.0706515&lt;/D&gt;&lt;D xsi:type="xsd:double"&gt;0.36927462&lt;/D&gt;&lt;D xsi:type="xsd:double"&gt;6.0018063&lt;/D&gt;&lt;D xsi:type="xsd:double"&gt;-2.257955&lt;/D&gt;&lt;D xsi:type="xsd:double"&gt;3.9261699&lt;/D&gt;&lt;D xsi:type="xsd:double"&gt;-0.69215894&lt;/D&gt;&lt;D xsi:type="xsd:double"&gt;1.572454&lt;/D&gt;&lt;D xsi:type="xsd:double"&gt;2.6720047&lt;/D&gt;&lt;D xsi:type="xsd:double"&gt;3.7848473&lt;/D&gt;&lt;D xsi:type="xsd:double"&gt;3.0560732&lt;/D&gt;&lt;D xsi:type="xsd:double"&gt;1.0736346&lt;/D&gt;&lt;D xsi:type="xsd:double"&gt;4.811704&lt;/D&gt;&lt;D xsi:type="xsd:double"&gt;1.2001038&lt;/D&gt;&lt;D xsi:type="xsd:double"&gt;-1.3163686&lt;/D&gt;&lt;D xsi:type="xsd:double"&gt;4.6167254&lt;/D&gt;&lt;D xsi:type="xsd:double"&gt;0.062453747&lt;/D&gt;&lt;D xsi:type="xsd:double"&gt;2.498889&lt;/D&gt;&lt;D xsi:type="xsd:double"&gt;4.203677&lt;/D&gt;&lt;D xsi:type="xsd:double"&gt;0.65716505&lt;/D&gt;&lt;D xsi:type="xsd:double"&gt;5.299008&lt;/D&gt;&lt;D xsi:type="xsd:double"&gt;-3.9739132&lt;/D&gt;&lt;D xsi:type="xsd:double"&gt;10.928893&lt;/D&gt;&lt;D xsi:type="xsd:double"&gt;-8.760082&lt;/D&gt;&lt;D xsi:type="xsd:double"&gt;6.4350486&lt;/D&gt;&lt;D xsi:type="xsd:double"&gt;3.9075494&lt;/D&gt;&lt;D xsi:type="xsd:double"&gt;1.7942309&lt;/D&gt;&lt;D xsi:type="xsd:double"&gt;2.663803&lt;/D&gt;&lt;D xsi:type="xsd:double"&gt;-0.43978095&lt;/D&gt;&lt;D xsi:type="xsd:double"&gt;-0.63933134&lt;/D&gt;&lt;D xsi:type="xsd:double"&gt;-4.5148373&lt;/D&gt;&lt;D xsi:type="xsd:double"&gt;-5.911845&lt;/D&gt;&lt;D xsi:type="xsd:double"&gt;-0.05491376&lt;/D&gt;&lt;D xsi:type="xsd:double"&gt;4.8128247&lt;/D&gt;&lt;D xsi:type="xsd:double"&gt;1.5484095&lt;/D&gt;&lt;D xsi:type="xsd:double"&gt;7.971692&lt;/D&gt;&lt;D xsi:type="xsd:double"&gt;0.15720129&lt;/D&gt;&lt;D xsi:type="xsd:double"&gt;-2.0187318&lt;/D&gt;&lt;D xsi:type="xsd:double"&gt;5.5463433&lt;/D&gt;&lt;D xsi:type="xsd:double"&gt;-2.1871388&lt;/D&gt;&lt;D xsi:type="xsd:double"&gt;2.5202394&lt;/D&gt;&lt;D xsi:type="xsd:double"&gt;-1.8737674&lt;/D&gt;&lt;D xsi:type="xsd:double"&gt;7.4774384&lt;/D&gt;&lt;D xsi:type="xsd:double"&gt;1.4113307&lt;/D&gt;&lt;D xsi:type="xsd:double"&gt;7.543075&lt;/D&gt;&lt;D xsi:type="xsd:double"&gt;4.662311&lt;/D&gt;&lt;D xsi:type="xsd:double"&gt;-15.545368&lt;/D&gt;&lt;D xsi:type="xsd:double"&gt;3.9868593&lt;/D&gt;&lt;D xsi:type="xsd:double"&gt;11.948622&lt;/D&gt;&lt;D xsi:type="xsd:double"&gt;8.200657&lt;/D&gt;&lt;D xsi:type="xsd:double"&gt;7.9452515&lt;/D&gt;&lt;D xsi:type="xsd:double"&gt;3.543365&lt;/D&gt;&lt;D xsi:type="xsd:double"&gt;2.3612142&lt;/D&gt;&lt;D xsi:type="xsd:double"&gt;2.9669762&lt;/D&gt;&lt;D xsi:type="xsd:double"&gt;1.0080218&lt;/D&gt;&lt;D xsi:type="xsd:double"&gt;4.4076324&lt;/D&gt;&lt;D xsi:type="xsd:double"&gt;6.0733795&lt;/D&gt;&lt;D xsi:type="xsd:double"&gt;4.5387626&lt;/D&gt;&lt;D xsi:type="xsd:double"&gt;-6.518549&lt;/D&gt;&lt;D xsi:type="xsd:double"&gt;8.261728&lt;/D&gt;&lt;D xsi:type="xsd:double"&gt;-0.86321235&lt;/D&gt;&lt;D xsi:type="xsd:double"&gt;0.78994036&lt;/D&gt;&lt;D xsi:type="xsd:double"&gt;7.299018&lt;/D&gt;&lt;D xsi:type="xsd:double"&gt;2.1384478&lt;/D&gt;&lt;D xsi:type="xsd:double"&gt;2.9127002&lt;/D&gt;&lt;D xsi:type="xsd:double"&gt;-4.7174273&lt;/D&gt;&lt;D xsi:type="xsd:double"&gt;9.45841&lt;/D&gt;&lt;D xsi:type="xsd:double"&gt;-0.40220618&lt;/D&gt;&lt;D xsi:type="xsd:double"&gt;-3.398186&lt;/D&gt;&lt;D xsi:type="xsd:double"&gt;-3.456533&lt;/D&gt;&lt;D xsi:type="xsd:double"&gt;-8.654875&lt;/D&gt;&lt;D xsi:type="xsd:double"&gt;4.35611&lt;/D&gt;&lt;D xsi:type="xsd:double"&gt;-14.8933115&lt;/D&gt;&lt;D xsi:type="xsd:double"&gt;0.75719357&lt;/D&gt;&lt;D xsi:type="xsd:double"&gt;-1.1676073&lt;/D&gt;&lt;D xsi:type="xsd:double"&gt;7.357371&lt;/D&gt;&lt;D xsi:type="xsd:double"&gt;-3.150624&lt;/D&gt;&lt;D xsi:type="xsd:double"&gt;-12.21484&lt;/D&gt;&lt;D xsi:type="xsd:double"&gt;-2.147901&lt;/D&gt;&lt;D xsi:type="xsd:double"&gt;7.109225&lt;/D&gt;&lt;D xsi:type="xsd:double"&gt;-3.8443804&lt;/D&gt;&lt;D xsi:type="xsd:double"&gt;11.510301&lt;/D&gt;&lt;D xsi:type="xsd:double"&gt;-2.989918&lt;/D&gt;&lt;D xsi:type="xsd:double"&gt;8.843315&lt;/D&gt;&lt;D xsi:type="xsd:double"&gt;1.128757&lt;/D&gt;&lt;D xsi:type="xsd:double"&gt;10.216391&lt;/D&gt;&lt;D xsi:type="xsd:double"&gt;3.4536123&lt;/D&gt;&lt;D xsi:type="xsd:double"&gt;0.45598745&lt;/D&gt;&lt;D xsi:type="xsd:double"&gt;1.2693286&lt;/D&gt;&lt;D xsi:type="xsd:double"&gt;-1.4736116&lt;/D&gt;&lt;D xsi:type="xsd:double"&gt;0.9575486&lt;/D&gt;&lt;D xsi:type="xsd:double"&gt;5.971849&lt;/D&gt;&lt;D xsi:type="xsd:double"&gt;3.7225842&lt;/D&gt;&lt;D xsi:type="xsd:double"&gt;7.7141047&lt;/D&gt;&lt;D xsi:type="xsd:double"&gt;0.45075417&lt;/D&gt;&lt;D xsi:type="xsd:double"&gt;0.8632183&lt;/D&gt;&lt;D xsi:type="xsd:double"&gt;-0.27362108&lt;/D&gt;&lt;/FQL&gt;&lt;FQL&gt;&lt;Q&gt;EWL^FMA_DIV_YLD(NTMA,-10AY,0,AM,"PORTAGG","MEANR")&lt;/Q&gt;&lt;R&gt;121&lt;/R&gt;&lt;C&gt;1&lt;/C&gt;&lt;D xsi:type="xsd:double"&gt;3.20573738718015&lt;/D&gt;&lt;D xsi:type="xsd:double"&gt;3.21981143989483&lt;/D&gt;&lt;D xsi:type="xsd:double"&gt;3.33511138419283&lt;/D&gt;&lt;D xsi:type="xsd:double"&gt;3.451692122438&lt;/D&gt;&lt;D xsi:type="xsd:double"&gt;3.27894775641933&lt;/D&gt;&lt;D xsi:type="xsd:double"&gt;3.45710065411212&lt;/D&gt;&lt;D xsi:type="xsd:double"&gt;3.32855367803876&lt;/D&gt;&lt;D xsi:type="xsd:double"&gt;3.26398666921325&lt;/D&gt;&lt;D xsi:type="xsd:double"&gt;3.29647717954121&lt;/D&gt;&lt;D xsi:type="xsd:double"&gt;3.28470788773299&lt;/D&gt;&lt;D xsi:type="xsd:double"&gt;3.19127286031733&lt;/D&gt;&lt;D xsi:type="xsd:double"&gt;3.04290324794647&lt;/D&gt;&lt;D xsi:type="xsd:double"&gt;3.11886578770728&lt;/D&gt;&lt;D xsi:type="xsd:double"&gt;3.19964893802709&lt;/D&gt;&lt;D xsi:type="xsd:double"&gt;3.24470626352703&lt;/D&gt;&lt;D xsi:type="xsd:double"&gt;3.12673421383482&lt;/D&gt;&lt;D xsi:type="xsd:double"&gt;3.3158924085081&lt;/D&gt;&lt;D xsi:type="xsd:double"&gt;3.34018456735464&lt;/D&gt;&lt;D xsi:type="xsd:double"&gt;3.27250380526399&lt;/D&gt;&lt;D xsi:type="xsd:double"&gt;3.3324241399519&lt;/D&gt;&lt;D xsi:type="xsd:double"&gt;3.48936491368698&lt;/D&gt;&lt;D xsi:type="xsd:double"&gt;3.66889068341432&lt;/D&gt;&lt;D xsi:type="xsd:double"&gt;3.49495510085252&lt;/D&gt;&lt;D xsi:type="xsd:double"&gt;3.53921875150355&lt;/D&gt;&lt;D xsi:type="xsd:double"&gt;3.57860807979232&lt;/D&gt;&lt;D xsi:type="xsd:double"&gt;3.48478317544096&lt;/D&gt;&lt;D xsi:type="xsd:double"&gt;3.56238703219561&lt;/D&gt;&lt;D xsi:type="xsd:double"&gt;3.45585411244767&lt;/D&gt;&lt;D xsi:type="xsd:double"&gt;3.4483318970418&lt;/D&gt;&lt;D xsi:type="xsd:double"&gt;3.51965555566703&lt;/D&gt;&lt;D xsi:type="xsd:double"&gt;3.60704839437971&lt;/D&gt;&lt;D xsi:type="xsd:double"&gt;3.59783374026028&lt;/D&gt;&lt;D xsi:type="xsd:double"&gt;3.48040991186616&lt;/D&gt;&lt;D xsi:type="xsd:double"&gt;3.42337424387935&lt;/D&gt;&lt;D xsi:type="xsd:double"&gt;3.36644973487355&lt;/D&gt;&lt;D xsi:type="xsd:double"&gt;3.43087806240583&lt;/D&gt;&lt;D xsi:type="xsd:double"&gt;3.29800478033949&lt;/D&gt;&lt;D xsi:type="xsd:double"&gt;3.35235274576484&lt;/D&gt;&lt;D xsi:type="xsd:double"&gt;3.30473133457732&lt;/D&gt;&lt;D xsi:type="xsd:double"&gt;3.28961497166942&lt;/D&gt;&lt;D xsi:type="xsd:double"&gt;3.31057960077694&lt;/D&gt;&lt;D xsi:type="xsd:double"&gt;3.24753206770318&lt;/D&gt;&lt;D xsi:type="xsd:double"&gt;3.27978505118301&lt;/D&gt;&lt;D xsi:type="xsd:double"&gt;3.24156310316238&lt;/D&gt;&lt;D xsi:type="xsd:double"&gt;3.1544147821875&lt;/D&gt;&lt;D xsi:type="xsd:double"&gt;3.46585499246936&lt;/D&gt;&lt;D xsi:type="xsd:double"&gt;3.41710619370605&lt;/D&gt;&lt;D xsi:type="xsd:double"&gt;3.50802477768015&lt;/D&gt;&lt;D xsi:type="xsd:double"&gt;3.43434488263153&lt;/D&gt;&lt;D xsi:type="xsd:double"&gt;3.5836375954796&lt;/D&gt;&lt;D xsi:type="xsd:double"&gt;3.49531009342396&lt;/D&gt;&lt;D xsi:type="xsd:double"&gt;3.37627502063304&lt;/D&gt;&lt;D xsi:type="xsd:double"&gt;3.46214585359415&lt;/D&gt;&lt;D xsi:type="xsd:double"&gt;3.50726472529505&lt;/D&gt;&lt;D xsi:type="xsd:double"&gt;3.49377293801998&lt;/D&gt;&lt;D xsi:type="xsd:double"&gt;3.63242426044259&lt;/D&gt;&lt;D xsi:type="xsd:double"&gt;3.58273864994782&lt;/D&gt;&lt;D xsi:type="xsd:double"&gt;3.46786595566671&lt;/D&gt;&lt;D xsi:type="xsd:double"&gt;3.39760579154675&lt;/D&gt;&lt;D xsi:type="xsd:double"&gt;3.25778974418394&lt;/D&gt;&lt;D xsi:type="xsd:double"&gt;3.36383801283662&lt;/D&gt;&lt;D xsi:type="xsd:double"&gt;3.25998594121275&lt;/D&gt;&lt;D xsi:type="xsd:double"&gt;3.22763403630664&lt;/D&gt;&lt;D xsi:type="xsd:double"&gt;3.26597630324671&lt;/D&gt;&lt;D xsi:type="xsd:double"&gt;3.18035398574015&lt;/D&gt;&lt;D xsi:type="xsd:double"&gt;3.27599626687092&lt;/D&gt;&lt;D xsi:type="xsd:double"&gt;3.13649568964204&lt;/D&gt;&lt;D xsi:type="xsd:double"&gt;3.10463342790515&lt;/D&gt;&lt;D xsi:type="xsd:double"&gt;3.03066459704879&lt;/D&gt;&lt;D xsi:type="xsd:double"&gt;2.96053378455014&lt;/D&gt;&lt;D xsi:type="xsd:double"&gt;3.47016885510092&lt;/D&gt;&lt;D xsi:type="xsd:double"&gt;3.40426873881295&lt;/D&gt;&lt;D xsi:type="xsd:double"&gt;3.25785004849009&lt;/D&gt;&lt;D xsi:type="xsd:double"&gt;3.05172006450397&lt;/D&gt;&lt;D xsi:type="xsd:double"&gt;3.04424672334688&lt;/D&gt;&lt;D xsi:type="xsd:double"&gt;2.97883857137947&lt;/D&gt;&lt;D xsi:type="xsd:double"&gt;2.91359619992901&lt;/D&gt;&lt;D xsi:type="xsd:double"&gt;2.92820217542626&lt;/D&gt;&lt;D xsi:type="xsd:double"&gt;2.90297489385955&lt;/D&gt;&lt;D xsi:type="xsd:double"&gt;2.89862948447627&lt;/D&gt;&lt;D xsi:type="xsd:double"&gt;2.81034229137688&lt;/D&gt;&lt;D xsi:type="xsd:double"&gt;2.82338369572417&lt;/D&gt;&lt;D xsi:type="xsd:double"&gt;2.85578897677005&lt;/D&gt;&lt;D xsi:type="xsd:double"&gt;2.73982619625331&lt;/D&gt;&lt;D xsi:type="xsd:double"&gt;2.73993189997662&lt;/D&gt;&lt;D xsi:type="xsd:double"&gt;2.62821250389805&lt;/D&gt;&lt;D xsi:type="xsd:double"&gt;2.62181296988257&lt;/D&gt;&lt;D xsi:type="xsd:double"&gt;2.57580870227961&lt;/D&gt;&lt;D xsi:type="xsd:double"&gt;2.62016994446847&lt;/D&gt;&lt;D xsi:type="xsd:double"&gt;2.74251032303678&lt;/D&gt;&lt;D xsi:type="xsd:double"&gt;2.58651111364853&lt;/D&gt;&lt;D xsi:type="xsd:double"&gt;2.58226897995619&lt;/D&gt;&lt;D xsi:type="xsd:double"&gt;2.5667147037075&lt;/D&gt;&lt;D xsi:type="xsd:double"&gt;2.72859299008131&lt;/D&gt;&lt;D xsi:type="xsd:double"&gt;2.92643789863409&lt;/D&gt;&lt;D xsi:type="xsd:double"&gt;2.73365907952224&lt;/D&gt;&lt;D xsi:type="xsd:double"&gt;3.04366038395646&lt;/D&gt;&lt;D xsi:type="xsd:double"&gt;3.0636232463653&lt;/D&gt;&lt;D xsi:type="xsd:double"&gt;3.14052766549575&lt;/D&gt;&lt;D xsi:type="xsd:double"&gt;3.0809418346966&lt;/D&gt;&lt;D xsi:type="xsd:double"&gt;3.17956822285297&lt;/D&gt;&lt;D xsi:type="xsd:double"&gt;3.42296457860849&lt;/D&gt;&lt;D xsi:type="xsd:double"&gt;3.23092615733165&lt;/D&gt;&lt;D xsi:type="xsd:double"&gt;3.12580928770435&lt;/D&gt;&lt;D xsi:type="xsd:double"&gt;3.07806845304152&lt;/D&gt;&lt;D xsi:type="xsd:double"&gt;3.0608626155373&lt;/D&gt;&lt;D xsi:type="xsd:double"&gt;3.21659778992696&lt;/D&gt;&lt;D xsi:type="xsd:double"&gt;3.13297294749821&lt;/D&gt;&lt;D xsi:type="xsd:double"&gt;3.05273404777872&lt;/D&gt;&lt;D xsi:type="xsd:double"&gt;3.17702424337124&lt;/D&gt;&lt;D xsi:type="xsd:double"&gt;3.2733811878108&lt;/D&gt;&lt;D xsi:type="xsd:double"&gt;3.21442225438131&lt;/D&gt;&lt;D xsi:type="xsd:double"&gt;3.30147702000454&lt;/D&gt;&lt;D xsi:type="xsd:double"&gt;3.39693338771032&lt;/D&gt;&lt;D xsi:type="xsd:double"&gt;3.45787413009726&lt;/D&gt;&lt;D xsi:type="xsd:double"&gt;3.33329702069226&lt;/D&gt;&lt;D xsi:type="xsd:double"&gt;3.27122988254668&lt;/D&gt;&lt;D xsi:type="xsd:double"&gt;3.39972313893351&lt;/D&gt;&lt;D xsi:type="xsd:double"&gt;3.24294977013595&lt;/D&gt;&lt;D xsi:type="xsd:double"&gt;3.31526843215886&lt;/D&gt;&lt;D xsi:type="xsd:double"&gt;3.37875044097213&lt;/D&gt;&lt;/FQL&gt;&lt;FQL&gt;&lt;Q&gt;EWG^FMA_PE(NTMA,-10AY,0,AM,"PORTAGG","MEANR")&lt;/Q&gt;&lt;R&gt;121&lt;/R&gt;&lt;C&gt;1&lt;/C&gt;&lt;D xsi:type="xsd:double"&gt;12.9818036726908&lt;/D&gt;&lt;D xsi:type="xsd:double"&gt;13.4071175988839&lt;/D&gt;&lt;D xsi:type="xsd:double"&gt;13.0057250748026&lt;/D&gt;&lt;D xsi:type="xsd:double"&gt;12.0539412446234&lt;/D&gt;&lt;D xsi:type="xsd:double"&gt;12.8517167227266&lt;/D&gt;&lt;D xsi:type="xsd:double"&gt;11.8813216845264&lt;/D&gt;&lt;D xsi:type="xsd:double"&gt;12.2652606241446&lt;/D&gt;&lt;D xsi:type="xsd:double"&gt;12.8728298641505&lt;/D&gt;&lt;D xsi:type="xsd:double"&gt;12.6855910791261&lt;/D&gt;&lt;D xsi:type="xsd:double"&gt;13.9030673305118&lt;/D&gt;&lt;D xsi:type="xsd:double"&gt;15.0110001764814&lt;/D&gt;&lt;D xsi:type="xsd:double"&gt;15.6318968978903&lt;/D&gt;&lt;D xsi:type="xsd:double"&gt;14.6688245783557&lt;/D&gt;&lt;D xsi:type="xsd:double"&gt;13.5085884104152&lt;/D&gt;&lt;D xsi:type="xsd:double"&gt;13.3735060739916&lt;/D&gt;&lt;D xsi:type="xsd:double"&gt;13.8900089896628&lt;/D&gt;&lt;D xsi:type="xsd:double"&gt;12.4927918100146&lt;/D&gt;&lt;D xsi:type="xsd:double"&gt;12.4114362948476&lt;/D&gt;&lt;D xsi:type="xsd:double"&gt;13.3707587914663&lt;/D&gt;&lt;D xsi:type="xsd:double"&gt;13.231820210801&lt;/D&gt;&lt;D xsi:type="xsd:double"&gt;12.2409557785978&lt;/D&gt;&lt;D xsi:type="xsd:double"&gt;11.2616110688062&lt;/D&gt;&lt;D xsi:type="xsd:double"&gt;12.3918824286131&lt;/D&gt;&lt;D xsi:type="xsd:double"&gt;12.2846244642165&lt;/D&gt;&lt;D xsi:type="xsd:double"&gt;12.5174115036259&lt;/D&gt;&lt;D xsi:type="xsd:double"&gt;12.4649986858803&lt;/D&gt;&lt;D xsi:type="xsd:double"&gt;11.9039448117217&lt;/D&gt;&lt;D xsi:type="xsd:double"&gt;13.1300962820565&lt;/D&gt;&lt;D xsi:type="xsd:double"&gt;12.9826707681633&lt;/D&gt;&lt;D xsi:type="xsd:double"&gt;12.8347739497469&lt;/D&gt;&lt;D xsi:type="xsd:double"&gt;12.8160107831044&lt;/D&gt;&lt;D xsi:type="xsd:double"&gt;13.3932021891696&lt;/D&gt;&lt;D xsi:type="xsd:double"&gt;13.7090686085037&lt;/D&gt;&lt;D xsi:type="xsd:double"&gt;13.6026620159888&lt;/D&gt;&lt;D xsi:type="xsd:double"&gt;13.876106924365&lt;/D&gt;&lt;D xsi:type="xsd:double"&gt;13.9520368514284&lt;/D&gt;&lt;D xsi:type="xsd:double"&gt;14.1288259622343&lt;/D&gt;&lt;D xsi:type="xsd:double"&gt;13.8798517892156&lt;/D&gt;&lt;D xsi:type="xsd:double"&gt;13.3574106857319&lt;/D&gt;&lt;D xsi:type="xsd:double"&gt;13.0767870473345&lt;/D&gt;&lt;D xsi:type="xsd:double"&gt;13.1499492739105&lt;/D&gt;&lt;D xsi:type="xsd:double"&gt;13.8077581039045&lt;/D&gt;&lt;D xsi:type="xsd:double"&gt;14.013226299014&lt;/D&gt;&lt;D xsi:type="xsd:double"&gt;14.0260587045394&lt;/D&gt;&lt;D xsi:type="xsd:double"&gt;14.2219917694645&lt;/D&gt;&lt;D xsi:type="xsd:double"&gt;12.8299170612557&lt;/D&gt;&lt;D xsi:type="xsd:double"&gt;13.0889529675841&lt;/D&gt;&lt;D xsi:type="xsd:double"&gt;12.8957189948321&lt;/D&gt;&lt;D xsi:type="xsd:double"&gt;13.4489094206986&lt;/D&gt;&lt;D xsi:type="xsd:double"&gt;13.2196760785122&lt;/D&gt;&lt;D xsi:type="xsd:double"&gt;12.980525133447&lt;/D&gt;&lt;D xsi:type="xsd:double"&gt;13.109888763837&lt;/D&gt;&lt;D xsi:type="xsd:double"&gt;12.4295864707558&lt;/D&gt;&lt;D xsi:type="xsd:double"&gt;12.3419553549803&lt;/D&gt;&lt;D xsi:type="xsd:double"&gt;11.8044807401602&lt;/D&gt;&lt;D xsi:type="xsd:double"&gt;11.1700301119261&lt;/D&gt;&lt;D xsi:type="xsd:double"&gt;11.3316232392134&lt;/D&gt;&lt;D xsi:type="xsd:double"&gt;11.5165417422748&lt;/D&gt;&lt;D xsi:type="xsd:double"&gt;12.092177694284&lt;/D&gt;&lt;D xsi:type="xsd:double"&gt;12.4590128800049&lt;/D&gt;&lt;D xsi:type="xsd:double"&gt;12.5192344756226&lt;/D&gt;&lt;D xsi:type="xsd:double"&gt;12.3337329538124&lt;/D&gt;&lt;D xsi:type="xsd:double"&gt;12.890172459137&lt;/D&gt;&lt;D xsi:type="xsd:double"&gt;12.3727481152197&lt;/D&gt;&lt;D xsi:type="xsd:double"&gt;12.9585099612457&lt;/D&gt;&lt;D xsi:type="xsd:double"&gt;12.7299844163401&lt;/D&gt;&lt;D xsi:type="xsd:double"&gt;13.9046102450747&lt;/D&gt;&lt;D xsi:type="xsd:double"&gt;13.9503112318763&lt;/D&gt;&lt;D xsi:type="xsd:double"&gt;14.3407013729851&lt;/D&gt;&lt;D xsi:type="xsd:double"&gt;14.3018105966806&lt;/D&gt;&lt;D xsi:type="xsd:double"&gt;11.4063673610984&lt;/D&gt;&lt;D xsi:type="xsd:double"&gt;13.5012910233363&lt;/D&gt;&lt;D xsi:type="xsd:double"&gt;15.4067254308842&lt;/D&gt;&lt;D xsi:type="xsd:double"&gt;18.1286377579822&lt;/D&gt;&lt;D xsi:type="xsd:double"&gt;18.1444033534029&lt;/D&gt;&lt;D xsi:type="xsd:double"&gt;17.7874884135441&lt;/D&gt;&lt;D xsi:type="xsd:double"&gt;17.8821496350829&lt;/D&gt;&lt;D xsi:type="xsd:double"&gt;16.9529287792555&lt;/D&gt;&lt;D xsi:type="xsd:double"&gt;16.0362649592004&lt;/D&gt;&lt;D xsi:type="xsd:double"&gt;15.9807026511417&lt;/D&gt;&lt;D xsi:type="xsd:double"&gt;16.3254657496307&lt;/D&gt;&lt;D xsi:type="xsd:double"&gt;15.7908422998279&lt;/D&gt;&lt;D xsi:type="xsd:double"&gt;15.7991792399079&lt;/D&gt;&lt;D xsi:type="xsd:double"&gt;16.2404691146104&lt;/D&gt;&lt;D xsi:type="xsd:double"&gt;15.0706386754961&lt;/D&gt;&lt;D xsi:type="xsd:double"&gt;14.9209614405699&lt;/D&gt;&lt;D xsi:type="xsd:double"&gt;14.702281825777&lt;/D&gt;&lt;D xsi:type="xsd:double"&gt;14.281267449906&lt;/D&gt;&lt;D xsi:type="xsd:double"&gt;14.0399908999584&lt;/D&gt;&lt;D xsi:type="xsd:double"&gt;13.4697489292329&lt;/D&gt;&lt;D xsi:type="xsd:double"&gt;13.8117809795213&lt;/D&gt;&lt;D xsi:type="xsd:double"&gt;13.2548586671426&lt;/D&gt;&lt;D xsi:type="xsd:double"&gt;13.4229634299116&lt;/D&gt;&lt;D xsi:type="xsd:double"&gt;12.9222704434379&lt;/D&gt;&lt;D xsi:type="xsd:double"&gt;11.2521167354695&lt;/D&gt;&lt;D xsi:type="xsd:double"&gt;11.4808807463767&lt;/D&gt;&lt;D xsi:type="xsd:double"&gt;10.3287794865594&lt;/D&gt;&lt;D xsi:type="xsd:double"&gt;10.8245425300166&lt;/D&gt;&lt;D xsi:type="xsd:double"&gt;9.9710957874304&lt;/D&gt;&lt;D xsi:type="xsd:double"&gt;10.148232022712&lt;/D&gt;&lt;D xsi:type="xsd:double"&gt;9.81141013785207&lt;/D&gt;&lt;D xsi:type="xsd:double"&gt;9.09344469140092&lt;/D&gt;&lt;D xsi:type="xsd:double"&gt;10.2340873144411&lt;/D&gt;&lt;D xsi:type="xsd:double"&gt;10.7051481635387&lt;/D&gt;&lt;D xsi:type="xsd:double"&gt;11.139221300671&lt;/D&gt;&lt;D xsi:type="xsd:double"&gt;11.754695190905&lt;/D&gt;&lt;D xsi:type="xsd:double"&gt;11.6288665495615&lt;/D&gt;&lt;D xsi:type="xsd:double"&gt;11.3238314607596&lt;/D&gt;&lt;D xsi:type="xsd:double"&gt;11.1663852961839&lt;/D&gt;&lt;D xsi:type="xsd:double"&gt;10.7651912296208&lt;/D&gt;&lt;D xsi:type="xsd:double"&gt;10.4460463477786&lt;/D&gt;&lt;D xsi:type="xsd:double"&gt;10.6561840606738&lt;/D&gt;&lt;D xsi:type="xsd:double"&gt;10.5591627976486&lt;/D&gt;&lt;D xsi:type="xsd:double"&gt;10.1291071768098&lt;/D&gt;&lt;D xsi:type="xsd:double"&gt;10.3325960808746&lt;/D&gt;&lt;D xsi:type="xsd:double"&gt;11.2523386019966&lt;/D&gt;&lt;D xsi:type="xsd:double"&gt;11.1125618407802&lt;/D&gt;&lt;D xsi:type="xsd:double"&gt;11.523574137256&lt;/D&gt;&lt;D xsi:type="xsd:double"&gt;12.1050048878255&lt;/D&gt;&lt;D xsi:type="xsd:double"&gt;12.1191236024486&lt;/D&gt;&lt;D xsi:type="xsd:double"&gt;12.0209711320232&lt;/D&gt;&lt;/FQL&gt;&lt;FQL&gt;&lt;Q&gt;EWN^FG_PRICE_MAVG(0,,,,60)&lt;/Q&gt;&lt;R&gt;1&lt;/R&gt;&lt;C&gt;1&lt;/C&gt;&lt;D xsi:type="xsd:double"&gt;48.542168&lt;/D&gt;&lt;/FQL&gt;&lt;FQL&gt;&lt;Q&gt;EWU^FG_PRICE_MAVG(0,,,,60)&lt;/Q&gt;&lt;R&gt;1&lt;/R&gt;&lt;C&gt;1&lt;/C&gt;&lt;D xsi:type="xsd:double"&gt;33.793667&lt;/D&gt;&lt;/FQL&gt;&lt;FQL&gt;&lt;Q&gt;EWC^FG_PRICE_MAVG(0,,,,60)&lt;/Q&gt;&lt;R&gt;1&lt;/R&gt;&lt;C&gt;1&lt;/C&gt;&lt;D xsi:type="xsd:double"&gt;37.478&lt;/D&gt;&lt;/FQL&gt;&lt;FQL&gt;&lt;Q&gt;FXI^PERCENT_CHANGE(FMA_EPS(+1,0,,,,"PORTAGG","MEAN"),FMA_EPS(+1,-1AM,,,,"PORTAGG","MEAN"))&lt;/Q&gt;&lt;R&gt;1&lt;/R&gt;&lt;C&gt;1&lt;/C&gt;&lt;D xsi:type="xsd:double"&gt;-0.949676251230335&lt;/D&gt;&lt;/FQL&gt;&lt;FQL&gt;&lt;Q&gt;EWD^FMA_PCT_ABOVE_MAVG(200,0,,,,"PORTAGG")&lt;/Q&gt;&lt;R&gt;1&lt;/R&gt;&lt;C&gt;1&lt;/C&gt;&lt;D xsi:type="xsd:double"&gt;90.6976744186046&lt;/D&gt;&lt;/FQL&gt;&lt;FQL&gt;&lt;Q&gt;EWL^P_PRICE(0)/P_PRICE_HIGH_PR(0,,,,,,"PRICE","INTRA","52W")&lt;/Q&gt;&lt;R&gt;1&lt;/R&gt;&lt;C&gt;1&lt;/C&gt;&lt;D xsi:type="xsd:double"&gt;0.97462136&lt;/D&gt;&lt;/FQL&gt;&lt;FQL&gt;&lt;Q&gt;EWC^PERCENT_CHANGE(FMA_EPS(+1,0,,,,"PORTAGG","MEAN"),FMA_EPS(+1,-1AM,,,,"PORTAGG","MEAN"))&lt;/Q&gt;&lt;R&gt;1&lt;/R&gt;&lt;C&gt;1&lt;/C&gt;&lt;D xsi:type="xsd:double"&gt;-0.549378644420845&lt;/D&gt;&lt;/FQL&gt;&lt;FQL&gt;&lt;Q&gt;EWQ^FMA_COS_DOWN("EPS","1M",+1,0,,,"PORTAGG","MEANR")&lt;/Q&gt;&lt;R&gt;1&lt;/R&gt;&lt;C&gt;1&lt;/C&gt;&lt;D xsi:type="xsd:double"&gt;29&lt;/D&gt;&lt;/FQL&gt;&lt;FQL&gt;&lt;Q&gt;EWJ^FMA_COS_UP("EPS","1M",+1,0,,,"PORTAGG","MEANR")&lt;/Q&gt;&lt;R&gt;1&lt;/R&gt;&lt;C&gt;1&lt;/C&gt;&lt;D xsi:type="xsd:double"&gt;98&lt;/D&gt;&lt;/FQL&gt;&lt;FQL&gt;&lt;Q&gt;EWU^FMA_RBICS_REV_CURRENT(30, LOC, "PORTAGG")&lt;/Q&gt;&lt;R&gt;1&lt;/R&gt;&lt;C&gt;1&lt;/C&gt;&lt;D xsi:type="xsd:double"&gt;18.8933168361866&lt;/D&gt;&lt;/FQL&gt;&lt;FQL&gt;&lt;Q&gt;EWG^FG_ROE(0)&lt;/Q&gt;&lt;R&gt;1&lt;/R&gt;&lt;C&gt;1&lt;/C&gt;&lt;D xsi:type="xsd:double"&gt;12.4503744848109&lt;/D&gt;&lt;/FQL&gt;&lt;FQL&gt;&lt;Q&gt;TRYNZ10Y-FDS^FG_YIELD_NAME&lt;/Q&gt;&lt;R&gt;1&lt;/R&gt;&lt;C&gt;1&lt;/C&gt;&lt;D xsi:type="xsd:string"&gt;New Zealand Benchmark Bond - 10 Year&lt;/D&gt;&lt;/FQL&gt;&lt;FQL&gt;&lt;Q&gt;REFGBBANK-FDS^(SUBARRAY(NOT_NA(NO_REPEAT_F(FG_YIELD(NOW,-10AY,D))),0,1)-SUBARRAY(NOT_NA(NO_REPEAT_F(FG_YIELD(NOW,-10AY,D))),1,1))*100&lt;/Q&gt;&lt;R&gt;1&lt;/R&gt;&lt;C&gt;1&lt;/C&gt;&lt;D xsi:type="xsd:double"&gt;25&lt;/D&gt;&lt;/FQL&gt;&lt;FQL&gt;&lt;Q&gt;REFAUCASH-FDS^FG_YIELD(NOW,,,0)&lt;/Q&gt;&lt;R&gt;1&lt;/R&gt;&lt;C&gt;1&lt;/C&gt;&lt;D xsi:type="xsd:double"&gt;4.35&lt;/D&gt;&lt;/FQL&gt;&lt;FQL&gt;&lt;Q&gt;TRYUS10Y-FDS^PCTCHG(FG_YIELD(0,,,,"YTM"),FG_YIELD(-1AM,,,,"YTM"))&lt;/Q&gt;&lt;R&gt;1&lt;/R&gt;&lt;C&gt;1&lt;/C&gt;&lt;D xsi:type="xsd:double"&gt;2.1401892&lt;/D&gt;&lt;/FQL&gt;&lt;FQL&gt;&lt;Q&gt;TRYCH10Y-FDS^FG_YIELD_NAME&lt;/Q&gt;&lt;R&gt;1&lt;/R&gt;&lt;C&gt;1&lt;/C&gt;&lt;D xsi:type="xsd:string"&gt;Treasury - Switzerland Benchmark Bond 10Y&lt;/D&gt;&lt;/FQL&gt;&lt;FQL&gt;&lt;Q&gt;VGK^FMA_EVAL_EBITDA(NTMA,0,,,"PORTAGG","MEANR")&lt;/Q&gt;&lt;R&gt;1&lt;/R&gt;&lt;C&gt;1&lt;/C&gt;&lt;D xsi:type="xsd:double"&gt;9.01965029769491&lt;/D&gt;&lt;/FQL&gt;&lt;FQL&gt;&lt;Q&gt;EWD^FMA_DIV_YLD(NTMA,NOW,NOW,M,"PORTAGG","MEANR")&lt;/Q&gt;&lt;R&gt;1&lt;/R&gt;&lt;C&gt;1&lt;/C&gt;&lt;D xsi:type="xsd:double"&gt;3.27070263255404&lt;/D&gt;&lt;/FQL&gt;&lt;FQL&gt;&lt;Q&gt;EWU^FMA_EVAL_EBIT(LTMA,NOW,NOW,M,"PORTAGG","MEANR")&lt;/Q&gt;&lt;R&gt;1&lt;/R&gt;&lt;C&gt;1&lt;/C&gt;&lt;D xsi:type="xsd:double"&gt;10.5303814494734&lt;/D&gt;&lt;/FQL&gt;&lt;FQL&gt;&lt;Q&gt;EWC^FMA_PE(NTMA,0,,,"PORTAGG","MEANR")&lt;/Q&gt;&lt;R&gt;1&lt;/R&gt;&lt;C&gt;1&lt;/C&gt;&lt;D xsi:type="xsd:double"&gt;14.476496736899&lt;/D&gt;&lt;/FQL&gt;&lt;FQL&gt;&lt;Q&gt;EWL^FMA_ROE(NTMA,-20AY,NOW,FY,"PORTAGG","MEANR")&lt;/Q&gt;&lt;R&gt;20&lt;/R&gt;&lt;C&gt;1&lt;/C&gt;&lt;D xsi:type="xsd:double"&gt;15.9587717941353&lt;/D&gt;&lt;D xsi:type="xsd:double"&gt;16.6709442456462&lt;/D&gt;&lt;D xsi:type="xsd:double"&gt;17.3190561042513&lt;/D&gt;&lt;D xsi:type="xsd:double"&gt;18.194046530629&lt;/D&gt;&lt;D xsi:type="xsd:double"&gt;15.5136874283454&lt;/D&gt;&lt;D xsi:type="xsd:double"&gt;17.2258858021045&lt;/D&gt;&lt;D xsi:type="xsd:double"&gt;16.663378494352&lt;/D&gt;&lt;D xsi:type="xsd:double"&gt;15.1353221205521&lt;/D&gt;&lt;D xsi:type="xsd:double"&gt;15.5882414428409&lt;/D&gt;&lt;D xsi:type="xsd:double"&gt;15.2483951449653&lt;/D&gt;&lt;D xsi:type="xsd:double"&gt;14.5028009204846&lt;/D&gt;&lt;D xsi:type="xsd:double"&gt;13.2798091113486&lt;/D&gt;&lt;D xsi:type="xsd:double"&gt;13.3994953105419&lt;/D&gt;&lt;D xsi:type="xsd:double"&gt;13.9322208239423&lt;/D&gt;&lt;D xsi:type="xsd:double"&gt;14.6457996836392&lt;/D&gt;&lt;D xsi:type="xsd:double"&gt;14.5388198691271&lt;/D&gt;&lt;D xsi:type="xsd:double"&gt;14.667779515581&lt;/D&gt;&lt;D xsi:type="xsd:double"&gt;16.3837417700753&lt;/D&gt;&lt;D xsi:type="xsd:double"&gt;16.6906517335277&lt;/D&gt;&lt;D xsi:type="xsd:double"&gt;19.2996868127809&lt;/D&gt;&lt;/FQL&gt;&lt;FQL&gt;&lt;Q&gt;TRYIN10Y-FDS^FG_YIELD(-10AY,0,Y,,"YTM")&lt;/Q&gt;&lt;R&gt;10&lt;/R&gt;&lt;C&gt;1&lt;/C&gt;&lt;D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xsi:type="xsd:double"&gt;3.099&lt;/D&gt;&lt;/FQL&gt;&lt;FQL&gt;&lt;Q&gt;VWO^FG_TOTAL_RETURNC(0,-3AM)&lt;/Q&gt;&lt;R&gt;1&lt;/R&gt;&lt;C&gt;1&lt;/C&gt;&lt;D xsi:type="xsd:double"&gt;6.8425655&lt;/D&gt;&lt;/FQL&gt;&lt;FQL&gt;&lt;Q&gt;EWI^P_PRICE(0)/P_PRICE_HIGH_PR(0,,,,,,"PRICE","INTRA","52W")&lt;/Q&gt;&lt;R&gt;1&lt;/R&gt;&lt;C&gt;1&lt;/C&gt;&lt;D xsi:type="xsd:double"&gt;0.99815595&lt;/D&gt;&lt;/FQL&gt;&lt;FQL&gt;&lt;Q&gt;EWN^FG_TOTAL_RETURNC(0,-12AM)&lt;/Q&gt;&lt;R&gt;1&lt;/R&gt;&lt;C&gt;1&lt;/C&gt;&lt;D xsi:type="xsd:double"&gt;23.110485&lt;/D&gt;&lt;/FQL&gt;&lt;FQL&gt;&lt;Q&gt;EWQ^PERCENT_CHANGE(FMA_EPS(+1,0,,,,"PORTAGG","MEAN"),FMA_EPS(+1,-1AM,,,,"PORTAGG","MEAN"))&lt;/Q&gt;&lt;R&gt;1&lt;/R&gt;&lt;C&gt;1&lt;/C&gt;&lt;D xsi:type="xsd:double"&gt;-0.239950394752718&lt;/D&gt;&lt;/FQL&gt;&lt;FQL&gt;&lt;Q&gt;QQQ^FG_TOTAL_RETURNC(0,-1AM)&lt;/Q&gt;&lt;R&gt;1&lt;/R&gt;&lt;C&gt;1&lt;/C&gt;&lt;D xsi:type="xsd:double"&gt;-0.27362108&lt;/D&gt;&lt;/FQL&gt;&lt;FQL&gt;&lt;Q&gt;EWL^FG_TOTAL_RETURNC(0,-6AM)&lt;/Q&gt;&lt;R&gt;1&lt;/R&gt;&lt;C&gt;1&lt;/C&gt;&lt;D xsi:type="xsd:double"&gt;10.615563&lt;/D&gt;&lt;/FQL&gt;&lt;FQL&gt;&lt;Q&gt;EWG^P_PRICE(0)/P_PRICE_LOW_PR(0,,,,,,"PRICE","INTRA","52W")-1&lt;/Q&gt;&lt;R&gt;1&lt;/R&gt;&lt;C&gt;1&lt;/C&gt;&lt;D xsi:type="xsd:double"&gt;0.29771304&lt;/D&gt;&lt;/FQL&gt;&lt;FQL&gt;&lt;Q&gt;EWC^FMA_PCT_ABOVE_MAVG(200,0,,,,"PORTAGG")&lt;/Q&gt;&lt;R&gt;1&lt;/R&gt;&lt;C&gt;1&lt;/C&gt;&lt;D xsi:type="xsd:double"&gt;71.5909090909091&lt;/D&gt;&lt;/FQL&gt;&lt;FQL&gt;&lt;Q&gt;ENZL^PERCENT_CHANGE(FMA_EPS(+1,0,,,,"PORTAGG","MEAN"),FMA_EPS(+1,-3AM,,,,"PORTAGG","MEAN"))&lt;/Q&gt;&lt;R&gt;1&lt;/R&gt;&lt;C&gt;1&lt;/C&gt;&lt;D xsi:type="xsd:double"&gt;-16.326585366942&lt;/D&gt;&lt;/FQL&gt;&lt;FQL&gt;&lt;Q&gt;VWO^FMA_COS_DOWN("EPS","1M",+1,0,,,"PORTAGG","MEANR")&lt;/Q&gt;&lt;R&gt;1&lt;/R&gt;&lt;C&gt;1&lt;/C&gt;&lt;D xsi:type="xsd:double"&gt;1334&lt;/D&gt;&lt;/FQL&gt;&lt;FQL&gt;&lt;Q&gt;EWQ^FMA_COS_UP("EPS","1M",+1,0,,,"PORTAGG","MEANR")&lt;/Q&gt;&lt;R&gt;1&lt;/R&gt;&lt;C&gt;1&lt;/C&gt;&lt;D xsi:type="xsd:double"&gt;31&lt;/D&gt;&lt;/FQL&gt;&lt;FQL&gt;&lt;Q&gt;EWG^SIZE(FG_CONSTITUENTS)&lt;/Q&gt;&lt;R&gt;1&lt;/R&gt;&lt;C&gt;1&lt;/C&gt;&lt;D xsi:type="xsd:long"&gt;57&lt;/D&gt;&lt;/FQL&gt;&lt;FQL&gt;&lt;Q&gt;EWL^FMA_RBICS_REV_CURRENT(30, LOC, "PORTAGG")&lt;/Q&gt;&lt;R&gt;1&lt;/R&gt;&lt;C&gt;1&lt;/C&gt;&lt;D xsi:type="xsd:double"&gt;17.8649112648431&lt;/D&gt;&lt;/FQL&gt;&lt;FQL&gt;&lt;Q&gt;EWC^FG_ROE(0)&lt;/Q&gt;&lt;R&gt;1&lt;/R&gt;&lt;C&gt;1&lt;/C&gt;&lt;D xsi:type="xsd:double"&gt;11.3521885515767&lt;/D&gt;&lt;/FQL&gt;&lt;FQL&gt;&lt;Q&gt;REFSEREPO-FDS^(SUBARRAY(NOT_NA(NO_REPEAT_F(FG_YIELD(NOW,-10AY,D))),0,1)-SUBARRAY(NOT_NA(NO_REPEAT_F(FG_YIELD(NOW,-10AY,D))),1,1))*100&lt;/Q&gt;&lt;R&gt;1&lt;/R&gt;&lt;C&gt;1&lt;/C&gt;&lt;D xsi:type="xsd:double"&gt;25&lt;/D&gt;&lt;/FQL&gt;&lt;FQL&gt;&lt;Q&gt;REFGBBANK-FDS^FG_YIELD(NOW,,,0)&lt;/Q&gt;&lt;R&gt;1&lt;/R&gt;&lt;C&gt;1&lt;/C&gt;&lt;D xsi:type="xsd:double"&gt;5.25&lt;/D&gt;&lt;/FQL&gt;&lt;FQL&gt;&lt;Q&gt;REFAUCASH-FDS^PROPER_NAME(0,,,"SECURITY","NAME")&lt;/Q&gt;&lt;R&gt;1&lt;/R&gt;&lt;C&gt;1&lt;/C&gt;&lt;D xsi:type="xsd:string"&gt;Australia Target Cash Rate&lt;/D&gt;&lt;/FQL&gt;&lt;FQL&gt;&lt;Q&gt;TRYGB10Y-FDS^PCTCHG(FG_YIELD(0,,,,"YTM"),FG_YIELD(-3AM,,,,"YTM"))&lt;/Q&gt;&lt;R&gt;1&lt;/R&gt;&lt;C&gt;1&lt;/C&gt;&lt;D xsi:type="xsd:double"&gt;1.5445011&lt;/D&gt;&lt;/FQL&gt;&lt;FQL&gt;&lt;Q&gt;TRYIT10Y-FDS^FG_YIELD(0,,,,"YTM")&lt;/Q&gt;&lt;R&gt;1&lt;/R&gt;&lt;C&gt;1&lt;/C&gt;&lt;D xsi:type="xsd:double"&gt;3.809&lt;/D&gt;&lt;/FQL&gt;&lt;FQL&gt;&lt;Q&gt;TRYJP10Y-FDS^FG_YIELD(0,,,,"YTM")&lt;/Q&gt;&lt;R&gt;1&lt;/R&gt;&lt;C&gt;1&lt;/C&gt;&lt;D xsi:type="xsd:double"&gt;0.9069&lt;/D&gt;&lt;/FQL&gt;&lt;FQL&gt;&lt;Q&gt;CC_GB^IMF_IFS_RCPI_Q(0)&lt;/Q&gt;&lt;R&gt;1&lt;/R&gt;&lt;C&gt;1&lt;/C&gt;&lt;D xsi:type="xsd:double"&gt;3.9194994&lt;/D&gt;&lt;/FQL&gt;&lt;FQL&gt;&lt;Q&gt;VGK^FG_FCF_YIELD_NTM(0)&lt;/Q&gt;&lt;R&gt;1&lt;/R&gt;&lt;C&gt;1&lt;/C&gt;&lt;D xsi:type="xsd:double"&gt;5.19907329895716&lt;/D&gt;&lt;/FQL&gt;&lt;FQL&gt;&lt;Q&gt;EWD^FMA_PE(NTMA,0,,,"PORTAGG","MEANR")&lt;/Q&gt;&lt;R&gt;1&lt;/R&gt;&lt;C&gt;1&lt;/C&gt;&lt;D xsi:type="xsd:double"&gt;16.0640832518898&lt;/D&gt;&lt;/FQL&gt;&lt;FQL&gt;&lt;Q&gt;EWQ^JULIAN(FMA_DIV_YLD(NTMA,NOW,NOW,M,"PORTAGG","MEANR").DATES)&lt;/Q&gt;&lt;R&gt;1&lt;/R&gt;&lt;C&gt;1&lt;/C&gt;&lt;D xsi:type="xsd:long"&gt;45412&lt;/D&gt;&lt;/FQL&gt;&lt;FQL&gt;&lt;Q&gt;CAGDPY@GB^EE_ACTUAL_ANNUAL(MED,0)&lt;/Q&gt;&lt;R&gt;1&lt;/R&gt;&lt;C&gt;1&lt;/C&gt;&lt;D xsi:type="xsd:double"&gt;-3.3&lt;/D&gt;&lt;/FQL&gt;&lt;FQL&gt;&lt;Q&gt;CC_CH^FG_COMPANY_NAME&lt;/Q&gt;&lt;R&gt;1&lt;/R&gt;&lt;C&gt;1&lt;/C&gt;&lt;D xsi:type="xsd:string"&gt;Switzerland&lt;/D&gt;&lt;/FQL&gt;&lt;FQL&gt;&lt;Q&gt;USDSEK^FG_PRICE_CHANGE(0,-6AM)&lt;/Q&gt;&lt;R&gt;1&lt;/R&gt;&lt;C&gt;1&lt;/C&gt;&lt;D xsi:type="xsd:double"&gt;0.1383543&lt;/D&gt;&lt;/FQL&gt;&lt;FQL&gt;&lt;Q&gt;USDCHF^FG_PRICE_CHANGE(0,-6AM)&lt;/Q&gt;&lt;R&gt;1&lt;/R&gt;&lt;C&gt;1&lt;/C&gt;&lt;D xsi:type="xsd:double"&gt;0.8228183&lt;/D&gt;&lt;/FQL&gt;&lt;FQL&gt;&lt;Q&gt;USDUSD^FG_PRICE_CHANGE(0,-6AM)&lt;/Q&gt;&lt;R&gt;1&lt;/R&gt;&lt;C&gt;1&lt;/C&gt;&lt;D xsi:type="xsd:double"&gt;0&lt;/D&gt;&lt;/FQL&gt;&lt;FQL&gt;&lt;Q&gt;USDEUR^FG_PRICE_CHANGE(0,-6AM)&lt;/Q&gt;&lt;R&gt;1&lt;/R&gt;&lt;C&gt;1&lt;/C&gt;&lt;D xsi:type="xsd:double"&gt;-0.56604147&lt;/D&gt;&lt;/FQL&gt;&lt;FQL&gt;&lt;Q&gt;USDAUD^FG_PRICE_CHANGE(0,-6AM)&lt;/Q&gt;&lt;R&gt;1&lt;/R&gt;&lt;C&gt;1&lt;/C&gt;&lt;D xsi:type="xsd:double"&gt;-2.7622223&lt;/D&gt;&lt;/FQL&gt;&lt;FQL&gt;&lt;Q&gt;EWN^FMA_EPS(NTMA,-20AY,0,CY,,"PORTAGG","MEANR")&lt;/Q&gt;&lt;R&gt;20&lt;/R&gt;&lt;C&gt;1&lt;/C&gt;&lt;D xsi:type="xsd:double"&gt;1.49109929215903&lt;/D&gt;&lt;D xsi:type="xsd:double"&gt;1.5900517234348&lt;/D&gt;&lt;D xsi:type="xsd:double"&gt;2.15625739003115&lt;/D&gt;&lt;D xsi:type="xsd:double"&gt;2.62697068480407&lt;/D&gt;&lt;D xsi:type="xsd:double"&gt;1.79921066251297&lt;/D&gt;&lt;D xsi:type="xsd:double"&gt;1.65442974417331&lt;/D&gt;&lt;D xsi:type="xsd:double"&gt;2.1135843669069&lt;/D&gt;&lt;D xsi:type="xsd:double"&gt;1.84050659390711&lt;/D&gt;&lt;D xsi:type="xsd:double"&gt;1.84155905202006&lt;/D&gt;&lt;D xsi:type="xsd:double"&gt;1.85694784607263&lt;/D&gt;&lt;D xsi:type="xsd:double"&gt;1.61003576125895&lt;/D&gt;&lt;D xsi:type="xsd:double"&gt;1.5506283745409&lt;/D&gt;&lt;D xsi:type="xsd:double"&gt;1.60511092021475&lt;/D&gt;&lt;D xsi:type="xsd:double"&gt;1.99467947715871&lt;/D&gt;&lt;D xsi:type="xsd:double"&gt;2.00955458235889&lt;/D&gt;&lt;D xsi:type="xsd:double"&gt;1.99085797419876&lt;/D&gt;&lt;D xsi:type="xsd:double"&gt;2.00892945351409&lt;/D&gt;&lt;D xsi:type="xsd:double"&gt;2.43601807668502&lt;/D&gt;&lt;D xsi:type="xsd:double"&gt;2.42941425498409&lt;/D&gt;&lt;D xsi:type="xsd:double"&gt;2.95560750186165&lt;/D&gt;&lt;/FQL&gt;&lt;FQL&gt;&lt;Q&gt;SPY^P_PRICE_RETURNS_PR('52W',2,-10AY,0,AM)&lt;/Q&gt;&lt;R&gt;121&lt;/R&gt;&lt;C&gt;1&lt;/C&gt;&lt;D xsi:type="xsd:double"&gt;17.723715&lt;/D&gt;&lt;D xsi:type="xsd:double"&gt;21.069897&lt;/D&gt;&lt;D xsi:type="xsd:double"&gt;21.719433&lt;/D&gt;&lt;D xsi:type="xsd:double"&gt;16.04184&lt;/D&gt;&lt;D xsi:type="xsd:double"&gt;21.23946&lt;/D&gt;&lt;D xsi:type="xsd:double"&gt;18.650019&lt;/D&gt;&lt;D xsi:type="xsd:double"&gt;18.49904&lt;/D&gt;&lt;D xsi:type="xsd:double"&gt;16.031515&lt;/D&gt;&lt;D xsi:type="xsd:double"&gt;13.39469&lt;/D&gt;&lt;D xsi:type="xsd:double"&gt;16.10943&lt;/D&gt;&lt;D xsi:type="xsd:double"&gt;12.8377075&lt;/D&gt;&lt;D xsi:type="xsd:double"&gt;13.837051&lt;/D&gt;&lt;D xsi:type="xsd:double"&gt;14.959824&lt;/D&gt;&lt;D xsi:type="xsd:double"&gt;8.660889&lt;/D&gt;&lt;D xsi:type="xsd:double"&gt;5.987048&lt;/D&gt;&lt;D xsi:type="xsd:double"&gt;10.993838&lt;/D&gt;&lt;D xsi:type="xsd:double"&gt;-0.35459995&lt;/D&gt;&lt;D xsi:type="xsd:double"&gt;6.57146&lt;/D&gt;&lt;D xsi:type="xsd:double"&gt;4.402709&lt;/D&gt;&lt;D xsi:type="xsd:double"&gt;1.4660716&lt;/D&gt;&lt;D xsi:type="xsd:double"&gt;-4.8481045&lt;/D&gt;&lt;D xsi:type="xsd:double"&gt;-7.496661&lt;/D&gt;&lt;D xsi:type="xsd:double"&gt;-2.318126&lt;/D&gt;&lt;D xsi:type="xsd:double"&gt;0.44652224&lt;/D&gt;&lt;D xsi:type="xsd:double"&gt;-0.61261654&lt;/D&gt;&lt;D xsi:type="xsd:double"&gt;3.9327025&lt;/D&gt;&lt;D xsi:type="xsd:double"&gt;6.244838&lt;/D&gt;&lt;D xsi:type="xsd:double"&gt;7.2149754&lt;/D&gt;&lt;D xsi:type="xsd:double"&gt;11.88786&lt;/D&gt;&lt;D xsi:type="xsd:double"&gt;10.173821&lt;/D&gt;&lt;D xsi:type="xsd:double"&gt;6.240785&lt;/D&gt;&lt;D xsi:type="xsd:double"&gt;12.698973&lt;/D&gt;&lt;D xsi:type="xsd:double"&gt;20.532763&lt;/D&gt;&lt;D xsi:type="xsd:double"&gt;27.033997&lt;/D&gt;&lt;D xsi:type="xsd:double"&gt;21.353054&lt;/D&gt;&lt;D xsi:type="xsd:double"&gt;17.711353&lt;/D&gt;&lt;D xsi:type="xsd:double"&gt;18.704689&lt;/D&gt;&lt;D xsi:type="xsd:double"&gt;17.150318&lt;/D&gt;&lt;D xsi:type="xsd:double"&gt;17.904413&lt;/D&gt;&lt;D xsi:type="xsd:double"&gt;15.631617&lt;/D&gt;&lt;D xsi:type="xsd:double"&gt;15.144121&lt;/D&gt;&lt;D xsi:type="xsd:double"&gt;20.485188&lt;/D&gt;&lt;D xsi:type="xsd:double"&gt;21.729267&lt;/D&gt;&lt;D xsi:type="xsd:double"&gt;20.31331&lt;/D&gt;&lt;D xsi:type="xsd:double"&gt;23.582851&lt;/D&gt;&lt;D xsi:type="xsd:double"&gt;15.599644&lt;/D&gt;&lt;D xsi:type="xsd:double"&gt;20.020163&lt;/D&gt;&lt;D xsi:type="xsd:double"&gt;13.081657&lt;/D&gt;&lt;D xsi:type="xsd:double"&gt;14.696741&lt;/D&gt;&lt;D xsi:type="xsd:double"&gt;16.287338&lt;/D&gt;&lt;D xsi:type="xsd:double"&gt;16.922974&lt;/D&gt;&lt;D xsi:type="xsd:double"&gt;17.446304&lt;/D&gt;&lt;D xsi:type="xsd:double"&gt;18.671036&lt;/D&gt;&lt;D xsi:type="xsd:double"&gt;15.233576&lt;/D&gt;&lt;D xsi:type="xsd:double"&gt;9.5479965&lt;/D&gt;&lt;D xsi:type="xsd:double"&gt;1.6289473&lt;/D&gt;&lt;D xsi:type="xsd:double"&gt;-4.2387543&lt;/D&gt;&lt;D xsi:type="xsd:double"&gt;6.9914103&lt;/D&gt;&lt;D xsi:type="xsd:double"&gt;2.0460606&lt;/D&gt;&lt;D xsi:type="xsd:double"&gt;12.228298&lt;/D&gt;&lt;D xsi:type="xsd:double"&gt;8.442736&lt;/D&gt;&lt;D xsi:type="xsd:double"&gt;5.729699&lt;/D&gt;&lt;D xsi:type="xsd:double"&gt;9.068632&lt;/D&gt;&lt;D xsi:type="xsd:double"&gt;4.33259&lt;/D&gt;&lt;D xsi:type="xsd:double"&gt;5.7482004&lt;/D&gt;&lt;D xsi:type="xsd:double"&gt;3.373754&lt;/D&gt;&lt;D xsi:type="xsd:double"&gt;12.342119&lt;/D&gt;&lt;D xsi:type="xsd:double"&gt;21.469986&lt;/D&gt;&lt;D xsi:type="xsd:double"&gt;29.018902&lt;/D&gt;&lt;D xsi:type="xsd:double"&gt;25.299847&lt;/D&gt;&lt;D xsi:type="xsd:double"&gt;1.8065691&lt;/D&gt;&lt;D xsi:type="xsd:double"&gt;-1.1659801&lt;/D&gt;&lt;D xsi:type="xsd:double"&gt;3.8134575&lt;/D&gt;&lt;D xsi:type="xsd:double"&gt;13.8299465&lt;/D&gt;&lt;D xsi:type="xsd:double"&gt;7.9268217&lt;/D&gt;&lt;D xsi:type="xsd:double"&gt;18.535482&lt;/D&gt;&lt;D xsi:type="xsd:double"&gt;16.254986&lt;/D&gt;&lt;D xsi:type="xsd:double"&gt;21.422768&lt;/D&gt;&lt;D xsi:type="xsd:double"&gt;17.02261&lt;/D&gt;&lt;D xsi:type="xsd:double"&gt;19.173325&lt;/D&gt;&lt;D xsi:type="xsd:double"&gt;19.746172&lt;/D&gt;&lt;D xsi:type="xsd:double"&gt;19.710266&lt;/D&gt;&lt;D xsi:type="xsd:double"&gt;43.871532&lt;/D&gt;&lt;D xsi:type="xsd:double"&gt;50.297928&lt;/D&gt;&lt;D xsi:type="xsd:double"&gt;49.09984&lt;/D&gt;&lt;D xsi:type="xsd:double"&gt;33.561768&lt;/D&gt;&lt;D xsi:type="xsd:double"&gt;40.612377&lt;/D&gt;&lt;D xsi:type="xsd:double"&gt;34.132313&lt;/D&gt;&lt;D xsi:type="xsd:double"&gt;34.117924&lt;/D&gt;&lt;D xsi:type="xsd:double"&gt;29.17322&lt;/D&gt;&lt;D xsi:type="xsd:double"&gt;33.689774&lt;/D&gt;&lt;D xsi:type="xsd:double"&gt;28.92624&lt;/D&gt;&lt;D xsi:type="xsd:double"&gt;24.601078&lt;/D&gt;&lt;D xsi:type="xsd:double"&gt;18.820656&lt;/D&gt;&lt;D xsi:type="xsd:double"&gt;11.879039&lt;/D&gt;&lt;D xsi:type="xsd:double"&gt;11.010349&lt;/D&gt;&lt;D xsi:type="xsd:double"&gt;-4.4240894&lt;/D&gt;&lt;D xsi:type="xsd:double"&gt;-3.531754&lt;/D&gt;&lt;D xsi:type="xsd:double"&gt;-8.519136&lt;/D&gt;&lt;D xsi:type="xsd:double"&gt;-5.635774&lt;/D&gt;&lt;D xsi:type="xsd:double"&gt;-8.148503&lt;/D&gt;&lt;D xsi:type="xsd:double"&gt;-16.041481&lt;/D&gt;&lt;D xsi:type="xsd:double"&gt;-18.737555&lt;/D&gt;&lt;D xsi:type="xsd:double"&gt;-14.389431&lt;/D&gt;&lt;D xsi:type="xsd:double"&gt;-15.430474&lt;/D&gt;&lt;D xsi:type="xsd:double"&gt;-9.578848&lt;/D&gt;&lt;D xsi:type="xsd:double"&gt;-6.8972883&lt;/D&gt;&lt;D xsi:type="xsd:double"&gt;-6.79605&lt;/D&gt;&lt;D xsi:type="xsd:double"&gt;4.9662113&lt;/D&gt;&lt;D xsi:type="xsd:double"&gt;8.917332&lt;/D&gt;&lt;D xsi:type="xsd:double"&gt;14.598572&lt;/D&gt;&lt;D xsi:type="xsd:double"&gt;10.14843&lt;/D&gt;&lt;D xsi:type="xsd:double"&gt;13.108004&lt;/D&gt;&lt;D xsi:type="xsd:double"&gt;21.05199&lt;/D&gt;&lt;D xsi:type="xsd:double"&gt;17.803741&lt;/D&gt;&lt;D xsi:type="xsd:double"&gt;17.988693&lt;/D&gt;&lt;D xsi:type="xsd:double"&gt;24.048592&lt;/D&gt;&lt;D xsi:type="xsd:double"&gt;25.002611&lt;/D&gt;&lt;D xsi:type="xsd:double"&gt;30.240177&lt;/D&gt;&lt;D xsi:type="xsd:double"&gt;28.762936&lt;/D&gt;&lt;D xsi:type="xsd:double"&gt;28.427578&lt;/D&gt;&lt;/FQL&gt;&lt;FQL&gt;&lt;Q&gt;EWU^FG_TOTAL_RETURNC(-10AY,0,AM)&lt;/Q&gt;&lt;R&gt;121&lt;/R&gt;&lt;C&gt;1&lt;/C&gt;&lt;D xsi:type="xsd:double"&gt;3.6842108&lt;/D&gt;&lt;D xsi:type="xsd:double"&gt;0.69220066&lt;/D&gt;&lt;D xsi:type="xsd:double"&gt;0.35045147&lt;/D&gt;&lt;D xsi:type="xsd:double"&gt;-4.2165813&lt;/D&gt;&lt;D xsi:type="xsd:double"&gt;-0.25011897&lt;/D&gt;&lt;D xsi:type="xsd:double"&gt;-6.7201614&lt;/D&gt;&lt;D xsi:type="xsd:double"&gt;1.9892454&lt;/D&gt;&lt;D xsi:type="xsd:double"&gt;-1.528722&lt;/D&gt;&lt;D xsi:type="xsd:double"&gt;-3.9765298&lt;/D&gt;&lt;D xsi:type="xsd:double"&gt;5.230248&lt;/D&gt;&lt;D xsi:type="xsd:double"&gt;0.6482959&lt;/D&gt;&lt;D xsi:type="xsd:double"&gt;-0.26838183&lt;/D&gt;&lt;D xsi:type="xsd:double"&gt;5.7588816&lt;/D&gt;&lt;D xsi:type="xsd:double"&gt;-4.681933&lt;/D&gt;&lt;D xsi:type="xsd:double"&gt;-2.7440012&lt;/D&gt;&lt;D xsi:type="xsd:double"&gt;3.6333203&lt;/D&gt;&lt;D xsi:type="xsd:double"&gt;-9.115428&lt;/D&gt;&lt;D xsi:type="xsd:double"&gt;4.33234&lt;/D&gt;&lt;D xsi:type="xsd:double"&gt;-3.0716658&lt;/D&gt;&lt;D xsi:type="xsd:double"&gt;-2.9929578&lt;/D&gt;&lt;D xsi:type="xsd:double"&gt;-7.3205233&lt;/D&gt;&lt;D xsi:type="xsd:double"&gt;-4.127836&lt;/D&gt;&lt;D xsi:type="xsd:double"&gt;7.569444&lt;/D&gt;&lt;D xsi:type="xsd:double"&gt;0.25823116&lt;/D&gt;&lt;D xsi:type="xsd:double"&gt;1.2234449&lt;/D&gt;&lt;D xsi:type="xsd:double"&gt;3.1806588&lt;/D&gt;&lt;D xsi:type="xsd:double"&gt;-5.429083&lt;/D&gt;&lt;D xsi:type="xsd:double"&gt;4.3420196&lt;/D&gt;&lt;D xsi:type="xsd:double"&gt;1.2163877&lt;/D&gt;&lt;D xsi:type="xsd:double"&gt;-1.6445279&lt;/D&gt;&lt;D xsi:type="xsd:double"&gt;-2.2829592&lt;/D&gt;&lt;D xsi:type="xsd:double"&gt;2.5995374&lt;/D&gt;&lt;D xsi:type="xsd:double"&gt;0.37676096&lt;/D&gt;&lt;D xsi:type="xsd:double"&gt;2.8182626&lt;/D&gt;&lt;D xsi:type="xsd:double"&gt;-0.7561445&lt;/D&gt;&lt;D xsi:type="xsd:double"&gt;2.5396824&lt;/D&gt;&lt;D xsi:type="xsd:double"&gt;4.4891715&lt;/D&gt;&lt;D xsi:type="xsd:double"&gt;1.3036966&lt;/D&gt;&lt;D xsi:type="xsd:double"&gt;-0.7474065&lt;/D&gt;&lt;D xsi:type="xsd:double"&gt;3.193736&lt;/D&gt;&lt;D xsi:type="xsd:double"&gt;-0.029194355&lt;/D&gt;&lt;D xsi:type="xsd:double"&gt;1.4310718&lt;/D&gt;&lt;D xsi:type="xsd:double"&gt;-0.057590008&lt;/D&gt;&lt;D xsi:type="xsd:double"&gt;0.97954273&lt;/D&gt;&lt;D xsi:type="xsd:double"&gt;5.755818&lt;/D&gt;&lt;D xsi:type="xsd:double"&gt;-5.7724056&lt;/D&gt;&lt;D xsi:type="xsd:double"&gt;2.304554&lt;/D&gt;&lt;D xsi:type="xsd:double"&gt;1.283145&lt;/D&gt;&lt;D xsi:type="xsd:double"&gt;3.1813145&lt;/D&gt;&lt;D xsi:type="xsd:double"&gt;-0.6002784&lt;/D&gt;&lt;D xsi:type="xsd:double"&gt;-0.9375453&lt;/D&gt;&lt;D xsi:type="xsd:double"&gt;-2.0992935&lt;/D&gt;&lt;D xsi:type="xsd:double"&gt;-4.984057&lt;/D&gt;&lt;D xsi:type="xsd:double"&gt;1.3723731&lt;/D&gt;&lt;D xsi:type="xsd:double"&gt;-2.587247&lt;/D&gt;&lt;D xsi:type="xsd:double"&gt;-6.4237237&lt;/D&gt;&lt;D xsi:type="xsd:double"&gt;2.6245236&lt;/D&gt;&lt;D xsi:type="xsd:double"&gt;4.140651&lt;/D&gt;&lt;D xsi:type="xsd:double"&gt;1.8933415&lt;/D&gt;&lt;D xsi:type="xsd:double"&gt;4.2737603&lt;/D&gt;&lt;D xsi:type="xsd:double"&gt;-2.346295&lt;/D&gt;&lt;D xsi:type="xsd:double"&gt;-0.39538145&lt;/D&gt;&lt;D xsi:type="xsd:double"&gt;0.71851015&lt;/D&gt;&lt;D xsi:type="xsd:double"&gt;-6.4365683&lt;/D&gt;&lt;D xsi:type="xsd:double"&gt;2.6919246&lt;/D&gt;&lt;D xsi:type="xsd:double"&gt;-1.9741058&lt;/D&gt;&lt;D xsi:type="xsd:double"&gt;7.6262712&lt;/D&gt;&lt;D xsi:type="xsd:double"&gt;0.98159313&lt;/D&gt;&lt;D xsi:type="xsd:double"&gt;4.7180176&lt;/D&gt;&lt;D xsi:type="xsd:double"&gt;-3.6894917&lt;/D&gt;&lt;D xsi:type="xsd:double"&gt;-19.675154&lt;/D&gt;&lt;D xsi:type="xsd:double"&gt;-4.6547117&lt;/D&gt;&lt;D xsi:type="xsd:double"&gt;1.4405727&lt;/D&gt;&lt;D xsi:type="xsd:double"&gt;8.52071&lt;/D&gt;&lt;D xsi:type="xsd:double"&gt;-4.9788356&lt;/D&gt;&lt;D xsi:type="xsd:double"&gt;2.951455&lt;/D&gt;&lt;D xsi:type="xsd:double"&gt;-0.5281031&lt;/D&gt;&lt;D xsi:type="xsd:double"&gt;0&lt;/D&gt;&lt;D xsi:type="xsd:double"&gt;3.6404967&lt;/D&gt;&lt;D xsi:type="xsd:double"&gt;9.037685&lt;/D&gt;&lt;D xsi:type="xsd:double"&gt;6.101215&lt;/D&gt;&lt;D xsi:type="xsd:double"&gt;-3.4868836&lt;/D&gt;&lt;D xsi:type="xsd:double"&gt;4.2094827&lt;/D&gt;&lt;D xsi:type="xsd:double"&gt;2.1310449&lt;/D&gt;&lt;D xsi:type="xsd:double"&gt;5.5434346&lt;/D&gt;&lt;D xsi:type="xsd:double"&gt;0.17704964&lt;/D&gt;&lt;D xsi:type="xsd:double"&gt;-0.64664483&lt;/D&gt;&lt;D xsi:type="xsd:double"&gt;0.12059212&lt;/D&gt;&lt;D xsi:type="xsd:double"&gt;-1.4754534&lt;/D&gt;&lt;D xsi:type="xsd:double"&gt;0.21393299&lt;/D&gt;&lt;D xsi:type="xsd:double"&gt;2.256775&lt;/D&gt;&lt;D xsi:type="xsd:double"&gt;-1.5210211&lt;/D&gt;&lt;D xsi:type="xsd:double"&gt;5.740273&lt;/D&gt;&lt;D xsi:type="xsd:double"&gt;2.2954702&lt;/D&gt;&lt;D xsi:type="xsd:double"&gt;-7.5373945&lt;/D&gt;&lt;D xsi:type="xsd:double"&gt;6.4094663&lt;/D&gt;&lt;D xsi:type="xsd:double"&gt;-10.204685&lt;/D&gt;&lt;D xsi:type="xsd:double"&gt;4.8204064&lt;/D&gt;&lt;D xsi:type="xsd:double"&gt;-6.7067385&lt;/D&gt;&lt;D xsi:type="xsd:double"&gt;4.340458&lt;/D&gt;&lt;D xsi:type="xsd:double"&gt;-4.712385&lt;/D&gt;&lt;D xsi:type="xsd:double"&gt;-9.140521&lt;/D&gt;&lt;D xsi:type="xsd:double"&gt;6.4939976&lt;/D&gt;&lt;D xsi:type="xsd:double"&gt;11.068022&lt;/D&gt;&lt;D xsi:type="xsd:double"&gt;2.398193&lt;/D&gt;&lt;D xsi:type="xsd:double"&gt;2.2019506&lt;/D&gt;&lt;D xsi:type="xsd:double"&gt;-2.1545112&lt;/D&gt;&lt;D xsi:type="xsd:double"&gt;3.9949656&lt;/D&gt;&lt;D xsi:type="xsd:double"&gt;1.7543793&lt;/D&gt;&lt;D xsi:type="xsd:double"&gt;-2.5424361&lt;/D&gt;&lt;D xsi:type="xsd:double"&gt;-2.238804&lt;/D&gt;&lt;D xsi:type="xsd:double"&gt;3.8486004&lt;/D&gt;&lt;D xsi:type="xsd:double"&gt;-2.7565122&lt;/D</t>
        </r>
      </text>
    </comment>
    <comment ref="A8" authorId="0" shapeId="0" xr:uid="{AAD48C5B-E28E-4DFE-A6BC-5178E5F38AA4}">
      <text>
        <r>
          <rPr>
            <b/>
            <sz val="9"/>
            <color indexed="81"/>
            <rFont val="Tahoma"/>
            <charset val="1"/>
          </rPr>
          <t>&gt;&lt;D xsi:type="xsd:double"&gt;-0.72440505&lt;/D&gt;&lt;D xsi:type="xsd:double"&gt;-1.2690365&lt;/D&gt;&lt;D xsi:type="xsd:double"&gt;4.6915174&lt;/D&gt;&lt;D xsi:type="xsd:double"&gt;2.9929519&lt;/D&gt;&lt;D xsi:type="xsd:double"&gt;-1.6768277&lt;/D&gt;&lt;D xsi:type="xsd:double"&gt;3.3488393&lt;/D&gt;&lt;D xsi:type="xsd:double"&gt;3.0303001&lt;/D&gt;&lt;D xsi:type="xsd:double"&gt;5.008745&lt;/D&gt;&lt;/FQL&gt;&lt;FQL&gt;&lt;Q&gt;EWJ^FMA_DIV_YLD(NTMA,-10AY,0,AM,"PORTAGG","MEANR")&lt;/Q&gt;&lt;R&gt;121&lt;/R&gt;&lt;C&gt;1&lt;/C&gt;&lt;D xsi:type="xsd:double"&gt;2.20636467399354&lt;/D&gt;&lt;D xsi:type="xsd:double"&gt;2.10441512694738&lt;/D&gt;&lt;D xsi:type="xsd:double"&gt;2.0669670765427&lt;/D&gt;&lt;D xsi:type="xsd:double"&gt;2.15463443255663&lt;/D&gt;&lt;D xsi:type="xsd:double"&gt;2.05515947432572&lt;/D&gt;&lt;D xsi:type="xsd:double"&gt;2.13249117562689&lt;/D&gt;&lt;D xsi:type="xsd:double"&gt;1.97905711928018&lt;/D&gt;&lt;D xsi:type="xsd:double"&gt;1.92672038675269&lt;/D&gt;&lt;D xsi:type="xsd:double"&gt;2.02456223817472&lt;/D&gt;&lt;D xsi:type="xsd:double"&gt;1.99678479952159&lt;/D&gt;&lt;D xsi:type="xsd:double"&gt;1.87935169917615&lt;/D&gt;&lt;D xsi:type="xsd:double"&gt;1.83454802125125&lt;/D&gt;&lt;D xsi:type="xsd:double"&gt;1.8762165620882&lt;/D&gt;&lt;D xsi:type="xsd:double"&gt;1.8995209371513&lt;/D&gt;&lt;D xsi:type="xsd:double"&gt;1.98691963546215&lt;/D&gt;&lt;D xsi:type="xsd:double"&gt;1.88174235547768&lt;/D&gt;&lt;D xsi:type="xsd:double"&gt;2.10526119266368&lt;/D&gt;&lt;D xsi:type="xsd:double"&gt;2.10330704758935&lt;/D&gt;&lt;D xsi:type="xsd:double"&gt;2.01457083118037&lt;/D&gt;&lt;D xsi:type="xsd:double"&gt;2.07145207501542&lt;/D&gt;&lt;D xsi:type="xsd:double"&gt;2.25240336398616&lt;/D&gt;&lt;D xsi:type="xsd:double"&gt;2.50739074895624&lt;/D&gt;&lt;D xsi:type="xsd:double"&gt;2.41111437391931&lt;/D&gt;&lt;D xsi:type="xsd:double"&gt;2.50648084240464&lt;/D&gt;&lt;D xsi:type="xsd:double"&gt;2.45204200483355&lt;/D&gt;&lt;D xsi:type="xsd:double"&gt;2.36606654879839&lt;/D&gt;&lt;D xsi:type="xsd:double"&gt;2.60836017181605&lt;/D&gt;&lt;D xsi:type="xsd:double"&gt;2.38823414145749&lt;/D&gt;&lt;D xsi:type="xsd:double"&gt;2.34644872613198&lt;/D&gt;&lt;D xsi:type="xsd:double"&gt;2.35917528264992&lt;/D&gt;&lt;D xsi:type="xsd:double"&gt;2.47609267228955&lt;/D&gt;&lt;D xsi:type="xsd:double"&gt;2.10087054762229&lt;/D&gt;&lt;D xsi:type="xsd:double"&gt;2.08328993888721&lt;/D&gt;&lt;D xsi:type="xsd:double"&gt;2.17107778573255&lt;/D&gt;&lt;D xsi:type="xsd:double"&gt;2.1464332643528&lt;/D&gt;&lt;D xsi:type="xsd:double"&gt;2.25706014424334&lt;/D&gt;&lt;D xsi:type="xsd:double"&gt;2.1515557210584&lt;/D&gt;&lt;D xsi:type="xsd:double"&gt;2.17547450532924&lt;/D&gt;&lt;D xsi:type="xsd:double"&gt;2.17636190844132&lt;/D&gt;&lt;D xsi:type="xsd:double"&gt;2.18472026615089&lt;/D&gt;&lt;D xsi:type="xsd:double"&gt;2.25204996512068&lt;/D&gt;&lt;D xsi:type="xsd:double"&gt;2.1495821983357&lt;/D&gt;&lt;D xsi:type="xsd:double"&gt;2.02234975484772&lt;/D&gt;&lt;D xsi:type="xsd:double"&gt;2.06481417274468&lt;/D&gt;&lt;D xsi:type="xsd:double"&gt;1.98029232041173&lt;/D&gt;&lt;D xsi:type="xsd:double"&gt;2.19981080208256&lt;/D&gt;&lt;D xsi:type="xsd:double"&gt;2.2567325470921&lt;/D&gt;&lt;D xsi:type="xsd:double"&gt;2.26316739765273&lt;/D&gt;&lt;D xsi:type="xsd:double"&gt;2.22001895176088&lt;/D&gt;&lt;D xsi:type="xsd:double"&gt;2.23228407234798&lt;/D&gt;&lt;D xsi:type="xsd:double"&gt;2.32710878239526&lt;/D&gt;&lt;D xsi:type="xsd:double"&gt;2.30130868419442&lt;/D&gt;&lt;D xsi:type="xsd:double"&gt;2.38818812340286&lt;/D&gt;&lt;D xsi:type="xsd:double"&gt;2.2882463923524&lt;/D&gt;&lt;D xsi:type="xsd:double"&gt;2.43389557508879&lt;/D&gt;&lt;D xsi:type="xsd:double"&gt;2.52843025551967&lt;/D&gt;&lt;D xsi:type="xsd:double"&gt;2.68639272708269&lt;/D&gt;&lt;D xsi:type="xsd:double"&gt;2.68350858947802&lt;/D&gt;&lt;D xsi:type="xsd:double"&gt;2.61965015606886&lt;/D&gt;&lt;D xsi:type="xsd:double"&gt;2.5589863875792&lt;/D&gt;&lt;D xsi:type="xsd:double"&gt;2.67091765152921&lt;/D&gt;&lt;D xsi:type="xsd:double"&gt;2.71878265457514&lt;/D&gt;&lt;D xsi:type="xsd:double"&gt;2.64576220588806&lt;/D&gt;&lt;D xsi:type="xsd:double"&gt;2.77226268766171&lt;/D&gt;&lt;D xsi:type="xsd:double"&gt;2.67677339690504&lt;/D&gt;&lt;D xsi:type="xsd:double"&gt;2.64176349860407&lt;/D&gt;&lt;D xsi:type="xsd:double"&gt;2.46069349422465&lt;/D&gt;&lt;D xsi:type="xsd:double"&gt;2.44199754735167&lt;/D&gt;&lt;D xsi:type="xsd:double"&gt;2.44069482796295&lt;/D&gt;&lt;D xsi:type="xsd:double"&gt;2.43240714230281&lt;/D&gt;&lt;D xsi:type="xsd:double"&gt;2.99880727609968&lt;/D&gt;&lt;D xsi:type="xsd:double"&gt;2.91891278617984&lt;/D&gt;&lt;D xsi:type="xsd:double"&gt;2.80723043569925&lt;/D&gt;&lt;D xsi:type="xsd:double"&gt;2.43337673514019&lt;/D&gt;&lt;D xsi:type="xsd:double"&gt;2.50789840795719&lt;/D&gt;&lt;D xsi:type="xsd:double"&gt;2.5065823460002&lt;/D&gt;&lt;D xsi:type="xsd:double"&gt;2.40603295928325&lt;/D&gt;&lt;D xsi:type="xsd:double"&gt;2.36562250884777&lt;/D&gt;&lt;D xsi:type="xsd:double"&gt;2.31632692045102&lt;/D&gt;&lt;D xsi:type="xsd:double"&gt;2.16163788046935&lt;/D&gt;&lt;D xsi:type="xsd:double"&gt;2.0859677786359&lt;/D&gt;&lt;D xsi:type="xsd:double"&gt;2.03171749282781&lt;/D&gt;&lt;D xsi:type="xsd:double"&gt;2.08992379677191&lt;/D&gt;&lt;D xsi:type="xsd:double"&gt;2.06618037527474&lt;/D&gt;&lt;D xsi:type="xsd:double"&gt;2.13018866670934&lt;/D&gt;&lt;D xsi:type="xsd:double"&gt;2.15678511945546&lt;/D&gt;&lt;D xsi:type="xsd:double"&gt;2.23588962126658&lt;/D&gt;&lt;D xsi:type="xsd:double"&gt;2.24639188444402&lt;/D&gt;&lt;D xsi:type="xsd:double"&gt;2.15318174436685&lt;/D&gt;&lt;D xsi:type="xsd:double"&gt;2.28802031860877&lt;/D&gt;&lt;D xsi:type="xsd:double"&gt;2.24317498963731&lt;/D&gt;&lt;D xsi:type="xsd:double"&gt;2.30476733104792&lt;/D&gt;&lt;D xsi:type="xsd:double"&gt;2.31435312411201&lt;/D&gt;&lt;D xsi:type="xsd:double"&gt;2.4134692107785&lt;/D&gt;&lt;D xsi:type="xsd:double"&gt;2.7512845278096&lt;/D&gt;&lt;D xsi:type="xsd:double"&gt;2.58321602033535&lt;/D&gt;&lt;D xsi:type="xsd:double"&gt;2.63713690052092&lt;/D&gt;&lt;D xsi:type="xsd:double"&gt;2.5458044804669&lt;/D&gt;&lt;D xsi:type="xsd:double"&gt;2.68127819877206&lt;/D&gt;&lt;D xsi:type="xsd:double"&gt;2.62383795473191&lt;/D&gt;&lt;D xsi:type="xsd:double"&gt;2.59604908291789&lt;/D&gt;&lt;D xsi:type="xsd:double"&gt;2.71224708572583&lt;/D&gt;&lt;D xsi:type="xsd:double"&gt;2.65605805631866&lt;/D&gt;&lt;D xsi:type="xsd:double"&gt;2.64604134607007&lt;/D&gt;&lt;D xsi:type="xsd:double"&gt;2.76596828657869&lt;/D&gt;&lt;D xsi:type="xsd:double"&gt;2.6106869416416&lt;/D&gt;&lt;D xsi:type="xsd:double"&gt;2.52460078409122&lt;/D&gt;&lt;D xsi:type="xsd:double"&gt;2.68130639603469&lt;/D&gt;&lt;D xsi:type="xsd:double"&gt;2.5187911099247&lt;/D&gt;&lt;D xsi:type="xsd:double"&gt;2.37740559693269&lt;/D&gt;&lt;D xsi:type="xsd:double"&gt;2.37470443538914&lt;/D&gt;&lt;D xsi:type="xsd:double"&gt;2.38781375500209&lt;/D&gt;&lt;D xsi:type="xsd:double"&gt;2.33030540450308&lt;/D&gt;&lt;D xsi:type="xsd:double"&gt;2.44964155242678&lt;/D&gt;&lt;D xsi:type="xsd:double"&gt;2.40347794865343&lt;/D&gt;&lt;D xsi:type="xsd:double"&gt;2.45793560065454&lt;/D&gt;&lt;D xsi:type="xsd:double"&gt;2.38808146100007&lt;/D&gt;&lt;D xsi:type="xsd:double"&gt;2.27304481666212&lt;/D&gt;&lt;D xsi:type="xsd:double"&gt;2.16103907813215&lt;/D&gt;&lt;D xsi:type="xsd:double"&gt;2.16695489159&lt;/D&gt;&lt;D xsi:type="xsd:double"&gt;2.21541015744956&lt;/D&gt;&lt;/FQL&gt;&lt;FQL&gt;&lt;Q&gt;EWC^FMA_PE(NTMA,-10AY,0,AM,"PORTAGG","MEANR")&lt;/Q&gt;&lt;R&gt;121&lt;/R&gt;&lt;C&gt;1&lt;/C&gt;&lt;D xsi:type="xsd:double"&gt;14.7275150967361&lt;/D&gt;&lt;D xsi:type="xsd:double"&gt;14.8192533754475&lt;/D&gt;&lt;D xsi:type="xsd:double"&gt;15.0966623570882&lt;/D&gt;&lt;D xsi:type="xsd:double"&gt;14.8831919315186&lt;/D&gt;&lt;D xsi:type="xsd:double"&gt;15.1407122984642&lt;/D&gt;&lt;D xsi:type="xsd:double"&gt;13.9920300185557&lt;/D&gt;&lt;D xsi:type="xsd:double"&gt;14.4497582395154&lt;/D&gt;&lt;D xsi:type="xsd:double"&gt;14.502064794738&lt;/D&gt;&lt;D xsi:type="xsd:double"&gt;15.3149830697429&lt;/D&gt;&lt;D xsi:type="xsd:double"&gt;17.1463277699207&lt;/D&gt;&lt;D xsi:type="xsd:double"&gt;17.056171223047&lt;/D&gt;&lt;D xsi:type="xsd:double"&gt;17.4853443260587&lt;/D&gt;&lt;D xsi:type="xsd:double"&gt;17.1771213709161&lt;/D&gt;&lt;D xsi:type="xsd:double"&gt;16.3145439055689&lt;/D&gt;&lt;D xsi:type="xsd:double"&gt;15.5123459480797&lt;/D&gt;&lt;D xsi:type="xsd:double"&gt;15.5029071218872&lt;/D&gt;&lt;D xsi:type="xsd:double"&gt;14.6501342903192&lt;/D&gt;&lt;D xsi:type="xsd:double"&gt;15.2171116414363&lt;/D&gt;&lt;D xsi:type="xsd:double"&gt;14.7243289802296&lt;/D&gt;&lt;D xsi:type="xsd:double"&gt;14.0481668772225&lt;/D&gt;&lt;D xsi:type="xsd:double"&gt;13.5282801551715&lt;/D&gt;&lt;D xsi:type="xsd:double"&gt;13.9982763124771&lt;/D&gt;&lt;D xsi:type="xsd:double"&gt;15.5396466233549&lt;/D&gt;&lt;D xsi:type="xsd:double"&gt;15.8352969578041&lt;/D&gt;&lt;D xsi:type="xsd:double"&gt;16.1134852634677&lt;/D&gt;&lt;D xsi:type="xsd:double"&gt;16.8087936460007&lt;/D&gt;&lt;D xsi:type="xsd:double"&gt;16.4029094886006&lt;/D&gt;&lt;D xsi:type="xsd:double"&gt;16.6073408121037&lt;/D&gt;&lt;D xsi:type="xsd:double"&gt;16.10554107775&lt;/D&gt;&lt;D xsi:type="xsd:double"&gt;15.9541864912331&lt;/D&gt;&lt;D xsi:type="xsd:double"&gt;15.8860864753293&lt;/D&gt;&lt;D xsi:type="xsd:double"&gt;15.9969482324079&lt;/D&gt;&lt;D xsi:type="xsd:double"&gt;15.8168604226243&lt;/D&gt;&lt;D xsi:type="xsd:double"&gt;16.1327694877527&lt;/D&gt;&lt;D xsi:type="xsd:double"&gt;15.9519956117587&lt;/D&gt;&lt;D xsi:type="xsd:double"&gt;15.948190873614&lt;/D&gt;&lt;D xsi:type="xsd:double"&gt;15.6441313870472&lt;/D&gt;&lt;D xsi:type="xsd:double"&gt;15.5265470273275&lt;/D&gt;&lt;D xsi:type="xsd:double"&gt;15.1231706187764&lt;/D&gt;&lt;D xsi:type="xsd:double"&gt;15.6742304261626&lt;/D&gt;&lt;D xsi:type="xsd:double"&gt;15.1299249058398&lt;/D&gt;&lt;D xsi:type="xsd:double"&gt;15.806109644792&lt;/D&gt;&lt;D xsi:type="xsd:double"&gt;15.990702021476&lt;/D&gt;&lt;D xsi:type="xsd:double"&gt;15.9796193354354&lt;/D&gt;&lt;D xsi:type="xsd:double"&gt;15.9233720733168&lt;/D&gt;&lt;D xsi:type="xsd:double"&gt;14.2710920811937&lt;/D&gt;&lt;D xsi:type="xsd:double"&gt;14.4567043259723&lt;/D&gt;&lt;D xsi:type="xsd:double"&gt;13.9952179742625&lt;/D&gt;&lt;D xsi:type="xsd:double"&gt;14.3024675254608&lt;/D&gt;&lt;D xsi:type="xsd:double"&gt;14.3269042801475&lt;/D&gt;&lt;D xsi:type="xsd:double"&gt;14.3005313149361&lt;/D&gt;&lt;D xsi:type="xsd:double"&gt;14.1270844883347&lt;/D&gt;&lt;D xsi:type="xsd:double"&gt;13.6137053487051&lt;/D&gt;&lt;D xsi:type="xsd:double"&gt;13.3175681388667&lt;/D&gt;&lt;D xsi:type="xsd:double"&gt;12.6934806330384&lt;/D&gt;&lt;D xsi:type="xsd:double"&gt;12.4792850401097&lt;/D&gt;&lt;D xsi:type="xsd:double"&gt;12.8054621255762&lt;/D&gt;&lt;D xsi:type="xsd:double"&gt;13.7901929408963&lt;/D&gt;&lt;D xsi:type="xsd:double"&gt;14.0913009231824&lt;/D&gt;&lt;D xsi:type="xsd:double"&gt;14.2070478773749&lt;/D&gt;&lt;D xsi:type="xsd:double"&gt;13.6356021311905&lt;/D&gt;&lt;D xsi:type="xsd:double"&gt;13.5388941024816&lt;/D&gt;&lt;D xsi:type="xsd:double"&gt;13.7528002933267&lt;/D&gt;&lt;D xsi:type="xsd:double"&gt;13.5866796270719&lt;/D&gt;&lt;D xsi:type="xsd:double"&gt;13.7470981667964&lt;/D&gt;&lt;D xsi:type="xsd:double"&gt;13.6878583926278&lt;/D&gt;&lt;D xsi:type="xsd:double"&gt;14.3010468385168&lt;/D&gt;&lt;D xsi:type="xsd:double"&gt;14.2737111979631&lt;/D&gt;&lt;D xsi:type="xsd:double"&gt;14.5373158151326&lt;/D&gt;&lt;D xsi:type="xsd:double"&gt;14.7927216556065&lt;/D&gt;&lt;D xsi:type="xsd:double"&gt;12.4602298644206&lt;/D&gt;&lt;D xsi:type="xsd:double"&gt;14.6933365726659&lt;/D&gt;&lt;D xsi:type="xsd:double"&gt;17.4520256216592&lt;/D&gt;&lt;D xsi:type="xsd:double"&gt;18.5569875897032&lt;/D&gt;&lt;D xsi:type="xsd:double"&gt;17.4883214488558&lt;/D&gt;&lt;D xsi:type="xsd:double"&gt;17.6966760986152&lt;/D&gt;&lt;D xsi:type="xsd:double"&gt;16.9104521838263&lt;/D&gt;&lt;D xsi:type="xsd:double"&gt;16.4952905881851&lt;/D&gt;&lt;D xsi:type="xsd:double"&gt;15.8516917858611&lt;/D&gt;&lt;D xsi:type="xsd:double"&gt;16.2540561637277&lt;/D&gt;&lt;D xsi:type="xsd:double"&gt;16.2979510066499&lt;/D&gt;&lt;D xsi:type="xsd:double"&gt;16.2475249400009&lt;/D&gt;&lt;D xsi:type="xsd:double"&gt;15.4744767665767&lt;/D&gt;&lt;D xsi:type="xsd:double"&gt;15.6017763757538&lt;/D&gt;&lt;D xsi:type="xsd:double"&gt;15.6041887488279&lt;/D&gt;&lt;D xsi:type="xsd:double"&gt;15.4956418691033&lt;/D&gt;&lt;D xsi:type="xsd:double"&gt;15.5256302553181&lt;/D&gt;&lt;D xsi:type="xsd:double"&gt;15.1005501318584&lt;/D&gt;&lt;D xsi:type="xsd:double"&gt;14.9173049131555&lt;/D&gt;&lt;D xsi:type="xsd:double"&gt;14.5818123564616&lt;/D&gt;&lt;D xsi:type="xsd:double"&gt;15.0552274003503&lt;/D&gt;&lt;D xsi:type="xsd:double"&gt;14.2614410909953&lt;/D&gt;&lt;D xsi:type="xsd:double"&gt;14.2666630416435&lt;/D&gt;&lt;D xsi:type="xsd:double"&gt;14.3930737961918&lt;/D&gt;&lt;D xsi:type="xsd:double"&gt;13.9938616012689&lt;/D&gt;&lt;D xsi:type="xsd:double"&gt;13.4699011542538&lt;/D&gt;&lt;D xsi:type="xsd:double"&gt;12.0138002297247&lt;/D&gt;&lt;D xsi:type="xsd:double"&gt;12.2649721723574&lt;/D&gt;&lt;D xsi:type="xsd:double"&gt;11.258766712821&lt;/D&gt;&lt;D xsi:type="xsd:double"&gt;11.4956503191618&lt;/D&gt;&lt;D xsi:type="xsd:double"&gt;11.6262405811149&lt;/D&gt;&lt;D xsi:type="xsd:double"&gt;10.8607747570257&lt;/D&gt;&lt;D xsi:type="xsd:double"&gt;11.4803988836001&lt;/D&gt;&lt;D xsi:type="xsd:double"&gt;12.1594861715241&lt;/D&gt;&lt;D xsi:type="xsd:double"&gt;12.2755660677201&lt;/D&gt;&lt;D xsi:type="xsd:double"&gt;12.8271517169724&lt;/D&gt;&lt;D xsi:type="xsd:double"&gt;12.6775517020192&lt;/D&gt;&lt;D xsi:type="xsd:double"&gt;12.7642705625729&lt;/D&gt;&lt;D xsi:type="xsd:double"&gt;13.0579119113393&lt;/D&gt;&lt;D xsi:type="xsd:double"&gt;12.8537991193252&lt;/D&gt;&lt;D xsi:type="xsd:double"&gt;12.7713273276333&lt;/D&gt;&lt;D xsi:type="xsd:double"&gt;13.204402993474&lt;/D&gt;&lt;D xsi:type="xsd:double"&gt;13.0013149379226&lt;/D&gt;&lt;D xsi:type="xsd:double"&gt;12.3635195686251&lt;/D&gt;&lt;D xsi:type="xsd:double"&gt;12.4630404783953&lt;/D&gt;&lt;D xsi:type="xsd:double"&gt;13.1734722300294&lt;/D&gt;&lt;D xsi:type="xsd:double"&gt;13.6632843247869&lt;/D&gt;&lt;D xsi:type="xsd:double"&gt;13.8937826067398&lt;/D&gt;&lt;D xsi:type="xsd:double"&gt;14.4535069213607&lt;/D&gt;&lt;D xsi:type="xsd:double"&gt;14.7157615102366&lt;/D&gt;&lt;D xsi:type="xsd:double"&gt;14.476496736899&lt;/D&gt;&lt;/FQL&gt;&lt;FQL&gt;&lt;Q&gt;ENZL^FMA_PE(LTMA,-10AY,0,AM,"PORTAGG","MEANR")&lt;/Q&gt;&lt;R&gt;121&lt;/R&gt;&lt;C&gt;1&lt;/C&gt;&lt;D xsi:type="xsd:double"&gt;18.0124463996806&lt;/D&gt;&lt;D xsi:type="xsd:double"&gt;17.9848191163251&lt;/D&gt;&lt;D xsi:type="xsd:double"&gt;17.9556627339154&lt;/D&gt;&lt;D xsi:type="xsd:double"&gt;17.8140554452325&lt;/D&gt;&lt;D xsi:type="xsd:double"&gt;17.97102129009&lt;/D&gt;&lt;D xsi:type="xsd:double"&gt;17.9581608061459&lt;/D&gt;&lt;D xsi:type="xsd:double"&gt;18.4979882655596&lt;/D&gt;&lt;D xsi:type="xsd:double"&gt;19.0541842460945&lt;/D&gt;&lt;D xsi:type="xsd:double"&gt;19.2938661591459&lt;/D&gt;&lt;D xsi:type="xsd:double"&gt;19.888558147425&lt;/D&gt;&lt;D xsi:type="xsd:double"&gt;20.4993947355674&lt;/D&gt;&lt;D xsi:type="xsd:double"&gt;20.2095275115956&lt;/D&gt;&lt;D xsi:type="xsd:double"&gt;20.0486370879803&lt;/D&gt;&lt;D xsi:type="xsd:double"&gt;20.0079154517319&lt;/D&gt;&lt;D xsi:type="xsd:double"&gt;19.6757742954693&lt;/D&gt;&lt;D xsi:type="xsd:double"&gt;19.7606320245722&lt;/D&gt;&lt;D xsi:type="xsd:double"&gt;19.1624734402009&lt;/D&gt;&lt;D xsi:type="xsd:double"&gt;18.6646324256699&lt;/D&gt;&lt;D xsi:type="xsd:double"&gt;19.5873412767795&lt;/D&gt;&lt;D xsi:type="xsd:double"&gt;19.3751020824657&lt;/D&gt;&lt;D xsi:type="xsd:double"&gt;19.2829323334111&lt;/D&gt;&lt;D xsi:type="xsd:double"&gt;18.8141183973487&lt;/D&gt;&lt;D xsi:type="xsd:double"&gt;19.3203618095863&lt;/D&gt;&lt;D xsi:type="xsd:double"&gt;19.3363810249183&lt;/D&gt;&lt;D xsi:type="xsd:double"&gt;19.5678268394164&lt;/D&gt;&lt;D xsi:type="xsd:double"&gt;19.7648392899219&lt;/D&gt;&lt;D xsi:type="xsd:double"&gt;19.8396744477502&lt;/D&gt;&lt;D xsi:type="xsd:double"&gt;20.6095189700207&lt;/D&gt;&lt;D xsi:type="xsd:double"&gt;21.2835286217647&lt;/D&gt;&lt;D xsi:type="xsd:double"&gt;20.5359243226378&lt;/D&gt;&lt;D xsi:type="xsd:double"&gt;19.3668084596111&lt;/D&gt;&lt;D xsi:type="xsd:double"&gt;19.9085519685142&lt;/D&gt;&lt;D xsi:type="xsd:double"&gt;20.3419725231417&lt;/D&gt;&lt;D xsi:type="xsd:double"&gt;20.6014135373868&lt;/D&gt;&lt;D xsi:type="xsd:double"&gt;19.7816345408462&lt;/D&gt;&lt;D xsi:type="xsd:double"&gt;19.8348037155764&lt;/D&gt;&lt;D xsi:type="xsd:double"&gt;19.9874327684503&lt;/D&gt;&lt;D xsi:type="xsd:double"&gt;19.946115112116&lt;/D&gt;&lt;D xsi:type="xsd:double"&gt;20.0987216470284&lt;/D&gt;&lt;D xsi:type="xsd:double"&gt;20.5984815301352&lt;/D&gt;&lt;D xsi:type="xsd:double"&gt;20.7030376270656&lt;/D&gt;&lt;D xsi:type="xsd:double"&gt;20.7565720079006&lt;/D&gt;&lt;D xsi:type="xsd:double"&gt;21.197397529953&lt;/D&gt;&lt;D xsi:type="xsd:double"&gt;21.8003076342161&lt;/D&gt;&lt;D xsi:type="xsd:double"&gt;22.3865258228564&lt;/D&gt;&lt;D xsi:type="xsd:double"&gt;20.4918446230976&lt;/D&gt;&lt;D xsi:type="xsd:double"&gt;22.5603705497098&lt;/D&gt;&lt;D xsi:type="xsd:double"&gt;22.4353528468598&lt;/D&gt;&lt;D xsi:type="xsd:double"&gt;22.4160148998688&lt;/D&gt;&lt;D xsi:type="xsd:double"&gt;22.7313828253394&lt;/D&gt;&lt;D xsi:type="xsd:double"&gt;22.9661308671716&lt;/D&gt;&lt;D xsi:type="xsd:double"&gt;22.9296251787785&lt;/D&gt;&lt;D xsi:type="xsd:double"&gt;23.2582411153284&lt;/D&gt;&lt;D xsi:type="xsd:double"&gt;23.1723802463805&lt;/D&gt;&lt;D xsi:type="xsd:double"&gt;23.1008487815122&lt;/D&gt;&lt;D xsi:type="xsd:double"&gt;22.788032044044&lt;/D&gt;&lt;D xsi:type="xsd:double"&gt;23.2921256941651&lt;/D&gt;&lt;D xsi:type="xsd:double"&gt;23.7647228636815&lt;/D&gt;&lt;D xsi:type="xsd:double"&gt;24.1803351618377&lt;/D&gt;&lt;D xsi:type="xsd:double"&gt;24.1124247581634&lt;/D&gt;&lt;D xsi:type="xsd:double"&gt;24.2570842780731&lt;/D&gt;&lt;D xsi:type="xsd:double"&gt;24.1552641667163&lt;/D&gt;&lt;D xsi:type="xsd:double"&gt;24.7886815938605&lt;/D&gt;&lt;D xsi:type="xsd:double"&gt;25.4422551338654&lt;/D&gt;&lt;D xsi:type="xsd:double"&gt;28.9838589793967&lt;/D&gt;&lt;D xsi:type="xsd:double"&gt;28.7721845792973&lt;/D&gt;&lt;D xsi:type="xsd:double"&gt;29.0897808951353&lt;/D&gt;&lt;D xsi:type="xsd:double"&gt;31.157234614435&lt;/D&gt;&lt;D xsi:type="xsd:double"&gt;32.4103342053015&lt;/D&gt;&lt;D xsi:type="xsd:double"&gt;32.7925074843803&lt;/D&gt;&lt;D xsi:type="xsd:double"&gt;30.9040411696865&lt;/D&gt;&lt;D xsi:type="xsd:double"&gt;30.7890893984906&lt;/D&gt;&lt;D xsi:type="xsd:double"&gt;31.8079860318139&lt;/D&gt;&lt;D xsi:type="xsd:double"&gt;32.445971086315&lt;/D&gt;&lt;D xsi:type="xsd:double"&gt;33.1385305935976&lt;/D&gt;&lt;D xsi:type="xsd:double"&gt;33.6940960123936&lt;/D&gt;&lt;D xsi:type="xsd:double"&gt;33.7165131904819&lt;/D&gt;&lt;D xsi:type="xsd:double"&gt;35.0361357978003&lt;/D&gt;&lt;D xsi:type="xsd:double"&gt;36.4958882532807&lt;/D&gt;&lt;D xsi:type="xsd:double"&gt;37.0296580922001&lt;/D&gt;&lt;D xsi:type="xsd:double"&gt;39.1768979265783&lt;/D&gt;&lt;D xsi:type="xsd:double"&gt;35.9895872061631&lt;/D&gt;&lt;D xsi:type="xsd:double"&gt;34.305506222675&lt;/D&gt;&lt;D xsi:type="xsd:double"&gt;34.4754655488868&lt;/D&gt;&lt;D xsi:type="xsd:double"&gt;34.58626107686&lt;/D&gt;&lt;D xsi:type="xsd:double"&gt;35.3692395860126&lt;/D&gt;&lt;D xsi:type="xsd:double"&gt;36.4228497855203&lt;/D&gt;&lt;D xsi:type="xsd:double"&gt;36.8491545178071&lt;/D&gt;&lt;D xsi:type="xsd:double"&gt;38.2823106645223&lt;/D&gt;&lt;D xsi:type="xsd:double"&gt;38.5008227676632&lt;/D&gt;&lt;D xsi:type="xsd:double"&gt;39.4471411030969&lt;/D&gt;&lt;D xsi:type="xsd:double"&gt;38.9569502089576&lt;/D&gt;&lt;D xsi:type="xsd:double"&gt;39.0782103740638&lt;/D&gt;&lt;D xsi:type="xsd:double"&gt;37.6547682608646&lt;/D&gt;&lt;D xsi:type="xsd:double"&gt;35.0846747009322&lt;/D&gt;&lt;D xsi:type="xsd:double"&gt;34.6115275159931&lt;/D&gt;&lt;D xsi:type="xsd:double"&gt;34.3812294897839&lt;/D&gt;&lt;D xsi:type="xsd:double"&gt;33.3141466698399&lt;/D&gt;&lt;D xsi:type="xsd:double"&gt;33.1441432492791&lt;/D&gt;&lt;D xsi:type="xsd:double"&gt;33.5433185238056&lt;/D&gt;&lt;D xsi:type="xsd:double"&gt;34.3223276342766&lt;/D&gt;&lt;D xsi:type="xsd:double"&gt;31.7735960771223&lt;/D&gt;&lt;D xsi:type="xsd:double"&gt;30.8542334142635&lt;/D&gt;&lt;D xsi:type="xsd:double"&gt;29.5336256195382&lt;/D&gt;&lt;D xsi:type="xsd:double"&gt;29.518446138585&lt;/D&gt;&lt;D xsi:type="xsd:double"&gt;29.9069019164909&lt;/D&gt;&lt;D xsi:type="xsd:double"&gt;29.3060140550876&lt;/D&gt;&lt;D xsi:type="xsd:double"&gt;28.8377979758141&lt;/D&gt;&lt;D xsi:type="xsd:double"&gt;28.3054036997607&lt;/D&gt;&lt;D xsi:type="xsd:double"&gt;26.4766955421626&lt;/D&gt;&lt;D xsi:type="xsd:double"&gt;25.9927743640592&lt;/D&gt;&lt;D xsi:type="xsd:double"&gt;24.9367153977503&lt;/D&gt;&lt;D xsi:type="xsd:double"&gt;24.2680254645382&lt;/D&gt;&lt;D xsi:type="xsd:double"&gt;23.3950016095576&lt;/D&gt;&lt;D xsi:type="xsd:double"&gt;22.7824280989704&lt;/D&gt;&lt;D xsi:type="xsd:double"&gt;23.6111312262723&lt;/D&gt;&lt;D xsi:type="xsd:double"&gt;24.0978435728865&lt;/D&gt;&lt;D xsi:type="xsd:double"&gt;23.29424360869&lt;/D&gt;&lt;D xsi:type="xsd:double"&gt;23.7985707184715&lt;/D&gt;&lt;D xsi:type="xsd:double"&gt;24.0666527483756&lt;/D&gt;&lt;D xsi:type="xsd:double"&gt;24.4111047655035&lt;/D&gt;&lt;/FQL&gt;&lt;FQL&gt;&lt;Q&gt;WL-FDS^FG_PRICE_MAVG(0,,,,30)&lt;/Q&gt;&lt;R&gt;1&lt;/R&gt;&lt;C&gt;1&lt;/C&gt;&lt;D xsi:type="xsd:double"&gt;598.02&lt;/D&gt;&lt;/FQL&gt;&lt;FQL&gt;&lt;Q&gt;NI-FDS^FG_PRICE_MAVG(0,,,,30)&lt;/Q&gt;&lt;R&gt;1&lt;/R&gt;&lt;C&gt;1&lt;/C&gt;&lt;D xsi:type="xsd:double"&gt;18171.5&lt;/D&gt;&lt;/FQL&gt;&lt;FQL&gt;&lt;Q&gt;CPALM-FDS^FG_PRICE_MAVG(0,,,,30)&lt;/Q&gt;&lt;R&gt;1&lt;/R&gt;&lt;C&gt;1&lt;/C&gt;&lt;D xsi:type="xsd:double"&gt;4188.9&lt;/D&gt;&lt;/FQL&gt;&lt;FQL&gt;&lt;Q&gt;BRENT-FDS^FG_PRICE_MAVG(0,,,,30)&lt;/Q&gt;&lt;R&gt;1&lt;/R&gt;&lt;C&gt;1&lt;/C&gt;&lt;D xsi:type="xsd:double"&gt;85.86&lt;/D&gt;&lt;/FQL&gt;&lt;FQL&gt;&lt;Q&gt;TIOS-FDS^FG_PRICE_MAVG(0,,,,30)&lt;/Q&gt;&lt;R&gt;1&lt;/R&gt;&lt;C&gt;1&lt;/C&gt;&lt;D xsi:type="xsd:double"&gt;108.83667&lt;/D&gt;&lt;/FQL&gt;&lt;FQL&gt;&lt;Q&gt;EWN^FG_PRICE_MAVG(0,,,,30)&lt;/Q&gt;&lt;R&gt;1&lt;/R&gt;&lt;C&gt;1&lt;/C&gt;&lt;D xsi:type="xsd:double"&gt;48.804832&lt;/D&gt;&lt;/FQL&gt;&lt;FQL&gt;&lt;Q&gt;EWU^FG_PRICE_MAVG(0,,,,30)&lt;/Q&gt;&lt;R&gt;1&lt;/R&gt;&lt;C&gt;1&lt;/C&gt;&lt;D xsi:type="xsd:double"&gt;34.393333&lt;/D&gt;&lt;/FQL&gt;&lt;FQL&gt;&lt;Q&gt;EWC^FG_PRICE_MAVG(0,,,,30)&lt;/Q&gt;&lt;R&gt;1&lt;/R&gt;&lt;C&gt;1&lt;/C&gt;&lt;D xsi:type="xsd:double"&gt;37.644333&lt;/D&gt;&lt;/FQL&gt;&lt;FQL&gt;&lt;Q&gt;QQQ^FG_COMPANY_NAME&lt;/Q&gt;&lt;R&gt;1&lt;/R&gt;&lt;C&gt;1&lt;/C&gt;&lt;D xsi:type="xsd:string"&gt;Invesco QQQ Trust Series I&lt;/D&gt;&lt;/FQL&gt;&lt;FQL&gt;&lt;Q&gt;FXI^FMA_PCT_ABOVE_MAVG(200,0,,,,"PORTAGG")&lt;/Q&gt;&lt;R&gt;1&lt;/R&gt;&lt;C&gt;1&lt;/C&gt;&lt;D xsi:type="xsd:double"&gt;80.3921568627451&lt;/D&gt;&lt;/FQL&gt;&lt;FQL&gt;&lt;Q&gt;CAGDPY@IT^EE_ACTUAL_ANNUAL(MED,+1)&lt;/Q&gt;&lt;R&gt;1&lt;/R&gt;&lt;C&gt;1&lt;/C&gt;&lt;D xsi:type="xsd:double"&gt;0.95&lt;/D&gt;&lt;/FQL&gt;&lt;FQL&gt;&lt;Q&gt;CAGDPY@JP^EE_ACTUAL_ANNUAL(MED,+1)&lt;/Q&gt;&lt;R&gt;1&lt;/R&gt;&lt;C&gt;1&lt;/C&gt;&lt;D xsi:type="xsd:double"&gt;3.5&lt;/D&gt;&lt;/FQL&gt;&lt;FQL&gt;&lt;Q&gt;CC_CA^FG_COMPANY_NAME&lt;/Q&gt;&lt;R&gt;1&lt;/R&gt;&lt;C&gt;1&lt;/C&gt;&lt;D xsi:type="xsd:string"&gt;Canada&lt;/D&gt;&lt;/FQL&gt;&lt;FQL&gt;&lt;Q&gt;USDSEK^FG_PRICE_CHANGE(0,-1AY)&lt;/Q&gt;&lt;R&gt;1&lt;/R&gt;&lt;C&gt;1&lt;/C&gt;&lt;D xsi:type="xsd:double"&gt;6.437528&lt;/D&gt;&lt;/FQL&gt;&lt;FQL&gt;&lt;Q&gt;USDCHF^FG_PRICE_CHANGE(0,-1AY)&lt;/Q&gt;&lt;R&gt;1&lt;/R&gt;&lt;C&gt;1&lt;/C&gt;&lt;D xsi:type="xsd:double"&gt;1.7277241&lt;/D&gt;&lt;/FQL&gt;&lt;FQL&gt;&lt;Q&gt;USDEUR^FG_PRICE_CHANGE(0,-1AY)&lt;/Q&gt;&lt;R&gt;1&lt;/R&gt;&lt;C&gt;1&lt;/C&gt;&lt;D xsi:type="xsd:double"&gt;1.6610146&lt;/D&gt;&lt;/FQL&gt;&lt;FQL&gt;&lt;Q&gt;USDAUD^FG_PRICE_CHANGE(0,-1AY)&lt;/Q&gt;&lt;R&gt;1&lt;/R&gt;&lt;C&gt;1&lt;/C&gt;&lt;D xsi:type="xsd:double"&gt;2.2627473&lt;/D&gt;&lt;/FQL&gt;&lt;FQL&gt;&lt;Q&gt;QQQ^FMA_EPS(NTMA,-20AY,0,CY,,"PORTAGG","MEANR")&lt;/Q&gt;&lt;R&gt;20&lt;/R&gt;&lt;C&gt;1&lt;/C&gt;&lt;D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xsi:type="xsd:double"&gt;9.35231845695688&lt;/D&gt;&lt;D xsi:type="xsd:double"&gt;10.4260783076313&lt;/D&gt;&lt;D xsi:type="xsd:double"&gt;13.6402697494705&lt;/D&gt;&lt;D xsi:type="xsd:double"&gt;12.7503134568906&lt;/D&gt;&lt;D xsi:type="xsd:double"&gt;16.3243001939027&lt;/D&gt;&lt;/FQL&gt;&lt;FQL&gt;&lt;Q&gt;EWL^P_PRICE_RETURNS_PR('52W',2,-10AY,0,AM)&lt;/Q&gt;&lt;R&gt;121&lt;/R&gt;&lt;C&gt;1&lt;/C&gt;&lt;D xsi:type="xsd:double"&gt;15.822554&lt;/D&gt;&lt;D xsi:type="xsd:double"&gt;20.032227&lt;/D&gt;&lt;D xsi:type="xsd:double"&gt;21.018578&lt;/D&gt;&lt;D xsi:type="xsd:double"&gt;8.654345&lt;/D&gt;&lt;D xsi:type="xsd:double"&gt;13.239312&lt;/D&gt;&lt;D xsi:type="xsd:double"&gt;5.1068664&lt;/D&gt;&lt;D xsi:type="xsd:double"&gt;3.5873532&lt;/D&gt;&lt;D xsi:type="xsd:double"&gt;4.3702602&lt;/D&gt;&lt;D xsi:type="xsd:double"&gt;-1.1441171&lt;/D&gt;&lt;D xsi:type="xsd:double"&gt;1.184535&lt;/D&gt;&lt;D xsi:type="xsd:double"&gt;-2.76317&lt;/D&gt;&lt;D xsi:type="xsd:double"&gt;1.2048483&lt;/D&gt;&lt;D xsi:type="xsd:double"&gt;3.1496644&lt;/D&gt;&lt;D xsi:type="xsd:double"&gt;0.29855967&lt;/D&gt;&lt;D xsi:type="xsd:double"&gt;-1.4026582&lt;/D&gt;&lt;D xsi:type="xsd:double"&gt;5.897236&lt;/D&gt;&lt;D xsi:type="xsd:double"&gt;-3.4921288&lt;/D&gt;&lt;D xsi:type="xsd:double"&gt;5.1244617&lt;/D&gt;&lt;D xsi:type="xsd:double"&gt;-0.28759837&lt;/D&gt;&lt;D xsi:type="xsd:double"&gt;-3.240782&lt;/D&gt;&lt;D xsi:type="xsd:double"&gt;-4.7481594&lt;/D&gt;&lt;D xsi:type="xsd:double"&gt;-12.417394&lt;/D&gt;&lt;D xsi:type="xsd:double"&gt;-8.552689&lt;/D&gt;&lt;D xsi:type="xsd:double"&gt;-9.7456455&lt;/D&gt;&lt;D xsi:type="xsd:double"&gt;-12.767315&lt;/D&gt;&lt;D xsi:type="xsd:double"&gt;-8.350414&lt;/D&gt;&lt;D xsi:type="xsd:double"&gt;-7.360637&lt;/D&gt;&lt;D xsi:type="xsd:double"&gt;-7.481498&lt;/D&gt;&lt;D xsi:type="xsd:double"&gt;-0.85659623&lt;/D&gt;&lt;D xsi:type="xsd:double"&gt;-1.6426384&lt;/D&gt;&lt;D xsi:type="xsd:double"&gt;-3.3073604&lt;/D&gt;&lt;D xsi:type="xsd:double"&gt;-3.3436477&lt;/D&gt;&lt;D xsi:type="xsd:double"&gt;6.1702967&lt;/D&gt;&lt;D xsi:type="xsd:double"&gt;13.152992&lt;/D&gt;&lt;D xsi:type="xsd:double"&gt;10.332918&lt;/D&gt;&lt;D xsi:type="xsd:double"&gt;10.058821&lt;/D&gt;&lt;D xsi:type="xsd:double"&gt;16.798258&lt;/D&gt;&lt;D xsi:type="xsd:double"&gt;14.132822&lt;/D&gt;&lt;D xsi:type="xsd:double"&gt;19.786442&lt;/D&gt;&lt;D xsi:type="xsd:double"&gt;17.063225&lt;/D&gt;&lt;D xsi:type="xsd:double"&gt;14.52285&lt;/D&gt;&lt;D xsi:type="xsd:double"&gt;18.365705&lt;/D&gt;&lt;D xsi:type="xsd:double"&gt;18.98123&lt;/D&gt;&lt;D xsi:type="xsd:double"&gt;23.937057&lt;/D&gt;&lt;D xsi:type="xsd:double"&gt;22.525143&lt;/D&gt;&lt;D xsi:type="xsd:double"&gt;14.797651&lt;/D&gt;&lt;D xsi:type="xsd:double"&gt;14.363373&lt;/D&gt;&lt;D xsi:type="xsd:double"&gt;9.809685&lt;/D&gt;&lt;D xsi:type="xsd:double"&gt;3.0685425&lt;/D&gt;&lt;D xsi:type="xsd:double"&gt;-0.3545165&lt;/D&gt;&lt;D xsi:type="xsd:double"&gt;0.37078857&lt;/D&gt;&lt;D xsi:type="xsd:double"&gt;2.596569&lt;/D&gt;&lt;D xsi:type="xsd:double"&gt;1.3222218&lt;/D&gt;&lt;D xsi:type="xsd:double"&gt;-1.2193918&lt;/D&gt;&lt;D xsi:type="xsd:double"&gt;-0.27011633&lt;/D&gt;&lt;D xsi:type="xsd:double"&gt;-4.622042&lt;/D&gt;&lt;D xsi:type="xsd:double"&gt;-7.5904074&lt;/D&gt;&lt;D xsi:type="xsd:double"&gt;-1.466918&lt;/D&gt;&lt;D xsi:type="xsd:double"&gt;0.9754658&lt;/D&gt;&lt;D xsi:type="xsd:double"&gt;7.00227&lt;/D&gt;&lt;D xsi:type="xsd:double"&gt;5.612111&lt;/D&gt;&lt;D xsi:type="xsd:double"&gt;14.022934&lt;/D&gt;&lt;D xsi:type="xsd:double"&gt;13.530434&lt;/D&gt;&lt;D xsi:type="xsd:double"&gt;10.281897&lt;/D&gt;&lt;D xsi:type="xsd:double"&gt;13.278341&lt;/D&gt;&lt;D xsi:type="xsd:double"&gt;12.06038&lt;/D&gt;&lt;D xsi:type="xsd:double"&gt;17.979097&lt;/D&gt;&lt;D xsi:type="xsd:double"&gt;23.896753&lt;/D&gt;&lt;D xsi:type="xsd:double"&gt;26.983011&lt;/D&gt;&lt;D xsi:type="xsd:double"&gt;28.107632&lt;/D&gt;&lt;D xsi:type="xsd:double"&gt;7.4153185&lt;/D&gt;&lt;D xsi:type="xsd:double"&gt;3.6839724&lt;/D&gt;&lt;D xsi:type="xsd:double"&gt;6.4263105&lt;/D&gt;&lt;D xsi:type="xsd:double"&gt;8.998966&lt;/D&gt;&lt;D xsi:type="xsd:double"&gt;9.131586&lt;/D&gt;&lt;D xsi:type="xsd:double"&gt;13.717138&lt;/D&gt;&lt;D xsi:type="xsd:double"&gt;12.712515&lt;/D&gt;&lt;D xsi:type="xsd:double"&gt;16.144062&lt;/D&gt;&lt;D xsi:type="xsd:double"&gt;10.867178&lt;/D&gt;&lt;D xsi:type="xsd:double"&gt;13.102472&lt;/D&gt;&lt;D xsi:type="xsd:double"&gt;13.487207&lt;/D&gt;&lt;D xsi:type="xsd:double"&gt;10.233891&lt;/D&gt;&lt;D xsi:type="xsd:double"&gt;23.525928&lt;/D&gt;&lt;D xsi:type="xsd:double"&gt;29.537224&lt;/D&gt;&lt;D xsi:type="xsd:double"&gt;31.8946&lt;/D&gt;&lt;D xsi:type="xsd:double"&gt;28.431463&lt;/D&gt;&lt;D xsi:type="xsd:double"&gt;26.042128&lt;/D&gt;&lt;D xsi:type="xsd:double"&gt;24.310244&lt;/D&gt;&lt;D xsi:type="xsd:double"&gt;20.200062&lt;/D&gt;&lt;D xsi:type="xsd:double"&gt;16.3324&lt;/D&gt;&lt;D xsi:type="xsd:double"&gt;23.893654&lt;/D&gt;&lt;D xsi:type="xsd:double"&gt;19.231533&lt;/D&gt;&lt;D xsi:type="xsd:double"&gt;16.90092&lt;/D&gt;&lt;D xsi:type="xsd:double"&gt;12.2773285&lt;/D&gt;&lt;D xsi:type="xsd:double"&gt;7.887268&lt;/D&gt;&lt;D xsi:type="xsd:double"&gt;10.34627&lt;/D&gt;&lt;D xsi:type="xsd:double"&gt;-7.702112&lt;/D&gt;&lt;D xsi:type="xsd:double"&gt;-13.28795&lt;/D&gt;&lt;D xsi:type="xsd:double"&gt;-13.926906&lt;/D&gt;&lt;D xsi:type="xsd:double"&gt;-12.653196&lt;/D&gt;&lt;D xsi:type="xsd:double"&gt;-14.36016&lt;/D&gt;&lt;D xsi:type="xsd:double"&gt;-19.16877&lt;/D&gt;&lt;D xsi:type="xsd:double"&gt;-20.500261&lt;/D&gt;&lt;D xsi:type="xsd:double"&gt;-14.3558445&lt;/D&gt;&lt;D xsi:type="xsd:double"&gt;-13.80912&lt;/D&gt;&lt;D xsi:type="xsd:double"&gt;-8.672732&lt;/D&gt;&lt;D xsi:type="xsd:double"&gt;-5.631423&lt;/D&gt;&lt;D xsi:type="xsd:double"&gt;-4.143983&lt;/D&gt;&lt;D xsi:type="xsd:double"&gt;15.221262&lt;/D&gt;&lt;D xsi:type="xsd:double"&gt;11.12628&lt;/D&gt;&lt;D xsi:type="xsd:double"&gt;10.85999&lt;/D&gt;&lt;D xsi:type="xsd:double"&gt;10.535086&lt;/D&gt;&lt;D xsi:type="xsd:double"&gt;13.431919&lt;/D&gt;&lt;D xsi:type="xsd:double"&gt;18.913532&lt;/D&gt;&lt;D xsi:type="xsd:double"&gt;10.344577&lt;/D&gt;&lt;D xsi:type="xsd:double"&gt;10.207712&lt;/D&gt;&lt;D xsi:type="xsd:double"&gt;11.319947&lt;/D&gt;&lt;D xsi:type="xsd:double"&gt;6.564498&lt;/D&gt;&lt;D xsi:type="xsd:double"&gt;14.364445&lt;/D&gt;&lt;D xsi:type="xsd:double"&gt;3.3517241&lt;/D&gt;&lt;D xsi:type="xsd:double"&gt;-0.0019609928&lt;/D&gt;&lt;/FQL&gt;&lt;FQL&gt;&lt;Q&gt;EWG^FG_TOTAL_RETURNC(-10AY,0,AM)&lt;/Q&gt;&lt;R&gt;121&lt;/R&gt;&lt;C&gt;1&lt;/C&gt;&lt;D xsi:type="xsd:double"&gt;-0.3498733&lt;/D&gt;&lt;D xsi:type="xsd:double"&gt;2.8726459&lt;/D&gt;&lt;D xsi:type="xsd:double"&gt;-1.7177463&lt;/D&gt;&lt;D xsi:type="xsd:double"&gt;-8.599037&lt;/D&gt;&lt;D xsi:type="xsd:double"&gt;2.5722384&lt;/D&gt;&lt;D xsi:type="xsd:double"&gt;-9.824806&lt;/D&gt;&lt;D xsi:type="xsd:double"&gt;2.4380922&lt;/D&gt;&lt;D xsi:type="xsd:double"&gt;5.541098&lt;/D&gt;&lt;D xsi:type="xsd:double"&gt;-5.7434797&lt;/D&gt;&lt;D xsi:type="xsd:double"&gt;5.0841093&lt;/D&gt;&lt;D xsi:type="xsd:double"&gt;4.2333603&lt;/D&gt;&lt;D xsi:type="xsd:double"&gt;3.2423258&lt;/D&gt;&lt;D xsi:type="xsd:double"&gt;0.4297495&lt;/D&gt;&lt;D xsi:type="xsd:double"&gt;-5.7274523&lt;/D&gt;&lt;D xsi:type="xsd:double"&gt;-2.1719754&lt;/D&gt;&lt;D xsi:type="xsd:double"&gt;4.4299126&lt;/D&gt;&lt;D xsi:type="xsd:double"&gt;-9.179413&lt;/D&gt;&lt;D xsi:type="xsd:double"&gt;0.5359888&lt;/D&gt;&lt;D xsi:type="xsd:double"&gt;0.83777905&lt;/D&gt;&lt;D xsi:type="xsd:double"&gt;-0.3021121&lt;/D&gt;&lt;D xsi:type="xsd:double"&gt;-7.9924164&lt;/D&gt;&lt;D xsi:type="xsd:double"&gt;-5.4343405&lt;/D&gt;&lt;D xsi:type="xsd:double"&gt;5.964303&lt;/D&gt;&lt;D xsi:type="xsd:double"&gt;2.7937531&lt;/D&gt;&lt;D xsi:type="xsd:double"&gt;3.1974435&lt;/D&gt;&lt;D xsi:type="xsd:double"&gt;0.735867&lt;/D&gt;&lt;D xsi:type="xsd:double"&gt;-6.8639517&lt;/D&gt;&lt;D xsi:type="xsd:double"&gt;11.078226&lt;/D&gt;&lt;D xsi:type="xsd:double"&gt;-0.7613301&lt;/D&gt;&lt;D xsi:type="xsd:double"&gt;0.03836155&lt;/D&gt;&lt;D xsi:type="xsd:double"&gt;-1.6487718&lt;/D&gt;&lt;D xsi:type="xsd:double"&gt;1.7153978&lt;/D&gt;&lt;D xsi:type="xsd:double"&gt;2.8716683&lt;/D&gt;&lt;D xsi:type="xsd:double"&gt;1.7145038&lt;/D&gt;&lt;D xsi:type="xsd:double"&gt;1.8321753&lt;/D&gt;&lt;D xsi:type="xsd:double"&gt;2.3029804&lt;/D&gt;&lt;D xsi:type="xsd:double"&gt;6.7885995&lt;/D&gt;&lt;D xsi:type="xsd:double"&gt;3.0303001&lt;/D&gt;&lt;D xsi:type="xsd:double"&gt;-1.1813283&lt;/D&gt;&lt;D xsi:type="xsd:double"&gt;1.3522387&lt;/D&gt;&lt;D xsi:type="xsd:double"&gt;2.7985692&lt;/D&gt;&lt;D xsi:type="xsd:double"&gt;2.7540326&lt;/D&gt;&lt;D xsi:type="xsd:double"&gt;1.1090636&lt;/D&gt;&lt;D xsi:type="xsd:double"&gt;0.9750128&lt;/D&gt;&lt;D xsi:type="xsd:double"&gt;3.519535&lt;/D&gt;&lt;D xsi:type="xsd:double"&gt;-6.2536535&lt;/D&gt;&lt;D xsi:type="xsd:double"&gt;2.2132158&lt;/D&gt;&lt;D xsi:type="xsd:double"&gt;-1.4638603&lt;/D&gt;&lt;D xsi:type="xsd:double"&gt;1.8260598&lt;/D&gt;&lt;D xsi:type="xsd:double"&gt;-2.1276593&lt;/D&gt;&lt;D xsi:type="xsd:double"&gt;-1.9747436&lt;/D&gt;&lt;D xsi:type="xsd:double"&gt;-0.55158734&lt;/D&gt;&lt;D xsi:type="xsd:double"&gt;-4.95922&lt;/D&gt;&lt;D xsi:type="xsd:double"&gt;-1.2358367&lt;/D&gt;&lt;D xsi:type="xsd:double"&gt;-4.483843&lt;/D&gt;&lt;D xsi:type="xsd:double"&gt;-6.623&lt;/D&gt;&lt;D xsi:type="xsd:double"&gt;2.8838634&lt;/D&gt;&lt;D xsi:type="xsd:double"&gt;-1.8560588&lt;/D&gt;&lt;D xsi:type="xsd:double"&gt;3.78232&lt;/D&gt;&lt;D xsi:type="xsd:double"&gt;2.826333&lt;/D&gt;&lt;D xsi:type="xsd:double"&gt;1.7721534&lt;/D&gt;&lt;D xsi:type="xsd:double"&gt;-0.95948577&lt;/D&gt;&lt;D xsi:type="xsd:double"&gt;2.445805&lt;/D&gt;&lt;D xsi:type="xsd:double"&gt;-5.4695964&lt;/D&gt;&lt;D xsi:type="xsd:double"&gt;2.931106&lt;/D&gt;&lt;D xsi:type="xsd:double"&gt;-2.329886&lt;/D&gt;&lt;D xsi:type="xsd:double"&gt;9.882617&lt;/D&gt;&lt;D xsi:type="xsd:double"&gt;-0.8959353&lt;/D&gt;&lt;D xsi:type="xsd:double"&gt;3.7552118&lt;/D&gt;&lt;D xsi:type="xsd:double"&gt;-2.010727&lt;/D&gt;&lt;D xsi:type="xsd:double"&gt;-18.741447&lt;/D&gt;&lt;D xsi:type="xsd:double"&gt;-3.0303001&lt;/D&gt;&lt;D xsi:type="xsd:double"&gt;2.34375&lt;/D&gt;&lt;D xsi:type="xsd:double"&gt;19.762505&lt;/D&gt;&lt;D xsi:type="xsd:double"&gt;-0.6388068&lt;/D&gt;&lt;D xsi:type="xsd:double"&gt;5.149448&lt;/D&gt;&lt;D xsi:type="xsd:double"&gt;4.178083&lt;/D&gt;&lt;D xsi:type="xsd:double"&gt;-0.723207&lt;/D&gt;&lt;D xsi:type="xsd:double"&gt;-2.5165558&lt;/D&gt;&lt;D xsi:type="xsd:double"&gt;5.808425&lt;/D&gt;&lt;D xsi:type="xsd:double"&gt;7.013643&lt;/D&gt;&lt;D xsi:type="xsd:double"&gt;-0.5467713&lt;/D&gt;&lt;D xsi:type="xsd:double"&gt;0.09162426&lt;/D&gt;&lt;D xsi:type="xsd:double"&gt;5.584371&lt;/D&gt;&lt;D xsi:type="xsd:double"&gt;2.543354&lt;/D&gt;&lt;D xsi:type="xsd:double"&gt;1.7474651&lt;/D&gt;&lt;D xsi:type="xsd:double"&gt;-1.6251206&lt;/D&gt;&lt;D xsi:type="xsd:double"&gt;-0.7731855&lt;/D&gt;&lt;D xsi:type="xsd:double"&gt;-0.34632683&lt;/D&gt;&lt;D xsi:type="xsd:double"&gt;-5.2128553&lt;/D&gt;&lt;D xsi:type="xsd:double"&gt;5.255127&lt;/D&gt;&lt;D xsi:type="xsd:double"&gt;-5.602324&lt;/D&gt;&lt;D xsi:type="xsd:double"&gt;2.6951432&lt;/D&gt;&lt;D xsi:type="xsd:double"&gt;-1.4799178&lt;/D&gt;&lt;D xsi:type="xsd:double"&gt;-15.113425&lt;/D&gt;&lt;D xsi:type="xsd:double"&gt;0&lt;/D&gt;&lt;D xsi:type="xsd:double"&gt;-10.039729&lt;/D&gt;&lt;D xsi:type="xsd:double"&gt;5.989039&lt;/D&gt;&lt;D xsi:type="xsd:double"&gt;-11.55799&lt;/D&gt;&lt;D xsi:type="xsd:double"&gt;3.4878612&lt;/D&gt;&lt;D xsi:type="xsd:double"&gt;-4.3515387&lt;/D&gt;&lt;D xsi:type="xsd:double"&gt;-10.838538&lt;/D&gt;&lt;D xsi:type="xsd:double"&gt;12.906456&lt;/D&gt;&lt;D xsi:type="xsd:double"&gt;11.918473&lt;/D&gt;&lt;D xsi:type="xsd:double"&gt;5.775821&lt;/D&gt;&lt;D xsi:type="xsd:double"&gt;5.316365&lt;/D&gt;&lt;D xsi:type="xsd:double"&gt;-2.1329463&lt;/D&gt;&lt;D xsi:type="xsd:double"&gt;3.8140178&lt;/D&gt;&lt;D xsi:type="xsd:double"&gt;2.3093104&lt;/D&gt;&lt;D xsi:type="xsd:double"&gt;-2.4546564&lt;/D&gt;&lt;D xsi:type="xsd:double"&gt;-0.2881825&lt;/D&gt;&lt;D xsi:type="xsd:double"&gt;1.8063545&lt;/D&gt;&lt;D xsi:type="xsd:double"&gt;-3.7970185&lt;/D&gt;&lt;D xsi:type="xsd:double"&gt;-4.4264135&lt;/D&gt;&lt;D xsi:type="xsd:double"&gt;1.273644&lt;/D&gt;&lt;D xsi:type="xsd:double"&gt;10.518289&lt;/D&gt;&lt;D xsi:type="xsd:double"&gt;0.55698156&lt;/D&gt;&lt;D xsi:type="xsd:double"&gt;0.37722588&lt;/D&gt;&lt;D xsi:type="xsd:double"&gt;5.9446573&lt;/D&gt;&lt;D xsi:type="xsd:double"&gt;1.1286736&lt;/D&gt;&lt;D xsi:type="xsd:double"&gt;2.2321463&lt;/D&gt;&lt;/FQL&gt;&lt;FQL&gt;&lt;Q&gt;EWA^FMA_DIV_YLD(NTMA,-10AY,0,AM,"PORTAGG","MEANR")&lt;/Q&gt;&lt;R&gt;121&lt;/R&gt;&lt;C&gt;1&lt;/C&gt;&lt;D xsi:type="xsd:double"&gt;4.76981077376249&lt;/D&gt;&lt;D xsi:type="xsd:double"&gt;4.7945711427142&lt;/D&gt;&lt;D xsi:type="xsd:double"&gt;4.78080622288383&lt;/D&gt;&lt;D xsi:type="xsd:double"&gt;4.82608531247445&lt;/D&gt;&lt;D xsi:type="xsd:double"&gt;4.72293913320096&lt;/D&gt;&lt;D xsi:type="xsd:double"&gt;5.05053838686255&lt;/D&gt;&lt;D xsi:type="xsd:double"&gt;4.83101068606998&lt;/D&gt;&lt;D xsi:type="xsd:double"&gt;5.06921692952282&lt;/D&gt;&lt;D xsi:type="xsd:double"&gt;4.92127442003952&lt;/D&gt;&lt;D xsi:type="xsd:double"&gt;4.6590006276947&lt;/D&gt;&lt;D xsi:type="xsd:double"&gt;4.65119479102632&lt;/D&gt;&lt;D xsi:type="xsd:double"&gt;4.57045902541765&lt;/D&gt;&lt;D xsi:type="xsd:double"&gt;4.76821810593173&lt;/D&gt;&lt;D xsi:type="xsd:double"&gt;4.98222116087673&lt;/D&gt;&lt;D xsi:type="xsd:double"&gt;4.98413004003883&lt;/D&gt;&lt;D xsi:type="xsd:double"&gt;5.00101723778197&lt;/D&gt;&lt;D xsi:type="xsd:double"&gt;5.29740238016271&lt;/D&gt;&lt;D xsi:type="xsd:double"&gt;5.15528970427274&lt;/D&gt;&lt;D xsi:type="xsd:double"&gt;5.36637335968449&lt;/D&gt;&lt;D xsi:type="xsd:double"&gt;5.36771517352283&lt;/D&gt;&lt;D xsi:type="xsd:double"&gt;5.46118944138663&lt;/D&gt;&lt;D xsi:type="xsd:double"&gt;5.31270447577301&lt;/D&gt;&lt;D xsi:type="xsd:double"&gt;4.73593163150686&lt;/D&gt;&lt;D xsi:type="xsd:double"&gt;5.00007836423593&lt;/D&gt;&lt;D xsi:type="xsd:double"&gt;4.59611049726935&lt;/D&gt;&lt;D xsi:type="xsd:double"&gt;4.56250805430438&lt;/D&gt;&lt;D xsi:type="xsd:double"&gt;4.69685002756172&lt;/D&gt;&lt;D xsi:type="xsd:double"&gt;4.43375110131869&lt;/D&gt;&lt;D xsi:type="xsd:double"&gt;4.62050310787135&lt;/D&gt;&lt;D xsi:type="xsd:double"&gt;4.51816207448043&lt;/D&gt;&lt;D xsi:type="xsd:double"&gt;4.80094939365631&lt;/D&gt;&lt;D xsi:type="xsd:double"&gt;4.52908905740887&lt;/D&gt;&lt;D xsi:type="xsd:double"&gt;4.41584355874051&lt;/D&gt;&lt;D xsi:type="xsd:double"&gt;4.57300934219857&lt;/D&gt;&lt;D xsi:type="xsd:double"&gt;4.56137091263149&lt;/D&gt;&lt;D xsi:type="xsd:double"&gt;4.53225785933061&lt;/D&gt;&lt;D xsi:type="xsd:double"&gt;4.58158801870684&lt;/D&gt;&lt;D xsi:type="xsd:double"&gt;4.69411972917047&lt;/D&gt;&lt;D xsi:type="xsd:double"&gt;4.64418777850034&lt;/D&gt;&lt;D xsi:type="xsd:double"&gt;4.57489997388311&lt;/D&gt;&lt;D xsi:type="xsd:double"&gt;4.61846359626082&lt;/D&gt;&lt;D xsi:type="xsd:double"&gt;4.59605633392897&lt;/D&gt;&lt;D xsi:type="xsd:double"&gt;4.40126681614496&lt;/D&gt;&lt;D xsi:type="xsd:double"&gt;4.50835986724268&lt;/D&gt;&lt;D xsi:type="xsd:double"&gt;4.4133836043493&lt;/D&gt;&lt;D xsi:type="xsd:double"&gt;4.69933442738275&lt;/D&gt;&lt;D xsi:type="xsd:double"&gt;4.64656496734572&lt;/D&gt;&lt;D xsi:type="xsd:double"&gt;4.79785105091487&lt;/D&gt;&lt;D xsi:type="xsd:double"&gt;4.62406502913093&lt;/D&gt;&lt;D xsi:type="xsd:double"&gt;4.7309522319428&lt;/D&gt;&lt;D xsi:type="xsd:double"&gt;4.5353888939183&lt;/D&gt;&lt;D xsi:type="xsd:double"&gt;4.5691844003124&lt;/D&gt;&lt;D xsi:type="xsd:double"&gt;4.78012949547478&lt;/D&gt;&lt;D xsi:type="xsd:double"&gt;4.91201317054555&lt;/D&gt;&lt;D xsi:type="xsd:double"&gt;5.04993086166187&lt;/D&gt;&lt;D xsi:type="xsd:double"&gt;5.30682210082316&lt;/D&gt;&lt;D xsi:type="xsd:double"&gt;5.19577712420341&lt;/D&gt;&lt;D xsi:type="xsd:double"&gt;4.95220145604464&lt;/D&gt;&lt;D xsi:type="xsd:double"&gt;4.93604532574986&lt;/D&gt;&lt;D xsi:type="xsd:double"&gt;4.92910282467134&lt;/D&gt;&lt;D xsi:type="xsd:double"&gt;4.86373270817841&lt;/D&gt;&lt;D xsi:type="xsd:double"&gt;4.76272071158054&lt;/D&gt;&lt;D xsi:type="xsd:double"&gt;4.64410391087579&lt;/D&gt;&lt;D xsi:type="xsd:double"&gt;4.66313952740549&lt;/D&gt;&lt;D xsi:type="xsd:double"&gt;4.50451819173683&lt;/D&gt;&lt;D xsi:type="xsd:double"&gt;4.55077506061494&lt;/D&gt;&lt;D xsi:type="xsd:double"&gt;4.34359251903341&lt;/D&gt;&lt;D xsi:type="xsd:double"&gt;4.31810199926116&lt;/D&gt;&lt;D xsi:type="xsd:double"&gt;4.22771566498196&lt;/D&gt;&lt;D xsi:type="xsd:double"&gt;4.15847152705283&lt;/D&gt;&lt;D xsi:type="xsd:double"&gt;4.98769313487147&lt;/D&gt;&lt;D xsi:type="xsd:double"&gt;4.62239158745415&lt;/D&gt;&lt;D xsi:type="xsd:double"&gt;3.87098455111108&lt;/D&gt;&lt;D xsi:type="xsd:double"&gt;3.27091901247667&lt;/D&gt;&lt;D xsi:type="xsd:double"&gt;3.46137473298454&lt;/D&gt;&lt;D xsi:type="xsd:double"&gt;3.41798261446027&lt;/D&gt;&lt;D xsi:type="xsd:double"&gt;3.5695354400945&lt;/D&gt;&lt;D xsi:type="xsd:double"&gt;3.55089826648606&lt;/D&gt;&lt;D xsi:type="xsd:double"&gt;3.56172340278529&lt;/D&gt;&lt;D xsi:type="xsd:double"&gt;3.46753525948459&lt;/D&gt;&lt;D xsi:type="xsd:double"&gt;3.48645609739439&lt;/D&gt;&lt;D xsi:type="xsd:double"&gt;3.5745214394181&lt;/D&gt;&lt;D xsi:type="xsd:double"&gt;3.87631177926821&lt;/D&gt;&lt;D xsi:type="xsd:double"&gt;3.8799538258</t>
        </r>
      </text>
    </comment>
    <comment ref="A9" authorId="0" shapeId="0" xr:uid="{5FC43C0A-4D1C-4774-8672-CE53BC9E5735}">
      <text>
        <r>
          <rPr>
            <b/>
            <sz val="9"/>
            <color indexed="81"/>
            <rFont val="Tahoma"/>
            <charset val="1"/>
          </rPr>
          <t>3436&lt;/D&gt;&lt;D xsi:type="xsd:double"&gt;3.88889385532586&lt;/D&gt;&lt;D xsi:type="xsd:double"&gt;3.85073169770417&lt;/D&gt;&lt;D xsi:type="xsd:double"&gt;4.12660363312407&lt;/D&gt;&lt;D xsi:type="xsd:double"&gt;4.03317635664142&lt;/D&gt;&lt;D xsi:type="xsd:double"&gt;4.11203151457204&lt;/D&gt;&lt;D xsi:type="xsd:double"&gt;4.04961273166961&lt;/D&gt;&lt;D xsi:type="xsd:double"&gt;3.94956999169852&lt;/D&gt;&lt;D xsi:type="xsd:double"&gt;3.94453769325642&lt;/D&gt;&lt;D xsi:type="xsd:double"&gt;3.89493543526184&lt;/D&gt;&lt;D xsi:type="xsd:double"&gt;4.19505826539447&lt;/D&gt;&lt;D xsi:type="xsd:double"&gt;4.34849939748968&lt;/D&gt;&lt;D xsi:type="xsd:double"&gt;4.34148961080232&lt;/D&gt;&lt;D xsi:type="xsd:double"&gt;4.70519942560017&lt;/D&gt;&lt;D xsi:type="xsd:double"&gt;4.86121546988935&lt;/D&gt;&lt;D xsi:type="xsd:double"&gt;5.17432759812901&lt;/D&gt;&lt;D xsi:type="xsd:double"&gt;4.77461400239156&lt;/D&gt;&lt;D xsi:type="xsd:double"&gt;4.84058991028999&lt;/D&gt;&lt;D xsi:type="xsd:double"&gt;5.01072148610674&lt;/D&gt;&lt;D xsi:type="xsd:double"&gt;4.79796434254281&lt;/D&gt;&lt;D xsi:type="xsd:double"&gt;4.46801868135345&lt;/D&gt;&lt;D xsi:type="xsd:double"&gt;4.51467835819219&lt;/D&gt;&lt;D xsi:type="xsd:double"&gt;4.30827475243249&lt;/D&gt;&lt;D xsi:type="xsd:double"&gt;4.47615758324083&lt;/D&gt;&lt;D xsi:type="xsd:double"&gt;4.50458110386338&lt;/D&gt;&lt;D xsi:type="xsd:double"&gt;4.40564989348564&lt;/D&gt;&lt;D xsi:type="xsd:double"&gt;4.42272102375968&lt;/D&gt;&lt;D xsi:type="xsd:double"&gt;4.38304138438029&lt;/D&gt;&lt;D xsi:type="xsd:double"&gt;4.17843974092783&lt;/D&gt;&lt;D xsi:type="xsd:double"&gt;4.23036400645415&lt;/D&gt;&lt;D xsi:type="xsd:double"&gt;4.39658547965742&lt;/D&gt;&lt;D xsi:type="xsd:double"&gt;4.36513731737541&lt;/D&gt;&lt;D xsi:type="xsd:double"&gt;4.23824593486419&lt;/D&gt;&lt;D xsi:type="xsd:double"&gt;4.04492095284039&lt;/D&gt;&lt;D xsi:type="xsd:double"&gt;3.98663989765335&lt;/D&gt;&lt;D xsi:type="xsd:double"&gt;3.88721880852055&lt;/D&gt;&lt;D xsi:type="xsd:double"&gt;3.90144067676302&lt;/D&gt;&lt;D xsi:type="xsd:double"&gt;3.99311720867571&lt;/D&gt;&lt;/FQL&gt;&lt;FQL&gt;&lt;Q&gt;ENZL^JULIAN(FMA_DIV_YLD(NTMA,-10AY,0,AM,"PORTAGG","MEANR").DATES)&lt;/Q&gt;&lt;R&gt;121&lt;/R&gt;&lt;C&gt;1&lt;/C&gt;&lt;D xsi:type="xsd:long"&gt;41768&lt;/D&gt;&lt;D xsi:type="xsd:long"&gt;41799&lt;/D&gt;&lt;D xsi:type="xsd:long"&gt;41829&lt;/D&gt;&lt;D xsi:type="xsd:long"&gt;41859&lt;/D&gt;&lt;D xsi:type="xsd:long"&gt;41891&lt;/D&gt;&lt;D xsi:type="xsd:long"&gt;41921&lt;/D&gt;&lt;D xsi:type="xsd:long"&gt;41950&lt;/D&gt;&lt;D xsi:type="xsd:long"&gt;41982&lt;/D&gt;&lt;D xsi:type="xsd:long"&gt;42013&lt;/D&gt;&lt;D xsi:type="xsd:long"&gt;42044&lt;/D&gt;&lt;D xsi:type="xsd:long"&gt;42072&lt;/D&gt;&lt;D xsi:type="xsd:long"&gt;42103&lt;/D&gt;&lt;D xsi:type="xsd:long"&gt;42132&lt;/D&gt;&lt;D xsi:type="xsd:long"&gt;42164&lt;/D&gt;&lt;D xsi:type="xsd:long"&gt;42194&lt;/D&gt;&lt;D xsi:type="xsd:long"&gt;42223&lt;/D&gt;&lt;D xsi:type="xsd:long"&gt;42256&lt;/D&gt;&lt;D xsi:type="xsd:long"&gt;42286&lt;/D&gt;&lt;D xsi:type="xsd:long"&gt;42317&lt;/D&gt;&lt;D xsi:type="xsd:long"&gt;42347&lt;/D&gt;&lt;D xsi:type="xsd:long"&gt;42377&lt;/D&gt;&lt;D xsi:type="xsd:long"&gt;42409&lt;/D&gt;&lt;D xsi:type="xsd:long"&gt;42438&lt;/D&gt;&lt;D xsi:type="xsd:long"&gt;42468&lt;/D&gt;&lt;D xsi:type="xsd:long"&gt;42499&lt;/D&gt;&lt;D xsi:type="xsd:long"&gt;42530&lt;/D&gt;&lt;D xsi:type="xsd:long"&gt;42559&lt;/D&gt;&lt;D xsi:type="xsd:long"&gt;42591&lt;/D&gt;&lt;D xsi:type="xsd:long"&gt;42622&lt;/D&gt;&lt;D xsi:type="xsd:long"&gt;42650&lt;/D&gt;&lt;D xsi:type="xsd:long"&gt;42683&lt;/D&gt;&lt;D xsi:type="xsd:long"&gt;42713&lt;/D&gt;&lt;D xsi:type="xsd:long"&gt;42744&lt;/D&gt;&lt;D xsi:type="xsd:long"&gt;42775&lt;/D&gt;&lt;D xsi:type="xsd:long"&gt;42803&lt;/D&gt;&lt;D xsi:type="xsd:long"&gt;42832&lt;/D&gt;&lt;D xsi:type="xsd:long"&gt;42864&lt;/D&gt;&lt;D xsi:type="xsd:long"&gt;42895&lt;/D&gt;&lt;D xsi:type="xsd:long"&gt;42923&lt;/D&gt;&lt;D xsi:type="xsd:long"&gt;42956&lt;/D&gt;&lt;D xsi:type="xsd:long"&gt;42986&lt;/D&gt;&lt;D xsi:type="xsd:long"&gt;43017&lt;/D&gt;&lt;D xsi:type="xsd:long"&gt;43048&lt;/D&gt;&lt;D xsi:type="xsd:long"&gt;43077&lt;/D&gt;&lt;D xsi:type="xsd:long"&gt;43109&lt;/D&gt;&lt;D xsi:type="xsd:long"&gt;43140&lt;/D&gt;&lt;D xsi:type="xsd:long"&gt;43168&lt;/D&gt;&lt;D xsi:type="xsd:long"&gt;43199&lt;/D&gt;&lt;D xsi:type="xsd:long"&gt;43229&lt;/D&gt;&lt;D xsi:type="xsd:long"&gt;43259&lt;/D&gt;&lt;D xsi:type="xsd:long"&gt;43290&lt;/D&gt;&lt;D xsi:type="xsd:long"&gt;43321&lt;/D&gt;&lt;D xsi:type="xsd:long"&gt;43350&lt;/D&gt;&lt;D xsi:type="xsd:long"&gt;43382&lt;/D&gt;&lt;D xsi:type="xsd:long"&gt;43413&lt;/D&gt;&lt;D xsi:type="xsd:long"&gt;43441&lt;/D&gt;&lt;D xsi:type="xsd:long"&gt;43474&lt;/D&gt;&lt;D xsi:type="xsd:long"&gt;43504&lt;/D&gt;&lt;D xsi:type="xsd:long"&gt;43532&lt;/D&gt;&lt;D xsi:type="xsd:long"&gt;43564&lt;/D&gt;&lt;D xsi:type="xsd:long"&gt;43594&lt;/D&gt;&lt;D xsi:type="xsd:long"&gt;43623&lt;/D&gt;&lt;D xsi:type="xsd:long"&gt;43655&lt;/D&gt;&lt;D xsi:type="xsd:long"&gt;43686&lt;/D&gt;&lt;D xsi:type="xsd:long"&gt;43717&lt;/D&gt;&lt;D xsi:type="xsd:long"&gt;43747&lt;/D&gt;&lt;D xsi:type="xsd:long"&gt;43777&lt;/D&gt;&lt;D xsi:type="xsd:long"&gt;43808&lt;/D&gt;&lt;D xsi:type="xsd:long"&gt;43839&lt;/D&gt;&lt;D xsi:type="xsd:long"&gt;43868&lt;/D&gt;&lt;D xsi:type="xsd:long"&gt;43899&lt;/D&gt;&lt;D xsi:type="xsd:long"&gt;43930&lt;/D&gt;&lt;D xsi:type="xsd:long"&gt;43959&lt;/D&gt;&lt;D xsi:type="xsd:long"&gt;43991&lt;/D&gt;&lt;D xsi:type="xsd:long"&gt;44021&lt;/D&gt;&lt;D xsi:type="xsd:long"&gt;44050&lt;/D&gt;&lt;D xsi:type="xsd:long"&gt;44083&lt;/D&gt;&lt;D xsi:type="xsd:long"&gt;44113&lt;/D&gt;&lt;D xsi:type="xsd:long"&gt;44144&lt;/D&gt;&lt;D xsi:type="xsd:long"&gt;44174&lt;/D&gt;&lt;D xsi:type="xsd:long"&gt;44204&lt;/D&gt;&lt;D xsi:type="xsd:long"&gt;44236&lt;/D&gt;&lt;D xsi:type="xsd:long"&gt;44264&lt;/D&gt;&lt;D xsi:type="xsd:long"&gt;44295&lt;/D&gt;&lt;D xsi:type="xsd:long"&gt;44323&lt;/D&gt;&lt;D xsi:type="xsd:long"&gt;44356&lt;/D&gt;&lt;D xsi:type="xsd:long"&gt;44386&lt;/D&gt;&lt;D xsi:type="xsd:long"&gt;44417&lt;/D&gt;&lt;D xsi:type="xsd:long"&gt;44448&lt;/D&gt;&lt;D xsi:type="xsd:long"&gt;44477&lt;/D&gt;&lt;D xsi:type="xsd:long"&gt;44509&lt;/D&gt;&lt;D xsi:type="xsd:long"&gt;44539&lt;/D&gt;&lt;D xsi:type="xsd:long"&gt;44567&lt;/D&gt;&lt;D xsi:type="xsd:long"&gt;44601&lt;/D&gt;&lt;D xsi:type="xsd:long"&gt;44629&lt;/D&gt;&lt;D xsi:type="xsd:long"&gt;44659&lt;/D&gt;&lt;D xsi:type="xsd:long"&gt;44690&lt;/D&gt;&lt;D xsi:type="xsd:long"&gt;44721&lt;/D&gt;&lt;D xsi:type="xsd:long"&gt;44750&lt;/D&gt;&lt;D xsi:type="xsd:long"&gt;44782&lt;/D&gt;&lt;D xsi:type="xsd:long"&gt;44813&lt;/D&gt;&lt;D xsi:type="xsd:long"&gt;44841&lt;/D&gt;&lt;D xsi:type="xsd:long"&gt;44874&lt;/D&gt;&lt;D xsi:type="xsd:long"&gt;44904&lt;/D&gt;&lt;D xsi:type="xsd:long"&gt;44935&lt;/D&gt;&lt;D xsi:type="xsd:long"&gt;44966&lt;/D&gt;&lt;D xsi:type="xsd:long"&gt;44994&lt;/D&gt;&lt;D xsi:type="xsd:long"&gt;45022&lt;/D&gt;&lt;D xsi:type="xsd:long"&gt;45055&lt;/D&gt;&lt;D xsi:type="xsd:long"&gt;45086&lt;/D&gt;&lt;D xsi:type="xsd:long"&gt;45114&lt;/D&gt;&lt;D xsi:type="xsd:long"&gt;45147&lt;/D&gt;&lt;D xsi:type="xsd:long"&gt;45177&lt;/D&gt;&lt;D xsi:type="xsd:long"&gt;45208&lt;/D&gt;&lt;D xsi:type="xsd:long"&gt;45239&lt;/D&gt;&lt;D xsi:type="xsd:long"&gt;45268&lt;/D&gt;&lt;D xsi:type="xsd:long"&gt;45300&lt;/D&gt;&lt;D xsi:type="xsd:long"&gt;45331&lt;/D&gt;&lt;D xsi:type="xsd:long"&gt;45359&lt;/D&gt;&lt;D xsi:type="xsd:long"&gt;45391&lt;/D&gt;&lt;D xsi:type="xsd:long"&gt;45418&lt;/D&gt;&lt;/FQL&gt;&lt;FQL&gt;&lt;Q&gt;DDR3512M-FDS^FG_PRICE(0)/MAX(FG_PRICE(0,-1AY))&lt;/Q&gt;&lt;R&gt;1&lt;/R&gt;&lt;C&gt;1&lt;/C&gt;&lt;D xsi:type="xsd:double"&gt;0.91267339254432&lt;/D&gt;&lt;/FQL&gt;&lt;FQL&gt;&lt;Q&gt;PASP-FDS^FG_PRICE(0)/MAX(FG_PRICE(0,-1AY))&lt;/Q&gt;&lt;R&gt;1&lt;/R&gt;&lt;C&gt;1&lt;/C&gt;&lt;D xsi:type="xsd:double"&gt;0.587875076546234&lt;/D&gt;&lt;/FQL&gt;&lt;FQL&gt;&lt;Q&gt;PLATI-FDS^FG_PRICE(0)/MAX(FG_PRICE(0,-1AY))&lt;/Q&gt;&lt;R&gt;1&lt;/R&gt;&lt;C&gt;1&lt;/C&gt;&lt;D xsi:type="xsd:double"&gt;0.860176991150442&lt;/D&gt;&lt;/FQL&gt;&lt;FQL&gt;&lt;Q&gt;W-FDS^FG_PRICE(0)/MAX(FG_PRICE(0,-1AY))&lt;/Q&gt;&lt;R&gt;1&lt;/R&gt;&lt;C&gt;1&lt;/C&gt;&lt;D xsi:type="xsd:double"&gt;0.815192370930615&lt;/D&gt;&lt;/FQL&gt;&lt;FQL&gt;&lt;Q&gt;COPP-FDS^FG_PRICE(0)/MAX(FG_PRICE(0,-1AY))&lt;/Q&gt;&lt;R&gt;1&lt;/R&gt;&lt;C&gt;1&lt;/C&gt;&lt;D xsi:type="xsd:double"&gt;0.988946125778064&lt;/D&gt;&lt;/FQL&gt;&lt;FQL&gt;&lt;Q&gt;FC0000JP^FG_PRICE(0)&lt;/Q&gt;&lt;R&gt;1&lt;/R&gt;&lt;C&gt;1&lt;/C&gt;&lt;D xsi:type="xsd:double"&gt;171.97885&lt;/D&gt;&lt;/FQL&gt;&lt;FQL&gt;&lt;Q&gt;FC0000NZ^FG_PRICE(0)&lt;/Q&gt;&lt;R&gt;1&lt;/R&gt;&lt;C&gt;1&lt;/C&gt;&lt;D xsi:type="xsd:double"&gt;379.8362&lt;/D&gt;&lt;/FQL&gt;&lt;FQL&gt;&lt;Q&gt;EWQ^FG_PRICE_MAVG(0,,,,60)&lt;/Q&gt;&lt;R&gt;1&lt;/R&gt;&lt;C&gt;1&lt;/C&gt;&lt;D xsi:type="xsd:double"&gt;40.598835&lt;/D&gt;&lt;/FQL&gt;&lt;FQL&gt;&lt;Q&gt;EWL^FG_PRICE_MAVG(0,,,,60)&lt;/Q&gt;&lt;R&gt;1&lt;/R&gt;&lt;C&gt;1&lt;/C&gt;&lt;D xsi:type="xsd:double"&gt;46.85367&lt;/D&gt;&lt;/FQL&gt;&lt;FQL&gt;&lt;Q&gt;EWA^FG_PRICE_MAVG(0,,,,60)&lt;/Q&gt;&lt;R&gt;1&lt;/R&gt;&lt;C&gt;1&lt;/C&gt;&lt;D xsi:type="xsd:double"&gt;24.090334&lt;/D&gt;&lt;/FQL&gt;&lt;FQL&gt;&lt;Q&gt;EWJ^FG_COMPANY_NAME&lt;/Q&gt;&lt;R&gt;1&lt;/R&gt;&lt;C&gt;1&lt;/C&gt;&lt;D xsi:type="xsd:string"&gt;iShares MSCI Japan ETF&lt;/D&gt;&lt;/FQL&gt;&lt;FQL&gt;&lt;Q&gt;CAGDPY@NL^EE_ACTUAL_ANNUAL(MED,+1)&lt;/Q&gt;&lt;R&gt;1&lt;/R&gt;&lt;C&gt;1&lt;/C&gt;&lt;D xsi:type="xsd:double"&gt;8.35&lt;/D&gt;&lt;/FQL&gt;&lt;FQL&gt;&lt;Q&gt;CAGDPY@CA^EE_ACTUAL_ANNUAL(MED,+1)&lt;/Q&gt;&lt;R&gt;1&lt;/R&gt;&lt;C&gt;1&lt;/C&gt;&lt;D xsi:type="xsd:double"&gt;-0.8&lt;/D&gt;&lt;/FQL&gt;&lt;FQL&gt;&lt;Q&gt;USDITL^STD(FG_PRICE_CHANGE(0,-1AY,AM))&lt;/Q&gt;&lt;R&gt;1&lt;/R&gt;&lt;C&gt;1&lt;/C&gt;&lt;D xsi:type="xsd:double"&gt;1.45636767432651&lt;/D&gt;&lt;/FQL&gt;&lt;FQL&gt;&lt;Q&gt;USDANG^STD(FG_PRICE_CHANGE(0,-1AY,AM))&lt;/Q&gt;&lt;R&gt;1&lt;/R&gt;&lt;C&gt;1&lt;/C&gt;&lt;D xsi:type="xsd:double"&gt;0.02188090085887&lt;/D&gt;&lt;/FQL&gt;&lt;FQL&gt;&lt;Q&gt;USDGBP^STD(FG_PRICE_CHANGE(0,-1AY,AM))&lt;/Q&gt;&lt;R&gt;1&lt;/R&gt;&lt;C&gt;1&lt;/C&gt;&lt;D xsi:type="xsd:double"&gt;1.57083790987435&lt;/D&gt;&lt;/FQL&gt;&lt;FQL&gt;&lt;Q&gt;USDJPY^STD(FG_PRICE_CHANGE(0,-1AY,AM))&lt;/Q&gt;&lt;R&gt;1&lt;/R&gt;&lt;C&gt;1&lt;/C&gt;&lt;D xsi:type="xsd:double"&gt;2.21772991607599&lt;/D&gt;&lt;/FQL&gt;&lt;FQL&gt;&lt;Q&gt;USDCAD^STD(FG_PRICE_CHANGE(0,-1AY,AM))&lt;/Q&gt;&lt;R&gt;1&lt;/R&gt;&lt;C&gt;1&lt;/C&gt;&lt;D xsi:type="xsd:double"&gt;0.89633579474225&lt;/D&gt;&lt;/FQL&gt;&lt;FQL&gt;&lt;Q&gt;USDNZD^STD(FG_PRICE_CHANGE(0,-1AY,AM))&lt;/Q&gt;&lt;R&gt;1&lt;/R&gt;&lt;C&gt;1&lt;/C&gt;&lt;D xsi:type="xsd:double"&gt;1.99325596958935&lt;/D&gt;&lt;/FQL&gt;&lt;FQL&gt;&lt;Q&gt;EWG^FMA_EPS(NTMA,-20AY,0,CY,,"PORTAGG","MEANR")&lt;/Q&gt;&lt;R&gt;20&lt;/R&gt;&lt;C&gt;1&lt;/C&gt;&lt;D xsi:type="xsd:double"&gt;1.52066411043583&lt;/D&gt;&lt;D xsi:type="xsd:double"&gt;1.60643474084628&lt;/D&gt;&lt;D xsi:type="xsd:double"&gt;2.11909900762238&lt;/D&gt;&lt;D xsi:type="xsd:double"&gt;2.80661608339197&lt;/D&gt;&lt;D xsi:type="xsd:double"&gt;1.99715132688841&lt;/D&gt;&lt;D xsi:type="xsd:double"&gt;1.74300870329695&lt;/D&gt;&lt;D xsi:type="xsd:double"&gt;2.17390808983831&lt;/D&gt;&lt;D xsi:type="xsd:double"&gt;2.1750966873774&lt;/D&gt;&lt;D xsi:type="xsd:double"&gt;2.27358500860511&lt;/D&gt;&lt;D xsi:type="xsd:double"&gt;2.40616014173578&lt;/D&gt;&lt;D xsi:type="xsd:double"&gt;2.13415894814862&lt;/D&gt;&lt;D xsi:type="xsd:double"&gt;1.96165601541568&lt;/D&gt;&lt;D xsi:type="xsd:double"&gt;1.94158660997406&lt;/D&gt;&lt;D xsi:type="xsd:double"&gt;2.40362877806351&lt;/D&gt;&lt;D xsi:type="xsd:double"&gt;2.32116072306873&lt;/D&gt;&lt;D xsi:type="xsd:double"&gt;2.08815829612982&lt;/D&gt;&lt;D xsi:type="xsd:double"&gt;1.98003612030208&lt;/D&gt;&lt;D xsi:type="xsd:double"&gt;2.44944590598376&lt;/D&gt;&lt;D xsi:type="xsd:double"&gt;2.36386839889078&lt;/D&gt;&lt;D xsi:type="xsd:double"&gt;2.65636105556206&lt;/D&gt;&lt;/FQL&gt;&lt;FQL&gt;&lt;Q&gt;EWA^P_PRICE_RETURNS_PR('52W',2,-10AY,0,AM)&lt;/Q&gt;&lt;R&gt;121&lt;/R&gt;&lt;C&gt;1&lt;/C&gt;&lt;D xsi:type="xsd:double"&gt;1.9170642&lt;/D&gt;&lt;D xsi:type="xsd:double"&gt;17.519272&lt;/D&gt;&lt;D xsi:type="xsd:double"&gt;19.192146&lt;/D&gt;&lt;D xsi:type="xsd:double"&gt;14.413225&lt;/D&gt;&lt;D xsi:type="xsd:double"&gt;11.486685&lt;/D&gt;&lt;D xsi:type="xsd:double"&gt;-1.0967374&lt;/D&gt;&lt;D xsi:type="xsd:double"&gt;-2.400887&lt;/D&gt;&lt;D xsi:type="xsd:double"&gt;-2.5909722&lt;/D&gt;&lt;D xsi:type="xsd:double"&gt;-2.1942973&lt;/D&gt;&lt;D xsi:type="xsd:double"&gt;1.0628104&lt;/D&gt;&lt;D xsi:type="xsd:double"&gt;-5.228013&lt;/D&gt;&lt;D xsi:type="xsd:double"&gt;-8.100754&lt;/D&gt;&lt;D xsi:type="xsd:double"&gt;-9.548182&lt;/D&gt;&lt;D xsi:type="xsd:double"&gt;-15.740991&lt;/D&gt;&lt;D xsi:type="xsd:double"&gt;-18.184608&lt;/D&gt;&lt;D xsi:type="xsd:double"&gt;-17.523485&lt;/D&gt;&lt;D xsi:type="xsd:double"&gt;-27.46194&lt;/D&gt;&lt;D xsi:type="xsd:double"&gt;-12.988639&lt;/D&gt;&lt;D xsi:type="xsd:double"&gt;-23.12054&lt;/D&gt;&lt;D xsi:type="xsd:double"&gt;-14.180642&lt;/D&gt;&lt;D xsi:type="xsd:double"&gt;-20.269691&lt;/D&gt;&lt;D xsi:type="xsd:double"&gt;-22.779734&lt;/D&gt;&lt;D xsi:type="xsd:double"&gt;-11.342454&lt;/D&gt;&lt;D xsi:type="xsd:double"&gt;-16.884882&lt;/D&gt;&lt;D xsi:type="xsd:double"&gt;-11.100918&lt;/D&gt;&lt;D xsi:type="xsd:double"&gt;-2.3590565&lt;/D&gt;&lt;D xsi:type="xsd:double"&gt;1.4700413&lt;/D&gt;&lt;D xsi:type="xsd:double"&gt;7.78656&lt;/D&gt;&lt;D xsi:type="xsd:double"&gt;12.747455&lt;/D&gt;&lt;D xsi:type="xsd:double"&gt;13.218379&lt;/D&gt;&lt;D xsi:type="xsd:double"&gt;17.855381&lt;/D&gt;&lt;D xsi:type="xsd:double"&gt;18.542385&lt;/D&gt;&lt;D xsi:type="xsd:double"&gt;30.593884&lt;/D&gt;&lt;D xsi:type="xsd:double"&gt;33.315636&lt;/D&gt;&lt;D xsi:type="xsd:double"&gt;17.273283&lt;/D&gt;&lt;D xsi:type="xsd:double"&gt;26.188623&lt;/D&gt;&lt;D xsi:type="xsd:double"&gt;16.601563&lt;/D&gt;&lt;D xsi:type="xsd:double"&gt;12.69828&lt;/D&gt;&lt;D xsi:type="xsd:double"&gt;17.14797&lt;/D&gt;&lt;D xsi:type="xsd:double"&gt;11.966764&lt;/D&gt;&lt;D xsi:type="xsd:double"&gt;17.212809&lt;/D&gt;&lt;D xsi:type="xsd:double"&gt;11.983931&lt;/D&gt;&lt;D xsi:type="xsd:double"&gt;18.424786&lt;/D&gt;&lt;D xsi:type="xsd:double"&gt;12.689376&lt;/D&gt;&lt;D xsi:type="xsd:double"&gt;16.734886&lt;/D&gt;&lt;D xsi:type="xsd:double"&gt;7.4350357&lt;/D&gt;&lt;D xsi:type="xsd:double"&gt;11.661029&lt;/D&gt;&lt;D xsi:type="xsd:double"&gt;3.5417438&lt;/D&gt;&lt;D xsi:type="xsd:double"&gt;9.156728&lt;/D&gt;&lt;D xsi:type="xsd:double"&gt;11.020374&lt;/D&gt;&lt;D xsi:type="xsd:double"&gt;12.685561&lt;/D&gt;&lt;D xsi:type="xsd:double"&gt;6.3750744&lt;/D&gt;&lt;D xsi:type="xsd:double"&gt;-2.0599127&lt;/D&gt;&lt;D xsi:type="xsd:double"&gt;-0.09198189&lt;/D&gt;&lt;D xsi:type="xsd:double"&gt;-4.4157386&lt;/D&gt;&lt;D xsi:type="xsd:double"&gt;-6.077367&lt;/D&gt;&lt;D xsi:type="xsd:double"&gt;-9.723598&lt;/D&gt;&lt;D xsi:type="xsd:double"&gt;0.7514119&lt;/D&gt;&lt;D xsi:type="xsd:double"&gt;-1.6926289&lt;/D&gt;&lt;D xsi:type="xsd:double"&gt;3.490746&lt;/D&gt;&lt;D xsi:type="xsd:double"&gt;0.45810938&lt;/D&gt;&lt;D xsi:type="xsd:double"&gt;3.3475876&lt;/D&gt;&lt;D xsi:type="xsd:double"&gt;2.504778&lt;/D&gt;&lt;D xsi:type="xsd:double"&gt;-0.3267944&lt;/D&gt;&lt;D xsi:type="xsd:double"&gt;10.129428&lt;/D&gt;&lt;D xsi:type="xsd:double"&gt;8.174467&lt;/D&gt;&lt;D xsi:type="xsd:double"&gt;12.871325&lt;/D&gt;&lt;D xsi:type="xsd:double"&gt;17.66975&lt;/D&gt;&lt;D xsi:type="xsd:double"&gt;17.584694&lt;/D&gt;&lt;D xsi:type="xsd:double"&gt;12.931442&lt;/D&gt;&lt;D xsi:type="xsd:double"&gt;-14.618736&lt;/D&gt;&lt;D xsi:type="xsd:double"&gt;-19.717138&lt;/D&gt;&lt;D xsi:type="xsd:double"&gt;-17.706411&lt;/D&gt;&lt;D xsi:type="xsd:double"&gt;-5.4638624&lt;/D&gt;&lt;D xsi:type="xsd:double"&gt;-10.345596&lt;/D&gt;&lt;D xsi:type="xsd:double"&gt;-0.67781806&lt;/D&gt;&lt;D xsi:type="xsd:double"&gt;-4.8902454&lt;/D&gt;&lt;D xsi:type="xsd:double"&gt;-0.68635345&lt;/D&gt;&lt;D xsi:type="xsd:double"&gt;0.37463903&lt;/D&gt;&lt;D xsi:type="xsd:double"&gt;8.83609&lt;/D&gt;&lt;D xsi:type="xsd:double"&gt;11.848295&lt;/D&gt;&lt;D xsi:type="xsd:double"&gt;13.126219&lt;/D&gt;&lt;D xsi:type="xsd:double"&gt;47.881912&lt;/D&gt;&lt;D xsi:type="xsd:double"&gt;57.05415&lt;/D&gt;&lt;D xsi:type="xsd:double"&gt;64.19163&lt;/D&gt;&lt;D xsi:type="xsd:double"&gt;36.676693&lt;/D&gt;&lt;D xsi:type="xsd:double"&gt;37.603317&lt;/D&gt;&lt;D xsi:type="xsd:double"&gt;31.59151&lt;/D&gt;&lt;D xsi:type="xsd:double"&gt;29.701674&lt;/D&gt;&lt;D xsi:type="xsd:double"&gt;25.877953&lt;/D&gt;&lt;D xsi:type="xsd:double"&gt;21.704758&lt;/D&gt;&lt;D xsi:type="xsd:double"&gt;8.680164&lt;/D&gt;&lt;D xsi:type="xsd:double"&gt;4.7062993&lt;/D&gt;&lt;D xsi:type="xsd:double"&gt;1.5117407&lt;/D&gt;&lt;D xsi:type="xsd:double"&gt;1.8362999&lt;/D&gt;&lt;D xsi:type="xsd:double"&gt;9.460902&lt;/D&gt;&lt;D xsi:type="xsd:double"&gt;-8.537966&lt;/D&gt;&lt;D xsi:type="xsd:double"&gt;-7.9225245&lt;/D&gt;&lt;D xsi:type="xsd:double"&gt;-11.172563&lt;/D&gt;&lt;D xsi:type="xsd:double"&gt;-8.623827&lt;/D&gt;&lt;D xsi:type="xsd:double"&gt;-7.991868&lt;/D&gt;&lt;D xsi:type="xsd:double"&gt;-15.330577&lt;/D&gt;&lt;D xsi:type="xsd:double"&gt;-14.299833&lt;/D&gt;&lt;D xsi:type="xsd:double"&gt;-1.625973&lt;/D&gt;&lt;D xsi:type="xsd:double"&gt;-1.7233729&lt;/D&gt;&lt;D xsi:type="xsd:double"&gt;5.8505297&lt;/D&gt;&lt;D xsi:type="xsd:double"&gt;-2.4686515&lt;/D&gt;&lt;D xsi:type="xsd:double"&gt;-8.584982&lt;/D&gt;&lt;D xsi:type="xsd:double"&gt;4.611206&lt;/D&gt;&lt;D xsi:type="xsd:double"&gt;0.85567236&lt;/D&gt;&lt;D xsi:type="xsd:double"&gt;7.1323752&lt;/D&gt;&lt;D xsi:type="xsd:double"&gt;3.9727688&lt;/D&gt;&lt;D xsi:type="xsd:double"&gt;3.9791942&lt;/D&gt;&lt;D xsi:type="xsd:double"&gt;10.589874&lt;/D&gt;&lt;D xsi:type="xsd:double"&gt;5.513191&lt;/D&gt;&lt;D xsi:type="xsd:double"&gt;2.0875454&lt;/D&gt;&lt;D xsi:type="xsd:double"&gt;7.198167&lt;/D&gt;&lt;D xsi:type="xsd:double"&gt;1.2912035&lt;/D&gt;&lt;D xsi:type="xsd:double"&gt;12.38302&lt;/D&gt;&lt;D xsi:type="xsd:double"&gt;11.915898&lt;/D&gt;&lt;D xsi:type="xsd:double"&gt;9.913754&lt;/D&gt;&lt;/FQL&gt;&lt;FQL&gt;&lt;Q&gt;ENZL^JULIAN(FG_TOTAL_RETURNC(-10AY,0,AM).DATES)&lt;/Q&gt;&lt;R&gt;121&lt;/R&gt;&lt;C&gt;1&lt;/C&gt;&lt;D xsi:type="xsd:long"&gt;41768&lt;/D&gt;&lt;D xsi:type="xsd:long"&gt;41799&lt;/D&gt;&lt;D xsi:type="xsd:long"&gt;41829&lt;/D&gt;&lt;D xsi:type="xsd:long"&gt;41859&lt;/D&gt;&lt;D xsi:type="xsd:long"&gt;41891&lt;/D&gt;&lt;D xsi:type="xsd:long"&gt;41921&lt;/D&gt;&lt;D xsi:type="xsd:long"&gt;41950&lt;/D&gt;&lt;D xsi:type="xsd:long"&gt;41982&lt;/D&gt;&lt;D xsi:type="xsd:long"&gt;42013&lt;/D&gt;&lt;D xsi:type="xsd:long"&gt;42044&lt;/D&gt;&lt;D xsi:type="xsd:long"&gt;42072&lt;/D&gt;&lt;D xsi:type="xsd:long"&gt;42103&lt;/D&gt;&lt;D xsi:type="xsd:long"&gt;42132&lt;/D&gt;&lt;D xsi:type="xsd:long"&gt;42164&lt;/D&gt;&lt;D xsi:type="xsd:long"&gt;42194&lt;/D&gt;&lt;D xsi:type="xsd:long"&gt;42223&lt;/D&gt;&lt;D xsi:type="xsd:long"&gt;42256&lt;/D&gt;&lt;D xsi:type="xsd:long"&gt;42286&lt;/D&gt;&lt;D xsi:type="xsd:long"&gt;42317&lt;/D&gt;&lt;D xsi:type="xsd:long"&gt;42347&lt;/D&gt;&lt;D xsi:type="xsd:long"&gt;42377&lt;/D&gt;&lt;D xsi:type="xsd:long"&gt;42409&lt;/D&gt;&lt;D xsi:type="xsd:long"&gt;42438&lt;/D&gt;&lt;D xsi:type="xsd:long"&gt;42468&lt;/D&gt;&lt;D xsi:type="xsd:long"&gt;42499&lt;/D&gt;&lt;D xsi:type="xsd:long"&gt;42530&lt;/D&gt;&lt;D xsi:type="xsd:long"&gt;42559&lt;/D&gt;&lt;D xsi:type="xsd:long"&gt;42591&lt;/D&gt;&lt;D xsi:type="xsd:long"&gt;42622&lt;/D&gt;&lt;D xsi:type="xsd:long"&gt;42650&lt;/D&gt;&lt;D xsi:type="xsd:long"&gt;42683&lt;/D&gt;&lt;D xsi:type="xsd:long"&gt;42713&lt;/D&gt;&lt;D xsi:type="xsd:long"&gt;42744&lt;/D&gt;&lt;D xsi:type="xsd:long"&gt;42775&lt;/D&gt;&lt;D xsi:type="xsd:long"&gt;42803&lt;/D&gt;&lt;D xsi:type="xsd:long"&gt;42832&lt;/D&gt;&lt;D xsi:type="xsd:long"&gt;42864&lt;/D&gt;&lt;D xsi:type="xsd:long"&gt;42895&lt;/D&gt;&lt;D xsi:type="xsd:long"&gt;42923&lt;/D&gt;&lt;D xsi:type="xsd:long"&gt;42956&lt;/D&gt;&lt;D xsi:type="xsd:long"&gt;42986&lt;/D&gt;&lt;D xsi:type="xsd:long"&gt;43017&lt;/D&gt;&lt;D xsi:type="xsd:long"&gt;43048&lt;/D&gt;&lt;D xsi:type="xsd:long"&gt;43077&lt;/D&gt;&lt;D xsi:type="xsd:long"&gt;43109&lt;/D&gt;&lt;D xsi:type="xsd:long"&gt;43140&lt;/D&gt;&lt;D xsi:type="xsd:long"&gt;43168&lt;/D&gt;&lt;D xsi:type="xsd:long"&gt;43199&lt;/D&gt;&lt;D xsi:type="xsd:long"&gt;43229&lt;/D&gt;&lt;D xsi:type="xsd:long"&gt;43259&lt;/D&gt;&lt;D xsi:type="xsd:long"&gt;43290&lt;/D&gt;&lt;D xsi:type="xsd:long"&gt;43321&lt;/D&gt;&lt;D xsi:type="xsd:long"&gt;43350&lt;/D&gt;&lt;D xsi:type="xsd:long"&gt;43382&lt;/D&gt;&lt;D xsi:type="xsd:long"&gt;43413&lt;/D&gt;&lt;D xsi:type="xsd:long"&gt;43441&lt;/D&gt;&lt;D xsi:type="xsd:long"&gt;43474&lt;/D&gt;&lt;D xsi:type="xsd:long"&gt;43504&lt;/D&gt;&lt;D xsi:type="xsd:long"&gt;43532&lt;/D&gt;&lt;D xsi:type="xsd:long"&gt;43564&lt;/D&gt;&lt;D xsi:type="xsd:long"&gt;43594&lt;/D&gt;&lt;D xsi:type="xsd:long"&gt;43623&lt;/D&gt;&lt;D xsi:type="xsd:long"&gt;43655&lt;/D&gt;&lt;D xsi:type="xsd:long"&gt;43686&lt;/D&gt;&lt;D xsi:type="xsd:long"&gt;43717&lt;/D&gt;&lt;D xsi:type="xsd:long"&gt;43747&lt;/D&gt;&lt;D xsi:type="xsd:long"&gt;43777&lt;/D&gt;&lt;D xsi:type="xsd:long"&gt;43808&lt;/D&gt;&lt;D xsi:type="xsd:long"&gt;43839&lt;/D&gt;&lt;D xsi:type="xsd:long"&gt;43868&lt;/D&gt;&lt;D xsi:type="xsd:long"&gt;43899&lt;/D&gt;&lt;D xsi:type="xsd:long"&gt;43930&lt;/D&gt;&lt;D xsi:type="xsd:long"&gt;43959&lt;/D&gt;&lt;D xsi:type="xsd:long"&gt;43991&lt;/D&gt;&lt;D xsi:type="xsd:long"&gt;44021&lt;/D&gt;&lt;D xsi:type="xsd:long"&gt;44050&lt;/D&gt;&lt;D xsi:type="xsd:long"&gt;44083&lt;/D&gt;&lt;D xsi:type="xsd:long"&gt;44113&lt;/D&gt;&lt;D xsi:type="xsd:long"&gt;44144&lt;/D&gt;&lt;D xsi:type="xsd:long"&gt;44174&lt;/D&gt;&lt;D xsi:type="xsd:long"&gt;44204&lt;/D&gt;&lt;D xsi:type="xsd:long"&gt;44236&lt;/D&gt;&lt;D xsi:type="xsd:long"&gt;44264&lt;/D&gt;&lt;D xsi:type="xsd:long"&gt;44295&lt;/D&gt;&lt;D xsi:type="xsd:long"&gt;44323&lt;/D&gt;&lt;D xsi:type="xsd:long"&gt;44356&lt;/D&gt;&lt;D xsi:type="xsd:long"&gt;44386&lt;/D&gt;&lt;D xsi:type="xsd:long"&gt;44417&lt;/D&gt;&lt;D xsi:type="xsd:long"&gt;44448&lt;/D&gt;&lt;D xsi:type="xsd:long"&gt;44477&lt;/D&gt;&lt;D xsi:type="xsd:long"&gt;44509&lt;/D&gt;&lt;D xsi:type="xsd:long"&gt;44539&lt;/D&gt;&lt;D xsi:type="xsd:long"&gt;44568&lt;/D&gt;&lt;D xsi:type="xsd:long"&gt;44601&lt;/D&gt;&lt;D xsi:type="xsd:long"&gt;44629&lt;/D&gt;&lt;D xsi:type="xsd:long"&gt;44659&lt;/D&gt;&lt;D xsi:type="xsd:long"&gt;44690&lt;/D&gt;&lt;D xsi:type="xsd:long"&gt;44721&lt;/D&gt;&lt;D xsi:type="xsd:long"&gt;44750&lt;/D&gt;&lt;D xsi:type="xsd:long"&gt;44782&lt;/D&gt;&lt;D xsi:type="xsd:long"&gt;44813&lt;/D&gt;&lt;D xsi:type="xsd:long"&gt;44841&lt;/D&gt;&lt;D xsi:type="xsd:long"&gt;44874&lt;/D&gt;&lt;D xsi:type="xsd:long"&gt;44904&lt;/D&gt;&lt;D xsi:type="xsd:long"&gt;44935&lt;/D&gt;&lt;D xsi:type="xsd:long"&gt;44966&lt;/D&gt;&lt;D xsi:type="xsd:long"&gt;44994&lt;/D&gt;&lt;D xsi:type="xsd:long"&gt;45022&lt;/D&gt;&lt;D xsi:type="xsd:long"&gt;45055&lt;/D&gt;&lt;D xsi:type="xsd:long"&gt;45086&lt;/D&gt;&lt;D xsi:type="xsd:long"&gt;45114&lt;/D&gt;&lt;D xsi:type="xsd:long"&gt;45147&lt;/D&gt;&lt;D xsi:type="xsd:long"&gt;45177&lt;/D&gt;&lt;D xsi:type="xsd:long"&gt;45208&lt;/D&gt;&lt;D xsi:type="xsd:long"&gt;45239&lt;/D&gt;&lt;D xsi:type="xsd:long"&gt;45268&lt;/D&gt;&lt;D xsi:type="xsd:long"&gt;45300&lt;/D&gt;&lt;D xsi:type="xsd:long"&gt;45331&lt;/D&gt;&lt;D xsi:type="xsd:long"&gt;45359&lt;/D&gt;&lt;D xsi:type="xsd:long"&gt;45391&lt;/D&gt;&lt;D xsi:type="xsd:long"&gt;45421&lt;/D&gt;&lt;/FQL&gt;&lt;FQL&gt;&lt;Q&gt;EWD^FMA_PE(NTMA,-10AY,0,AM,"PORTAGG","MEANR")&lt;/Q&gt;&lt;R&gt;121&lt;/R&gt;&lt;C&gt;1&lt;/C&gt;&lt;D xsi:type="xsd:double"&gt;15.6068609554671&lt;/D&gt;&lt;D xsi:type="xsd:double"&gt;15.9079370484149&lt;/D&gt;&lt;D xsi:type="xsd:double"&gt;15.49485389754&lt;/D&gt;&lt;D xsi:type="xsd:double"&gt;14.8506271270156&lt;/D&gt;&lt;D xsi:type="xsd:double"&gt;14.6159915730994&lt;/D&gt;&lt;D xsi:type="xsd:double"&gt;13.7877761499124&lt;/D&gt;&lt;D xsi:type="xsd:double"&gt;15.2701943552714&lt;/D&gt;&lt;D xsi:type="xsd:double"&gt;15.5708228243814&lt;/D&gt;&lt;D xsi:type="xsd:double"&gt;15.4187242794354&lt;/D&gt;&lt;D xsi:type="xsd:double"&gt;16.2924441519184&lt;/D&gt;&lt;D xsi:type="xsd:double"&gt;17.0164959382225&lt;/D&gt;&lt;D xsi:type="xsd:double"&gt;17.0741975497701&lt;/D&gt;&lt;D xsi:type="xsd:double"&gt;15.7315857377599&lt;/D&gt;&lt;D xsi:type="xsd:double"&gt;15.8350527431206&lt;/D&gt;&lt;D xsi:type="xsd:double"&gt;15.4913239362845&lt;/D&gt;&lt;D xsi:type="xsd:double"&gt;16.1003427022132&lt;/D&gt;&lt;D xsi:type="xsd:double"&gt;14.9969569501915&lt;/D&gt;&lt;D xsi:type="xsd:double"&gt;15.0764009710019&lt;/D&gt;&lt;D xsi:type="xsd:double"&gt;15.5591120000554&lt;/D&gt;&lt;D xsi:type="xsd:double"&gt;14.8735853222477&lt;/D&gt;&lt;D xsi:type="xsd:double"&gt;13.9946447295889&lt;/D&gt;&lt;D xsi:type="xsd:double"&gt;14.0267654393598&lt;/D&gt;&lt;D xsi:type="xsd:double"&gt;15.4562899706325&lt;/D&gt;&lt;D xsi:type="xsd:double"&gt;15.0505028049902&lt;/D&gt;&lt;D xsi:type="xsd:double"&gt;14.9293183750173&lt;/D&gt;&lt;D xsi:type="xsd:double"&gt;14.7610358942226&lt;/D&gt;&lt;D xsi:type="xsd:double"&gt;14.555124475279&lt;/D&gt;&lt;D xsi:type="xsd:double"&gt;15.5204864820467&lt;/D&gt;&lt;D xsi:type="xsd:double"&gt;15.4947158805012&lt;/D&gt;&lt;D xsi:type="xsd:double"&gt;15.8781062213726&lt;/D&gt;&lt;D xsi:type="xsd:double"&gt;16.0196612815851&lt;/D&gt;&lt;D xsi:type="xsd:double"&gt;16.6507371174598&lt;/D&gt;&lt;D xsi:type="xsd:double"&gt;16.3754557340536&lt;/D&gt;&lt;D xsi:type="xsd:double"&gt;16.026749029531&lt;/D&gt;&lt;D xsi:type="xsd:double"&gt;16.4804553096633&lt;/D&gt;&lt;D xsi:type="xsd:double"&gt;16.9758024435785&lt;/D&gt;&lt;D xsi:type="xsd:double"&gt;17.2557537216668&lt;/D&gt;&lt;D xsi:type="xsd:double"&gt;16.9129138384542&lt;/D&gt;&lt;D xsi:type="xsd:double"&gt;16.5830811195653&lt;/D&gt;&lt;D xsi:type="xsd:double"&gt;16.0792189906635&lt;/D&gt;&lt;D xsi:type="xsd:double"&gt;15.9137116015378&lt;/D&gt;&lt;D xsi:type="xsd:double"&gt;16.7319246084691&lt;/D&gt;&lt;D xsi:type="xsd:double"&gt;16.9870020960095&lt;/D&gt;&lt;D xsi:type="xsd:double"&gt;16.4656506946612&lt;/D&gt;&lt;D xsi:type="xsd:double"&gt;16.6790292423527&lt;/D&gt;&lt;D xsi:type="xsd:double"&gt;15.5817227402787&lt;/D&gt;&lt;D xsi:type="xsd:double"&gt;16.3812019920089&lt;/D&gt;&lt;D xsi:type="xsd:double"&gt;15.5194574748098&lt;/D&gt;&lt;D xsi:type="xsd:double"&gt;16.1452679073009&lt;/D&gt;&lt;D xsi:type="xsd:double"&gt;15.3909449207469&lt;/D&gt;&lt;D xsi:type="xsd:double"&gt;15.3809732866278&lt;/D&gt;&lt;D xsi:type="xsd:double"&gt;15.7078198415454&lt;/D&gt;&lt;D xsi:type="xsd:double"&gt;15.4753898922039&lt;/D&gt;&lt;D xsi:type="xsd:double"&gt;15.3886775519943&lt;/D&gt;&lt;D xsi:type="xsd:double"&gt;14.3961772472307&lt;/D&gt;&lt;D xsi:type="xsd:double"&gt;13.6271329047409&lt;/D&gt;&lt;D xsi:type="xsd:double"&gt;13.9495818880817&lt;/D&gt;&lt;D xsi:type="xsd:double"&gt;14.4528062223253&lt;/D&gt;&lt;D xsi:type="xsd:double"&gt;14.6442200593129&lt;/D&gt;&lt;D xsi:type="xsd:double"&gt;15.0651920235101&lt;/D&gt;&lt;D xsi:type="xsd:double"&gt;14.9485384231569&lt;/D&gt;&lt;D xsi:type="xsd:double"&gt;14.554472240062&lt;/D&gt;&lt;D xsi:type="xsd:double"&gt;15.1390451890527&lt;/D&gt;&lt;D xsi:type="xsd:double"&gt;13.6686927960819&lt;/D&gt;&lt;D xsi:type="xsd:double"&gt;14.2523660518033&lt;/D&gt;&lt;D xsi:type="xsd:double"&gt;14.7259199784721&lt;/D&gt;&lt;D xsi:type="xsd:double"&gt;15.9896266589797&lt;/D&gt;&lt;D xsi:type="xsd:double"&gt;15.7611271445129&lt;/D&gt;&lt;D xsi:type="xsd:double"&gt;16.3475710307988&lt;/D&gt;&lt;D xsi:type="xsd:double"&gt;16.5952314157512&lt;/D&gt;&lt;D xsi:type="xsd:double"&gt;13.7568741380819&lt;/D&gt;&lt;D xsi:type="xsd:double"&gt;15.6659802455603&lt;/D&gt;&lt;D xsi:type="xsd:double"&gt;18.1279377349612&lt;/D&gt;&lt;D xsi:type="xsd:double"&gt;19.515319841162&lt;/D&gt;&lt;D xsi:type="xsd:double"&gt;19.3793522492187&lt;/D&gt;&lt;D xsi:type="xsd:double"&gt;18.5241623902571&lt;/D&gt;&lt;D xsi:type="xsd:double"&gt;18.4254228080844&lt;/D&gt;&lt;D xsi:type="xsd:double"&gt;18.3315300423344&lt;/D&gt;&lt;D xsi:type="xsd:double"&gt;17.1821430796768&lt;/D&gt;&lt;D xsi:type="xsd:double"&gt;17.4495449619684&lt;/D&gt;&lt;D xsi:type="xsd:double"&gt;18.7575407290647&lt;/D&gt;&lt;D xsi:type="xsd:double"&gt;18.6736631229253&lt;/D&gt;&lt;D xsi:type="xsd:double"&gt;19.7127603803596&lt;/D&gt;&lt;D xsi:type="xsd:double"&gt;20.6082986765868&lt;/D&gt;&lt;D xsi:type="xsd:double"&gt;18.2337712516193&lt;/D&gt;&lt;D xsi:type="xsd:double"&gt;18.6873681080744&lt;/D&gt;&lt;D xsi:type="xsd:double"&gt;18.8861156467799&lt;/D&gt;&lt;D xsi:type="xsd:double"&gt;18.5523321920817&lt;/D&gt;&lt;D xsi:type="xsd:double"&gt;18.4942085840132&lt;/D&gt;&lt;D xsi:type="xsd:double"&gt;17.6398196823148&lt;/D&gt;&lt;D xsi:type="xsd:double"&gt;18.6059937474826&lt;/D&gt;&lt;D xsi:type="xsd:double"&gt;19.1283422141995&lt;/D&gt;&lt;D xsi:type="xsd:double"&gt;18.2960832702389&lt;/D&gt;&lt;D xsi:type="xsd:double"&gt;16.719163435139&lt;/D&gt;&lt;D xsi:type="xsd:double"&gt;14.5088332734&lt;/D&gt;&lt;D xsi:type="xsd:double"&gt;15.2781394271757&lt;/D&gt;&lt;D xsi:type="xsd:double"&gt;15.0445191265907&lt;/D&gt;&lt;D xsi:type="xsd:double"&gt;15.6413096156291&lt;/D&gt;&lt;D xsi:type="xsd:double"&gt;14.8292195555931&lt;/D&gt;&lt;D xsi:type="xsd:double"&gt;14.7518337615776&lt;/D&gt;&lt;D xsi:type="xsd:double"&gt;14.0987324904055&lt;/D&gt;&lt;D xsi:type="xsd:double"&gt;13.025707888819&lt;/D&gt;&lt;D xsi:type="xsd:double"&gt;12.5949627142566&lt;/D&gt;&lt;D xsi:type="xsd:double"&gt;13.2761822911118&lt;/D&gt;&lt;D xsi:type="xsd:double"&gt;13.4957685923557&lt;/D&gt;&lt;D xsi:type="xsd:double"&gt;14.2027200931916&lt;/D&gt;&lt;D xsi:type="xsd:double"&gt;14.0524824867486&lt;/D&gt;&lt;D xsi:type="xsd:double"&gt;13.4634808127087&lt;/D&gt;&lt;D xsi:type="xsd:double"&gt;13.49005846221&lt;/D&gt;&lt;D xsi:type="xsd:double"&gt;13.710378299229&lt;/D&gt;&lt;D xsi:type="xsd:double"&gt;13.2142724564697&lt;/D&gt;&lt;D xsi:type="xsd:double"&gt;13.1361200036528&lt;/D&gt;&lt;D xsi:type="xsd:double"&gt;12.9363772360661&lt;/D&gt;&lt;D xsi:type="xsd:double"&gt;12.7456303768042&lt;/D&gt;&lt;D xsi:type="xsd:double"&gt;12.9269138958634&lt;/D&gt;&lt;D xsi:type="xsd:double"&gt;15.2009122401653&lt;/D&gt;&lt;D xsi:type="xsd:double"&gt;15.3662038207416&lt;/D&gt;&lt;D xsi:type="xsd:double"&gt;15.7919349959321&lt;/D&gt;&lt;D xsi:type="xsd:double"&gt;16.6568349113682&lt;/D&gt;&lt;D xsi:type="xsd:double"&gt;16.4009519747675&lt;/D&gt;&lt;D xsi:type="xsd:double"&gt;16.0640832518898&lt;/D&gt;&lt;/FQL&gt;&lt;FQL&gt;&lt;Q&gt;EWQ^FMA_PE(LTMA,-10AY,0,AM,"PORTAGG","MEANR")&lt;/Q&gt;&lt;R&gt;121&lt;/R&gt;&lt;C&gt;1&lt;/C&gt;&lt;D xsi:type="xsd:double"&gt;15.8082287657263&lt;/D&gt;&lt;D xsi:type="xsd:double"&gt;15.938104116233&lt;/D&gt;&lt;D xsi:type="xsd:double"&gt;15.5255381520536&lt;/D&gt;&lt;D xsi:type="xsd:double"&gt;15.0417639271876&lt;/D&gt;&lt;D xsi:type="xsd:double"&gt;15.5292790799928&lt;/D&gt;&lt;D xsi:type="xsd:double"&gt;14.7143551136142&lt;/D&gt;&lt;D xsi:type="xsd:double"&gt;14.8340064302569&lt;/D&gt;&lt;D xsi:type="xsd:double"&gt;15.0951567932663&lt;/D&gt;&lt;D xsi:type="xsd:double"&gt;14.7245678776234&lt;/D&gt;&lt;D xsi:type="xsd:double"&gt;16.2631915075064&lt;/D&gt;&lt;D xsi:type="xsd:double"&gt;17.5215945147316&lt;/D&gt;&lt;D xsi:type="xsd:double"&gt;17.6962778978494&lt;/D&gt;&lt;D xsi:type="xsd:double"&gt;17.5264820946777&lt;/D&gt;&lt;D xsi:type="xsd:double"&gt;17.1403531796531&lt;/D&gt;&lt;D xsi:type="xsd:double"&gt;16.8344414733527&lt;/D&gt;&lt;D xsi:type="xsd:double"&gt;17.2367325472046&lt;/D&gt;&lt;D xsi:type="xsd:double"&gt;16.1003900609358&lt;/D&gt;&lt;D xsi:type="xsd:double"&gt;16.0780701715542&lt;/D&gt;&lt;D xsi:type="xsd:double"&gt;16.401225334027&lt;/D&gt;&lt;D xsi:type="xsd:double"&gt;15.6011033999393&lt;/D&gt;&lt;D xsi:type="xsd:double"&gt;14.464777058505&lt;/D&gt;&lt;D xsi:type="xsd:double"&gt;14.0614035703684&lt;/D&gt;&lt;D xsi:type="xsd:double"&gt;15.171977505742&lt;/D&gt;&lt;D xsi:type="xsd:double"&gt;15.0653239307366&lt;/D&gt;&lt;D xsi:type="xsd:double"&gt;15.0605631821684&lt;/D&gt;&lt;D xsi:type="xsd:double"&gt;15.1291829994663&lt;/D&gt;&lt;D xsi:type="xsd:double"&gt;14.6954175579069&lt;/D&gt;&lt;D xsi:type="xsd:double"&gt;15.0344070184599&lt;/D&gt;&lt;D xsi:type="xsd:double"&gt;15.0337553651864&lt;/D&gt;&lt;D xsi:type="xsd:double"&gt;14.8489451468359&lt;/D&gt;&lt;D xsi:type="xsd:double"&gt;14.937490299912&lt;/D&gt;&lt;D xsi:type="xsd:double"&gt;15.4907924628096&lt;/D&gt;&lt;D xsi:type="xsd:double"&gt;15.8513609136202&lt;/D&gt;&lt;D xsi:type="xsd:double"&gt;15.5642446053723&lt;/D&gt;&lt;D xsi:type="xsd:double"&gt;15.6073379441059&lt;/D&gt;&lt;D xsi:type="xsd:double"&gt;15.6743108017477&lt;/D&gt;&lt;D xsi:type="xsd:double"&gt;15.8707678709631&lt;/D&gt;&lt;D xsi:type="xsd:double"&gt;15.7555517255321&lt;/D&gt;&lt;D xsi:type="xsd:double"&gt;15.5513450753806&lt;/D&gt;&lt;D xsi:type="xsd:double"&gt;15.5479805518139&lt;/D&gt;&lt;D xsi:type="xsd:double"&gt;15.5319578332354&lt;/D&gt;&lt;D xsi:type="xsd:double"&gt;16.0455852643909&lt;/D&gt;&lt;D xsi:type="xsd:double"&gt;16.0894656112849&lt;/D&gt;&lt;D xsi:type="xsd:double"&gt;16.2025184689695&lt;/D&gt;&lt;D xsi:type="xsd:double"&gt;16.5547876199056&lt;/D&gt;&lt;D xsi:type="xsd:double"&gt;15.3835866010904&lt;/D&gt;&lt;D xsi:type="xsd:double"&gt;15.5902164776156&lt;/D&gt;&lt;D xsi:type="xsd:double"&gt;15.4990227275677&lt;/D&gt;&lt;D xsi:type="xsd:double"&gt;15.61506446273&lt;/D&gt;&lt;D xsi:type="xsd:double"&gt;15.3579321890648&lt;/D&gt;&lt;D xsi:type="xsd:double"&gt;15.2556798559186&lt;/D&gt;&lt;D xsi:type="xsd:double"&gt;15.2374942397636&lt;/D&gt;&lt;D xsi:type="xsd:double"&gt;14.7401988710944&lt;/D&gt;&lt;D xsi:type="xsd:double"&gt;14.6965082036402&lt;/D&gt;&lt;D xsi:type="xsd:double"&gt;14.1703250775406&lt;/D&gt;&lt;D xsi:type="xsd:double"&gt;13.3059676187005&lt;/D&gt;&lt;D xsi:type="xsd:double"&gt;13.2000164513679&lt;/D&gt;&lt;D xsi:type="xsd:double"&gt;13.7060883241638&lt;/D&gt;&lt;D xsi:type="xsd:double"&gt;14.5387710563668&lt;/D&gt;&lt;D xsi:type="xsd:double"&gt;14.586657436098&lt;/D&gt;&lt;D xsi:type="xsd:double"&gt;14.460874664571&lt;/D&gt;&lt;D xsi:type="xsd:double"&gt;14.4880721149303&lt;/D&gt;&lt;D xsi:type="xsd:double"&gt;14.719126250853&lt;/D&gt;&lt;D xsi:type="xsd:double"&gt;14.5334875072987&lt;/D&gt;&lt;D xsi:type="xsd:double"&gt;14.9662653914155&lt;/D&gt;&lt;D xsi:type="xsd:double"&gt;14.8707794935935&lt;/D&gt;&lt;D xsi:type="xsd:double"&gt;15.9322165165079&lt;/D&gt;&lt;D xsi:type="xsd:double"&gt;16.0051034163816&lt;/D&gt;&lt;D xsi:type="xsd:double"&gt;16.6227996493688&lt;/D&gt;&lt;D xsi:type="xsd:double"&gt;16.5024476720688&lt;/D&gt;&lt;D xsi:type="xsd:double"&gt;14.3713638988101&lt;/D&gt;&lt;D xsi:type="xsd:double"&gt;14.9613602640288&lt;/D&gt;&lt;D xsi:type="xsd:double"&gt;16.1595324824461&lt;/D&gt;&lt;D xsi:type="xsd:double"&gt;18.012237509301&lt;/D&gt;&lt;D xsi:type="xsd:double"&gt;19.1064931664955&lt;/D&gt;&lt;D xsi:type="xsd:double"&gt;21.4761736410017&lt;/D&gt;&lt;D xsi:type="xsd:double"&gt;23.168567878509&lt;/D&gt;&lt;D xsi:type="xsd:double"&gt;23.9538881546475&lt;/D&gt;&lt;D xsi:type="xsd:double"&gt;26.3852659293112&lt;/D&gt;&lt;D xsi:type="xsd:double"&gt;28.0439393755376&lt;/D&gt;&lt;D xsi:type="xsd:double"&gt;29.3587071449445&lt;/D&gt;&lt;D xsi:type="xsd:double"&gt;28.0356765556814&lt;/D&gt;&lt;D xsi:type="xsd:double"&gt;26.8541092416673&lt;/D&gt;&lt;D xsi:type="xsd:double"&gt;26.1105208907217&lt;/D&gt;&lt;D xsi:type="xsd:double"&gt;25.268243259474&lt;/D&gt;&lt;D xsi:type="xsd:double"&gt;24.4638193655105&lt;/D&gt;&lt;D xsi:type="xsd:double"&gt;23.2889974246902&lt;/D&gt;&lt;D xsi:type="xsd:double"&gt;22.0315839443485&lt;/D&gt;&lt;D xsi:type="xsd:double"&gt;20.7615062072069&lt;/D&gt;&lt;D xsi:type="xsd:double"&gt;19.2800905796722&lt;/D&gt;&lt;D xsi:type="xsd:double"&gt;18.7794376680959&lt;/D&gt;&lt;D xsi:type="xsd:double"&gt;17.5929799404729&lt;/D&gt;&lt;D xsi:type="xsd:double"&gt;17.2644861629215&lt;/D&gt;&lt;D xsi:type="xsd:double"&gt;16.6110735586889&lt;/D&gt;&lt;D xsi:type="xsd:double"&gt;15.3285706102704&lt;/D&gt;&lt;D xsi:type="xsd:double"&gt;15.108468546246&lt;/D&gt;&lt;D xsi:type="xsd:double"&gt;14.4337120816124&lt;/D&gt;&lt;D xsi:type="xsd:double"&gt;14.1947967806409&lt;/D&gt;&lt;D xsi:type="xsd:double"&gt;13.4449540022641&lt;/D&gt;&lt;D xsi:type="xsd:double"&gt;13.2178628106301&lt;/D&gt;&lt;D xsi:type="xsd:double"&gt;12.520209251778&lt;/D&gt;&lt;D xsi:type="xsd:double"&gt;11.5445701748674&lt;/D&gt;&lt;D xsi:type="xsd:double"&gt;11.9174762771899&lt;/D&gt;&lt;D xsi:type="xsd:double"&gt;12.0529455222884&lt;/D&gt;&lt;D xsi:type="xsd:double"&gt;12.2861567580244&lt;/D&gt;&lt;D xsi:type="xsd:double"&gt;12.7497608414905&lt;/D&gt;&lt;D xsi:type="xsd:double"&gt;12.9343638128643&lt;/D&gt;&lt;D xsi:type="xsd:double"&gt;13.0301886729084&lt;/D&gt;&lt;D xsi:type="xsd:double"&gt;13.1518862373873&lt;/D&gt;&lt;D xsi:type="xsd:double"&gt;13.0900081856293&lt;/D&gt;&lt;D xsi:type="xsd:double"&gt;13.033793831598&lt;/D&gt;&lt;D xsi:type="xsd:double"&gt;13.3125971326036&lt;/D&gt;&lt;D xsi:type="xsd:double"&gt;13.1829646268716&lt;/D&gt;&lt;D xsi:type="xsd:double"&gt;12.8210315804617&lt;/D&gt;&lt;D xsi:type="xsd:double"&gt;13.0128501981076&lt;/D&gt;&lt;D xsi:type="xsd:double"&gt;13.8604979537464&lt;/D&gt;&lt;D xsi:type="xsd:double"&gt;13.8733364629663&lt;/D&gt;&lt;D xsi:type="xsd:double"&gt;14.6913277780959&lt;/D&gt;&lt;D xsi:type="xsd:double"&gt;15.5039738890378&lt;/D&gt;&lt;D xsi:type="xsd:double"&gt;15.4536233282165&lt;/D&gt;&lt;D xsi:type="xsd:double"&gt;15.4030391429218&lt;/D&gt;&lt;/FQL&gt;&lt;FQL&gt;&lt;Q&gt;DDR3512M-FDS^FG_PRICE_CHANGE(0,-1AM)&lt;/Q&gt;&lt;R&gt;1&lt;/R&gt;&lt;C&gt;1&lt;/C&gt;&lt;D xsi:type="xsd:double"&gt;-0.328494416725789&lt;/D&gt;&lt;/FQL&gt;&lt;FQL&gt;&lt;Q&gt;PASP-FDS^FG_PRICE_CHANGE(0,-1AM)&lt;/Q&gt;&lt;R&gt;1&lt;/R&gt;&lt;C&gt;1&lt;/C&gt;&lt;D xsi:type="xsd:double"&gt;-11.1111111111111&lt;/D&gt;&lt;/FQL&gt;&lt;FQL&gt;&lt;Q&gt;PLATI-FDS^FG_PRICE_CHANGE(0,-1AM)&lt;/Q&gt;&lt;R&gt;1&lt;/R&gt;&lt;C&gt;1&lt;/C&gt;&lt;D xsi:type="xsd:double"&gt;-1.31979695431472&lt;/D&gt;&lt;/FQL&gt;&lt;FQL&gt;&lt;Q&gt;W-FDS^FG_PRICE_CHANGE(0,-1AM)&lt;/Q&gt;&lt;R&gt;1&lt;/R&gt;&lt;C&gt;1&lt;/C&gt;&lt;D xsi:type="xsd:double"&gt;11.1160914388167&lt;/D&gt;&lt;/FQL&gt;&lt;FQL&gt;&lt;Q&gt;COPP-FDS^FG_PRICE_CHANGE(0,-1AM)&lt;/Q&gt;&lt;R&gt;1&lt;/R&gt;&lt;C&gt;1&lt;/C&gt;&lt;D xsi:type="xsd:double"&gt;7.50116658889408&lt;/D&gt;&lt;/FQL&gt;&lt;FQL&gt;&lt;Q&gt;TRYUS10Y-FDS^FG_YIELD(-10AY,0,Y,,"YTM")&lt;/Q&gt;&lt;R&gt;10&lt;/R&gt;&lt;C&gt;1&lt;/C&gt;&lt;D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xsi:type="xsd:double"&gt;3.8791&lt;/D&gt;&lt;/FQL&gt;&lt;FQL&gt;&lt;Q&gt;CC_AU^FG_COMPANY_NAME&lt;/Q&gt;&lt;R&gt;1&lt;/R&gt;&lt;C&gt;1&lt;/C&gt;&lt;D xsi:type="xsd:string"&gt;Australia&lt;/D&gt;&lt;/FQL&gt;&lt;FQL&gt;&lt;Q&gt;USDCHF^FG_COMPANY_NAME&lt;/Q&gt;&lt;R&gt;1&lt;/R&gt;&lt;C&gt;1&lt;/C&gt;&lt;D xsi:type="xsd:string"&gt;Swiss Franc per U.S. Dollar&lt;/D&gt;&lt;/FQL&gt;&lt;FQL&gt;&lt;Q&gt;USDJPY^STD(FG_PRICE_CHANGE(0,-3AY,M))&lt;/Q&gt;&lt;R&gt;1&lt;/R&gt;&lt;C&gt;1&lt;/C&gt;&lt;D xsi:type="xsd:double"&gt;3.04123201183011&lt;/D&gt;&lt;/FQL&gt;&lt;FQL&gt;&lt;Q&gt;EWA^FMA_PE(NTMA,-10AY,0,AM,"PORTAGG","MEANR")&lt;/Q&gt;&lt;R&gt;121&lt;/R&gt;&lt;C&gt;1&lt;/C&gt;&lt;D xsi:type="xsd:double"&gt;14.2700358497457&lt;/D&gt;&lt;D xsi:type="xsd:double"&gt;14.2669264435439&lt;/D&gt;&lt;D xsi:type="xsd:double"&gt;14.5083672875468&lt;/D&gt;&lt;D xsi:type="xsd:double"&gt;14.4285821173691&lt;/D&gt;&lt;D xsi:type="xsd:double"&gt;14.8514891279475&lt;/D&gt;&lt;D xsi:type="xsd:double"&gt;13.9608421756518&lt;/D&gt;&lt;D xsi:type="xsd:double"&gt;14.5804464744875&lt;/D&gt;&lt;D xsi:type="xsd:double"&gt;13.9633795348226&lt;/D&gt;&lt;D xsi:type="xsd:double"&gt;14.7910246106693&lt;/D&gt;&lt;D xsi:type="xsd:double"&gt;15.9381104441022&lt;/D&gt;&lt;D xsi:type="xsd:double"&gt;15.9513951403005&lt;/D&gt;&lt;D xsi:type="xsd:double"&gt;16.4133012616897&lt;/D&gt;&lt;D xsi:type="xsd:double"&gt;15.7971097554148&lt;/D&gt;&lt;D xsi:type="xsd:double"&gt;15.0553254862564&lt;/D&gt;&lt;D xsi:type="xsd:double"&gt;15.0494049104612&lt;/D&gt;&lt;D xsi:type="xsd:double"&gt;15.1295523858098&lt;/D&gt;&lt;D xsi:type="xsd:double"&gt;14.711549399402&lt;/D&gt;&lt;D xsi:type="xsd:double"&gt;15.1554685743865&lt;/D&gt;&lt;D xsi:type="xsd:double"&gt;14.7281633145489&lt;/D&gt;&lt;D xsi:type="xsd:double"&gt;14.819278255662&lt;/D&gt;&lt;D xsi:type="xsd:double"&gt;14.7537417655739&lt;/D&gt;&lt;D xsi:type="xsd:double"&gt;14.8141725304149&lt;/D&gt;&lt;D xsi:type="xsd:double"&gt;16.0738869403644&lt;/D&gt;&lt;D xsi:type="xsd:double"&gt;15.180061713093&lt;/D&gt;&lt;D xsi:type="xsd:double"&gt;16.4337951771682&lt;/D&gt;&lt;D xsi:type="xsd:double"&gt;16.4229956914625&lt;/D&gt;&lt;D xsi:type="xsd:double"&gt;15.8447968025185&lt;/D&gt;&lt;D xsi:type="xsd:double"&gt;16.8009859340867&lt;/D&gt;&lt;D xsi:type="xsd:double"&gt;16.0677382127277&lt;/D&gt;&lt;D xsi:type="xsd:double"&gt;16.3381031784196&lt;/D&gt;&lt;D xsi:type="xsd:double"&gt;15.2613986699118&lt;/D&gt;&lt;D xsi:type="xsd:double"&gt;15.902515362013&lt;/D&gt;&lt;D xsi:type="xsd:double"&gt;16.1480797242247&lt;/D&gt;&lt;D xsi:type="xsd:double"&gt;15.6934538207063&lt;/D&gt;&lt;D xsi:type="xsd:double"&gt;15.7215261069394&lt;/D&gt;&lt;D xsi:type="xsd:double"&gt;15.7383375672236&lt;/D&gt;&lt;D xsi:type="xsd:double"&gt;15.5978591861164&lt;/D&gt;&lt;D xsi:type="xsd:double"&gt;15.1595002902089&lt;/D&gt;&lt;D xsi:type="xsd:double"&gt;15.3656604042329&lt;/D&gt;&lt;D xsi:type="xsd:double"&gt;15.7543164886192&lt;/D&gt;&lt;D xsi:type="xsd:double"&gt;15.4872101366758&lt;/D&gt;&lt;D xsi:type="xsd:double"&gt;15.5130013793484&lt;/D&gt;&lt;D xsi:type="xsd:double"&gt;16.1648479748985&lt;/D&gt;&lt;D xsi:type="xsd:double"&gt;15.8265540934873&lt;/D&gt;&lt;D xsi:type="xsd:double"&gt;16.1538228477086&lt;/D&gt;&lt;D xsi:type="xsd:double"&gt;15.1562252732907&lt;/D&gt;&lt;D xsi:type="xsd:double"&gt;15.4056068152723&lt;/D&gt;&lt;D xsi:type="xsd:double"&gt;14.8711759569546&lt;/D&gt;&lt;D xsi:type="xsd:double"&gt;15.4315566292753&lt;/D&gt;&lt;D xsi:type="xsd:double"&gt;15.1273524531377&lt;/D&gt;&lt;D xsi:type="xsd:double"&gt;15.7067452102291&lt;/D&gt;&lt;D xsi:type="xsd:double"&gt;15.6960791744971&lt;/D&gt;&lt;D xsi:type="xsd:double"&gt;15.1760691718222&lt;/D&gt;&lt;D xsi:type="xsd:double"&gt;14.7450403496087&lt;/D&gt;&lt;D xsi:type="xsd:double"&gt;14.647037538523&lt;/D&gt;&lt;D xsi:type="xsd:double"&gt;14.0808830244327&lt;/D&gt;&lt;D xsi:type="xsd:double"&gt;14.4432107016465&lt;/D&gt;&lt;D xsi:type="xsd:double"&gt;15.1140590559393&lt;/D&gt;&lt;D xsi:type="xsd:double"&gt;15.3585800957746&lt;/D&gt;&lt;D xsi:type="xsd:double"&gt;15.288890040992&lt;/D&gt;&lt;D xsi:type="xsd:double"&gt;15.3275641144328&lt;/D&gt;&lt;D xsi:type="xsd:double"&gt;15.7551697445926&lt;/D&gt;&lt;D xsi:type="xsd:double"&gt;16.1544851715319&lt;/D&gt;&lt;D xsi:type="xsd:double"&gt;15.9716847105929&lt;/D&gt;&lt;D xsi:type="xsd:double"&gt;16.4522010431975&lt;/D&gt;&lt;D xsi:type="xsd:double"&gt;16.3009586979215&lt;/D&gt;&lt;D xsi:type="xsd:doubl</t>
        </r>
      </text>
    </comment>
    <comment ref="A10" authorId="0" shapeId="0" xr:uid="{77CC3004-7ED4-4433-B18D-8DF738AD277D}">
      <text>
        <r>
          <rPr>
            <b/>
            <sz val="9"/>
            <color indexed="81"/>
            <rFont val="Tahoma"/>
            <charset val="1"/>
          </rPr>
          <t>e"&gt;17.1427874338584&lt;/D&gt;&lt;D xsi:type="xsd:double"&gt;17.153345765822&lt;/D&gt;&lt;D xsi:type="xsd:double"&gt;17.5008572413404&lt;/D&gt;&lt;D xsi:type="xsd:double"&gt;17.9035740255197&lt;/D&gt;&lt;D xsi:type="xsd:double"&gt;14.9147611614529&lt;/D&gt;&lt;D xsi:type="xsd:double"&gt;15.7640645999622&lt;/D&gt;&lt;D xsi:type="xsd:double"&gt;17.2274025716501&lt;/D&gt;&lt;D xsi:type="xsd:double"&gt;20.0817547502593&lt;/D&gt;&lt;D xsi:type="xsd:double"&gt;18.9507762388316&lt;/D&gt;&lt;D xsi:type="xsd:double"&gt;19.0430304362691&lt;/D&gt;&lt;D xsi:type="xsd:double"&gt;18.7168786590926&lt;/D&gt;&lt;D xsi:type="xsd:double"&gt;18.7865480733202&lt;/D&gt;&lt;D xsi:type="xsd:double"&gt;18.8268607933014&lt;/D&gt;&lt;D xsi:type="xsd:double"&gt;19.6169986500319&lt;/D&gt;&lt;D xsi:type="xsd:double"&gt;19.5204763624908&lt;/D&gt;&lt;D xsi:type="xsd:double"&gt;19.0714938413981&lt;/D&gt;&lt;D xsi:type="xsd:double"&gt;18.1798583958556&lt;/D&gt;&lt;D xsi:type="xsd:double"&gt;18.0821954365405&lt;/D&gt;&lt;D xsi:type="xsd:double"&gt;18.0243339146686&lt;/D&gt;&lt;D xsi:type="xsd:double"&gt;18.3177775076718&lt;/D&gt;&lt;D xsi:type="xsd:double"&gt;17.0199912304574&lt;/D&gt;&lt;D xsi:type="xsd:double"&gt;17.1849452096495&lt;/D&gt;&lt;D xsi:type="xsd:double"&gt;16.9434953225559&lt;/D&gt;&lt;D xsi:type="xsd:double"&gt;17.2444094781319&lt;/D&gt;&lt;D xsi:type="xsd:double"&gt;17.58552686805&lt;/D&gt;&lt;D xsi:type="xsd:double"&gt;17.32096836098&lt;/D&gt;&lt;D xsi:type="xsd:double"&gt;17.3829440977143&lt;/D&gt;&lt;D xsi:type="xsd:double"&gt;16.2100592735772&lt;/D&gt;&lt;D xsi:type="xsd:double"&gt;15.5664730192989&lt;/D&gt;&lt;D xsi:type="xsd:double"&gt;15.8310059300876&lt;/D&gt;&lt;D xsi:type="xsd:double"&gt;14.2762540838332&lt;/D&gt;&lt;D xsi:type="xsd:double"&gt;13.6649687650884&lt;/D&gt;&lt;D xsi:type="xsd:double"&gt;12.8841516760802&lt;/D&gt;&lt;D xsi:type="xsd:double"&gt;13.9316026927717&lt;/D&gt;&lt;D xsi:type="xsd:double"&gt;13.6558920110344&lt;/D&gt;&lt;D xsi:type="xsd:double"&gt;13.178695876922&lt;/D&gt;&lt;D xsi:type="xsd:double"&gt;13.7385277339242&lt;/D&gt;&lt;D xsi:type="xsd:double"&gt;14.4531920800488&lt;/D&gt;&lt;D xsi:type="xsd:double"&gt;14.2765239793974&lt;/D&gt;&lt;D xsi:type="xsd:double"&gt;14.9217758734639&lt;/D&gt;&lt;D xsi:type="xsd:double"&gt;14.4578358146624&lt;/D&gt;&lt;D xsi:type="xsd:double"&gt;14.4088833649342&lt;/D&gt;&lt;D xsi:type="xsd:double"&gt;14.7082921628923&lt;/D&gt;&lt;D xsi:type="xsd:double"&gt;14.5726792864749&lt;/D&gt;&lt;D xsi:type="xsd:double"&gt;14.6341410977162&lt;/D&gt;&lt;D xsi:type="xsd:double"&gt;15.4005089281853&lt;/D&gt;&lt;D xsi:type="xsd:double"&gt;15.2086868676319&lt;/D&gt;&lt;D xsi:type="xsd:double"&gt;14.597076017661&lt;/D&gt;&lt;D xsi:type="xsd:double"&gt;14.9354366958954&lt;/D&gt;&lt;D xsi:type="xsd:double"&gt;15.4206126412945&lt;/D&gt;&lt;D xsi:type="xsd:double"&gt;16.1858750706512&lt;/D&gt;&lt;D xsi:type="xsd:double"&gt;16.4366464563173&lt;/D&gt;&lt;D xsi:type="xsd:double"&gt;16.9493064102587&lt;/D&gt;&lt;D xsi:type="xsd:double"&gt;16.8264569798506&lt;/D&gt;&lt;D xsi:type="xsd:double"&gt;16.5960932435882&lt;/D&gt;&lt;/FQL&gt;&lt;FQL&gt;&lt;Q&gt;PASP-FDS^MAX(FG_PRICE(0,-5AY))&lt;/Q&gt;&lt;R&gt;1&lt;/R&gt;&lt;C&gt;1&lt;/C&gt;&lt;D xsi:type="xsd:double"&gt;3158.12&lt;/D&gt;&lt;/FQL&gt;&lt;FQL&gt;&lt;Q&gt;EWQ^FG_PRICE_MAVG(0,,,,200)&lt;/Q&gt;&lt;R&gt;1&lt;/R&gt;&lt;C&gt;1&lt;/C&gt;&lt;D xsi:type="xsd:double"&gt;38.228274999999996&lt;/D&gt;&lt;/FQL&gt;&lt;FQL&gt;&lt;Q&gt;EWC^FG_PRICE(0)&lt;/Q&gt;&lt;R&gt;1&lt;/R&gt;&lt;C&gt;1&lt;/C&gt;&lt;D xsi:type="xsd:double"&gt;38.28&lt;/D&gt;&lt;/FQL&gt;&lt;FQL&gt;&lt;Q&gt;VGK^FG_TOTAL_RETURNC(0,-12AM)&lt;/Q&gt;&lt;R&gt;1&lt;/R&gt;&lt;C&gt;1&lt;/C&gt;&lt;D xsi:type="xsd:double"&gt;12.661993&lt;/D&gt;&lt;/FQL&gt;&lt;FQL&gt;&lt;Q&gt;EWN^P_PRICE(0)/P_PRICE_HIGH_PR(0,,,,,,"PRICE","INTRA","52W")&lt;/Q&gt;&lt;R&gt;1&lt;/R&gt;&lt;C&gt;1&lt;/C&gt;&lt;D xsi:type="xsd:double"&gt;0.9980146&lt;/D&gt;&lt;/FQL&gt;&lt;FQL&gt;&lt;Q&gt;EWJ^SIZE(FG_CONSTITUENTS)&lt;/Q&gt;&lt;R&gt;1&lt;/R&gt;&lt;C&gt;1&lt;/C&gt;&lt;D xsi:type="xsd:long"&gt;218&lt;/D&gt;&lt;/FQL&gt;&lt;FQL&gt;&lt;Q&gt;ENZL^FMA_COS_UP("EPS","1M",+1,0,,,"PORTAGG","MEANR")&lt;/Q&gt;&lt;R&gt;1&lt;/R&gt;&lt;C&gt;1&lt;/C&gt;&lt;D xsi:type="xsd:double"&gt;5&lt;/D&gt;&lt;/FQL&gt;&lt;FQL&gt;&lt;Q&gt;ENZL^FMA_RBICS_REV_CURRENT(30, LOC, "PORTAGG")&lt;/Q&gt;&lt;R&gt;1&lt;/R&gt;&lt;C&gt;1&lt;/C&gt;&lt;D xsi:type="xsd:double"&gt;14.5670087916152&lt;/D&gt;&lt;/FQL&gt;&lt;FQL&gt;&lt;Q&gt;TRYCA10Y-FDS^FG_YIELD_NAME&lt;/Q&gt;&lt;R&gt;1&lt;/R&gt;&lt;C&gt;1&lt;/C&gt;&lt;D xsi:type="xsd:string"&gt;Canada Benchmark Bond - 10 Year&lt;/D&gt;&lt;/FQL&gt;&lt;FQL&gt;&lt;Q&gt;REFCATARG-FDS^PROPER_NAME(0,,,"SECURITY","NAME")&lt;/Q&gt;&lt;R&gt;1&lt;/R&gt;&lt;C&gt;1&lt;/C&gt;&lt;D xsi:type="xsd:string"&gt;Canada Target Rate&lt;/D&gt;&lt;/FQL&gt;&lt;FQL&gt;&lt;Q&gt;TRYJP10Y-FDS^PCTCHG(FG_YIELD(0,,,,"YTM"),FG_YIELD(-1AM,,,,"YTM"))&lt;/Q&gt;&lt;R&gt;1&lt;/R&gt;&lt;C&gt;1&lt;/C&gt;&lt;D xsi:type="xsd:double"&gt;15.602293&lt;/D&gt;&lt;/FQL&gt;&lt;FQL&gt;&lt;Q&gt;USDNZD^FG_PRICE_CHANGE(0,-6AM)&lt;/Q&gt;&lt;R&gt;1&lt;/R&gt;&lt;C&gt;1&lt;/C&gt;&lt;D xsi:type="xsd:double"&gt;-1.1709988&lt;/D&gt;&lt;/FQL&gt;&lt;FQL&gt;&lt;Q&gt;W-FDS^FG_PRICE_CHANGE(0,-1AY)&lt;/Q&gt;&lt;R&gt;1&lt;/R&gt;&lt;C&gt;1&lt;/C&gt;&lt;D xsi:type="xsd:double"&gt;-1.70499603489294&lt;/D&gt;&lt;/FQL&gt;&lt;FQL&gt;&lt;Q&gt;SPY^PERCENT_CHANGE(FMA_EPS(+1,0,,,,"PORTAGG","MEAN"),FMA_EPS(+1,-1AM,,,,"PORTAGG","MEAN"))&lt;/Q&gt;&lt;R&gt;1&lt;/R&gt;&lt;C&gt;1&lt;/C&gt;&lt;D xsi:type="xsd:double"&gt;0.150401847721569&lt;/D&gt;&lt;/FQL&gt;&lt;FQL&gt;&lt;Q&gt;EWA^P_PRICE(0)/P_PRICE_HIGH_PR(0,,,,,,"PRICE","INTRA","52W")&lt;/Q&gt;&lt;R&gt;1&lt;/R&gt;&lt;C&gt;1&lt;/C&gt;&lt;D xsi:type="xsd:double"&gt;0.9780351&lt;/D&gt;&lt;/FQL&gt;&lt;FQL&gt;&lt;Q&gt;QQQ^FMA_COS_DOWN("EPS","1M",+1,0,,,"PORTAGG","MEANR")&lt;/Q&gt;&lt;R&gt;1&lt;/R&gt;&lt;C&gt;1&lt;/C&gt;&lt;D xsi:type="xsd:double"&gt;40&lt;/D&gt;&lt;/FQL&gt;&lt;FQL&gt;&lt;Q&gt;REFEUREFI-FDS^(SUBARRAY(NOT_NA(NO_REPEAT_F(FG_YIELD(NOW,-10AY,D))),0,1)-SUBARRAY(NOT_NA(NO_REPEAT_F(FG_YIELD(NOW,-10AY,D))),1,1))*100&lt;/Q&gt;&lt;R&gt;1&lt;/R&gt;&lt;C&gt;1&lt;/C&gt;&lt;D xsi:type="xsd:double"&gt;25&lt;/D&gt;&lt;/FQL&gt;&lt;FQL&gt;&lt;Q&gt;TRYGB10Y-FDS^FG_YIELD(0,,,,"YTM")&lt;/Q&gt;&lt;R&gt;1&lt;/R&gt;&lt;C&gt;1&lt;/C&gt;&lt;D xsi:type="xsd:double"&gt;4.142&lt;/D&gt;&lt;/FQL&gt;&lt;FQL&gt;&lt;Q&gt;EWI^FMA_PE(LTM,0,,,"PORTAGG","MEANR")&lt;/Q&gt;&lt;R&gt;1&lt;/R&gt;&lt;C&gt;1&lt;/C&gt;&lt;D xsi:type="xsd:double"&gt;9.85903252981916&lt;/D&gt;&lt;/FQL&gt;&lt;FQL&gt;&lt;Q&gt;EWL^FG_FCF_YIELD_NTM(0)&lt;/Q&gt;&lt;R&gt;1&lt;/R&gt;&lt;C&gt;1&lt;/C&gt;&lt;D xsi:type="xsd:double"&gt;5.12142090086461&lt;/D&gt;&lt;/FQL&gt;&lt;FQL&gt;&lt;Q&gt;EWC^JULIAN(FMA_DIV_YLD(NTMA,NOW,NOW,M,"PORTAGG","MEANR").DATES)&lt;/Q&gt;&lt;R&gt;1&lt;/R&gt;&lt;C&gt;1&lt;/C&gt;&lt;D xsi:type="xsd:long"&gt;45412&lt;/D&gt;&lt;/FQL&gt;&lt;FQL&gt;&lt;Q&gt;SPY^FG_TOTAL_RETURNC(0,-6AM)&lt;/Q&gt;&lt;R&gt;1&lt;/R&gt;&lt;C&gt;1&lt;/C&gt;&lt;D xsi:type="xsd:double"&gt;20.762587&lt;/D&gt;&lt;/FQL&gt;&lt;FQL&gt;&lt;Q&gt;EWC^FMA_DIV_YLD(NTMA,-10AY,0,AM,"PORTAGG","MEANR")&lt;/Q&gt;&lt;R&gt;121&lt;/R&gt;&lt;C&gt;1&lt;/C&gt;&lt;D xsi:type="xsd:double"&gt;2.8961472519003&lt;/D&gt;&lt;D xsi:type="xsd:double"&gt;2.8529508354614&lt;/D&gt;&lt;D xsi:type="xsd:double"&gt;2.79132044914763&lt;/D&gt;&lt;D xsi:type="xsd:double"&gt;2.81854734294966&lt;/D&gt;&lt;D xsi:type="xsd:double"&gt;2.76144590727433&lt;/D&gt;&lt;D xsi:type="xsd:double"&gt;2.98764826524457&lt;/D&gt;&lt;D xsi:type="xsd:double"&gt;2.95372226704159&lt;/D&gt;&lt;D xsi:type="xsd:double"&gt;3.02776073058022&lt;/D&gt;&lt;D xsi:type="xsd:double"&gt;2.99801577403161&lt;/D&gt;&lt;D xsi:type="xsd:double"&gt;2.87564466450229&lt;/D&gt;&lt;D xsi:type="xsd:double"&gt;2.9239834202045&lt;/D&gt;&lt;D xsi:type="xsd:double"&gt;2.82184307289164&lt;/D&gt;&lt;D xsi:type="xsd:double"&gt;2.85973993690458&lt;/D&gt;&lt;D xsi:type="xsd:double"&gt;2.94159134959171&lt;/D&gt;&lt;D xsi:type="xsd:double"&gt;3.07899893299708&lt;/D&gt;&lt;D xsi:type="xsd:double"&gt;3.09727753694975&lt;/D&gt;&lt;D xsi:type="xsd:double"&gt;3.24031370410213&lt;/D&gt;&lt;D xsi:type="xsd:double"&gt;3.15505015639616&lt;/D&gt;&lt;D xsi:type="xsd:double"&gt;3.27701225381879&lt;/D&gt;&lt;D xsi:type="xsd:double"&gt;3.42317380769526&lt;/D&gt;&lt;D xsi:type="xsd:double"&gt;3.53317833530462&lt;/D&gt;&lt;D xsi:type="xsd:double"&gt;3.52660045305844&lt;/D&gt;&lt;D xsi:type="xsd:double"&gt;3.16638840924509&lt;/D&gt;&lt;D xsi:type="xsd:double"&gt;3.18185771764481&lt;/D&gt;&lt;D xsi:type="xsd:double"&gt;3.15200649335637&lt;/D&gt;&lt;D xsi:type="xsd:double"&gt;3.02144193138342&lt;/D&gt;&lt;D xsi:type="xsd:double"&gt;3.0471929614729&lt;/D&gt;&lt;D xsi:type="xsd:double"&gt;2.93354882217248&lt;/D&gt;&lt;D xsi:type="xsd:double"&gt;2.98454648841571&lt;/D&gt;&lt;D xsi:type="xsd:double"&gt;2.96201671253618&lt;/D&gt;&lt;D xsi:type="xsd:double"&gt;2.93812000576612&lt;/D&gt;&lt;D xsi:type="xsd:double"&gt;2.83367271891927&lt;/D&gt;&lt;D xsi:type="xsd:double"&gt;2.834979691293&lt;/D&gt;&lt;D xsi:type="xsd:double"&gt;2.81766949119177&lt;/D&gt;&lt;D xsi:type="xsd:double"&gt;2.89892528011148&lt;/D&gt;&lt;D xsi:type="xsd:double"&gt;2.9024716512&lt;/D&gt;&lt;D xsi:type="xsd:double"&gt;2.94225555676969&lt;/D&gt;&lt;D xsi:type="xsd:double"&gt;2.97693865529526&lt;/D&gt;&lt;D xsi:type="xsd:double"&gt;3.07639981210799&lt;/D&gt;&lt;D xsi:type="xsd:double"&gt;3.02971682433972&lt;/D&gt;&lt;D xsi:type="xsd:double"&gt;3.11659573652833&lt;/D&gt;&lt;D xsi:type="xsd:double"&gt;2.96486053891753&lt;/D&gt;&lt;D xsi:type="xsd:double"&gt;2.90237094828493&lt;/D&gt;&lt;D xsi:type="xsd:double"&gt;2.90883863902927&lt;/D&gt;&lt;D xsi:type="xsd:double"&gt;2.89324871572169&lt;/D&gt;&lt;D xsi:type="xsd:double"&gt;3.17889950624327&lt;/D&gt;&lt;D xsi:type="xsd:double"&gt;3.13244549703684&lt;/D&gt;&lt;D xsi:type="xsd:double"&gt;3.2199356682521&lt;/D&gt;&lt;D xsi:type="xsd:double"&gt;3.0965612714379&lt;/D&gt;&lt;D xsi:type="xsd:double"&gt;3.06964682170452&lt;/D&gt;&lt;D xsi:type="xsd:double"&gt;3.04273559742106&lt;/D&gt;&lt;D xsi:type="xsd:double"&gt;3.06376668512292&lt;/D&gt;&lt;D xsi:type="xsd:double"&gt;3.15999157907682&lt;/D&gt;&lt;D xsi:type="xsd:double"&gt;3.21849047520287&lt;/D&gt;&lt;D xsi:type="xsd:double"&gt;3.36301143524639&lt;/D&gt;&lt;D xsi:type="xsd:double"&gt;3.48413010945023&lt;/D&gt;&lt;D xsi:type="xsd:double"&gt;3.48201496596178&lt;/D&gt;&lt;D xsi:type="xsd:double"&gt;3.32254664516206&lt;/D&gt;&lt;D xsi:type="xsd:double"&gt;3.29286346745808&lt;/D&gt;&lt;D xsi:type="xsd:double"&gt;3.23158338575786&lt;/D&gt;&lt;D xsi:type="xsd:double"&gt;3.26432557309374&lt;/D&gt;&lt;D xsi:type="xsd:double"&gt;3.34254554705642&lt;/D&gt;&lt;D xsi:type="xsd:double"&gt;3.29255461015479&lt;/D&gt;&lt;D xsi:type="xsd:double"&gt;3.39060779978917&lt;/D&gt;&lt;D xsi:type="xsd:double"&gt;3.3686230275976&lt;/D&gt;&lt;D xsi:type="xsd:double"&gt;3.38504908203398&lt;/D&gt;&lt;D xsi:type="xsd:double"&gt;3.26062803516017&lt;/D&gt;&lt;D xsi:type="xsd:double"&gt;3.2727632487295&lt;/D&gt;&lt;D xsi:type="xsd:double"&gt;3.23296460887159&lt;/D&gt;&lt;D xsi:type="xsd:double"&gt;3.22331430733127&lt;/D&gt;&lt;D xsi:type="xsd:double"&gt;4.02174704864768&lt;/D&gt;&lt;D xsi:type="xsd:double"&gt;4.06022600286676&lt;/D&gt;&lt;D xsi:type="xsd:double"&gt;3.74521971619074&lt;/D&gt;&lt;D xsi:type="xsd:double"&gt;3.47307755360601&lt;/D&gt;&lt;D xsi:type="xsd:double"&gt;3.55035206481356&lt;/D&gt;&lt;D xsi:type="xsd:double"&gt;3.34318214310102&lt;/D&gt;&lt;D xsi:type="xsd:double"&gt;3.3784277834671&lt;/D&gt;&lt;D xsi:type="xsd:double"&gt;3.3603886836118&lt;/D&gt;&lt;D xsi:type="xsd:double"&gt;3.36878252915708&lt;/D&gt;&lt;D xsi:type="xsd:double"&gt;3.1109108320248&lt;/D&gt;&lt;D xsi:type="xsd:double"&gt;3.01524343792361&lt;/D&gt;&lt;D xsi:type="xsd:double"&gt;2.95542362150721&lt;/D&gt;&lt;D xsi:type="xsd:double"&gt;2.88750939878109&lt;/D&gt;&lt;D xsi:type="xsd:double"&gt;2.76472298616105&lt;/D&gt;&lt;D xsi:type="xsd:double"&gt;2.72742848312431&lt;/D&gt;&lt;D xsi:type="xsd:double"&gt;2.59488369436961&lt;/D&gt;&lt;D xsi:type="xsd:double"&gt;2.70442158023575&lt;/D&gt;&lt;D xsi:type="xsd:double"&gt;2.68382793281394&lt;/D&gt;&lt;D xsi:type="xsd:double"&gt;2.73207972326581&lt;/D&gt;&lt;D xsi:type="xsd:double"&gt;2.78252998844817&lt;/D&gt;&lt;D xsi:type="xsd:double"&gt;2.70237647417259&lt;/D&gt;&lt;D xsi:type="xsd:double"&gt;2.83413644445571&lt;/D&gt;&lt;D xsi:type="xsd:double"&gt;2.80437631255563&lt;/D&gt;&lt;D xsi:type="xsd:double"&gt;2.7506407411569&lt;/D&gt;&lt;D xsi:type="xsd:double"&gt;2.84284696155851&lt;/D&gt;&lt;D xsi:type="xsd:double"&gt;2.84666171859552&lt;/D&gt;&lt;D xsi:type="xsd:double"&gt;3.19998410479836&lt;/D&gt;&lt;D xsi:type="xsd:double"&gt;3.13777505267948&lt;/D&gt;&lt;D xsi:type="xsd:double"&gt;3.40559679563681&lt;/D&gt;&lt;D xsi:type="xsd:double"&gt;3.34729663337339&lt;/D&gt;&lt;D xsi:type="xsd:double"&gt;3.37802835544338&lt;/D&gt;&lt;D xsi:type="xsd:double"&gt;3.609566165327&lt;/D&gt;&lt;D xsi:type="xsd:double"&gt;3.50422738310828&lt;/D&gt;&lt;D xsi:type="xsd:double"&gt;3.36797165354136&lt;/D&gt;&lt;D xsi:type="xsd:double"&gt;3.38090994716929&lt;/D&gt;&lt;D xsi:type="xsd:double"&gt;3.27067536750564&lt;/D&gt;&lt;D xsi:type="xsd:double"&gt;3.36961269005365&lt;/D&gt;&lt;D xsi:type="xsd:double"&gt;3.32349366972571&lt;/D&gt;&lt;D xsi:type="xsd:double"&gt;3.23367762026088&lt;/D&gt;&lt;D xsi:type="xsd:double"&gt;3.32182106116738&lt;/D&gt;&lt;D xsi:type="xsd:double"&gt;3.29861682997746&lt;/D&gt;&lt;D xsi:type="xsd:double"&gt;3.44462151173353&lt;/D&gt;&lt;D xsi:type="xsd:double"&gt;3.52858311394592&lt;/D&gt;&lt;D xsi:type="xsd:double"&gt;3.70441663698002&lt;/D&gt;&lt;D xsi:type="xsd:double"&gt;3.603656903409&lt;/D&gt;&lt;D xsi:type="xsd:double"&gt;3.4667156481652&lt;/D&gt;&lt;D xsi:type="xsd:double"&gt;3.3472911720181&lt;/D&gt;&lt;D xsi:type="xsd:double"&gt;3.32552836827338&lt;/D&gt;&lt;D xsi:type="xsd:double"&gt;3.19661099744415&lt;/D&gt;&lt;D xsi:type="xsd:double"&gt;3.06750620547482&lt;/D&gt;&lt;D xsi:type="xsd:double"&gt;3.0578645820509&lt;/D&gt;&lt;/FQL&gt;&lt;FQL&gt;&lt;Q&gt;EWU^FG_COMPANY_NAME&lt;/Q&gt;&lt;R&gt;1&lt;/R&gt;&lt;C&gt;1&lt;/C&gt;&lt;D xsi:type="xsd:string"&gt;iShares MSCI United Kingdom ETF&lt;/D&gt;&lt;/FQL&gt;&lt;FQL&gt;&lt;Q&gt;CAGDPY@IT^EE_ACTUAL_ANNUAL(MED,0)&lt;/Q&gt;&lt;R&gt;1&lt;/R&gt;&lt;C&gt;1&lt;/C&gt;&lt;D xsi:type="xsd:double"&gt;0.508205836311015&lt;/D&gt;&lt;/FQL&gt;&lt;FQL&gt;&lt;Q&gt;CC_NZ^FG_COMPANY_NAME&lt;/Q&gt;&lt;R&gt;1&lt;/R&gt;&lt;C&gt;1&lt;/C&gt;&lt;D xsi:type="xsd:string"&gt;New Zealand&lt;/D&gt;&lt;/FQL&gt;&lt;FQL&gt;&lt;Q&gt;EWL^FG_TOTAL_RETURNC(-10AY,0,AM)&lt;/Q&gt;&lt;R&gt;121&lt;/R&gt;&lt;C&gt;1&lt;/C&gt;&lt;D xsi:type="xsd:double"&gt;0.77990294&lt;/D&gt;&lt;D xsi:type="xsd:double"&gt;1.1751175&lt;/D&gt;&lt;D xsi:type="xsd:double"&gt;-0.99102855&lt;/D&gt;&lt;D xsi:type="xsd:double"&gt;-4.434359&lt;/D&gt;&lt;D xsi:type="xsd:double"&gt;2.388966&lt;/D&gt;&lt;D xsi:type="xsd:double"&gt;-7.0894423&lt;/D&gt;&lt;D xsi:type="xsd:double"&gt;3.4771442&lt;/D&gt;&lt;D xsi:type="xsd:double"&gt;1.8668413&lt;/D&gt;&lt;D xsi:type="xsd:double"&gt;-3.5125256&lt;/D&gt;&lt;D xsi:type="xsd:double"&gt;3.5454273&lt;/D&gt;&lt;D xsi:type="xsd:double"&gt;-0.15285611&lt;/D&gt;&lt;D xsi:type="xsd:double"&gt;4.8683405&lt;/D&gt;&lt;D xsi:type="xsd:double"&gt;2.5693417&lt;/D&gt;&lt;D xsi:type="xsd:double"&gt;-1.4802158&lt;/D&gt;&lt;D xsi:type="xsd:double"&gt;-2.6703775&lt;/D&gt;&lt;D xsi:type="xsd:double"&gt;1.8236995&lt;/D&gt;&lt;D xsi:type="xsd:double"&gt;-5.9403&lt;/D&gt;&lt;D xsi:type="xsd:double"&gt;1.2059689&lt;/D&gt;&lt;D xsi:type="xsd:double"&gt;-1.8501103&lt;/D&gt;&lt;D xsi:type="xsd:double"&gt;-1.1501551&lt;/D&gt;&lt;D xsi:type="xsd:double"&gt;-5.526829&lt;/D&gt;&lt;D xsi:type="xsd:double"&gt;-4.2764306&lt;/D&gt;&lt;D xsi:type="xsd:double"&gt;4.2530417&lt;/D&gt;&lt;D xsi:type="xsd:double"&gt;3.0167937&lt;/D&gt;&lt;D xsi:type="xsd:double"&gt;-0.39933324&lt;/D&gt;&lt;D xsi:type="xsd:double"&gt;3.5081863&lt;/D&gt;&lt;D xsi:type="xsd:double"&gt;-2.9050887&lt;/D&gt;&lt;D xsi:type="xsd:double"&gt;3.037548&lt;/D&gt;&lt;D xsi:type="xsd:double"&gt;0.79495907&lt;/D&gt;&lt;D xsi:type="xsd:double"&gt;-0.88728666&lt;/D&gt;&lt;D xsi:type="xsd:double"&gt;-2.254641&lt;/D&gt;&lt;D xsi:type="xsd:double"&gt;-1.187247&lt;/D&gt;&lt;D xsi:type="xsd:double"&gt;3.772223&lt;/D&gt;&lt;D xsi:type="xsd:double"&gt;2.0192027&lt;/D&gt;&lt;D xsi:type="xsd:double"&gt;1.654768&lt;/D&gt;&lt;D xsi:type="xsd:double"&gt;1.5639901&lt;/D&gt;&lt;D xsi:type="xsd:double"&gt;6.945312&lt;/D&gt;&lt;D xsi:type="xsd:double"&gt;1.1460423&lt;/D&gt;&lt;D xsi:type="xsd:double"&gt;1.0698318&lt;/D&gt;&lt;D xsi:type="xsd:double"&gt;1.5267134&lt;/D&gt;&lt;D xsi:type="xsd:double"&gt;0.26025772&lt;/D&gt;&lt;D xsi:type="xsd:double"&gt;0.7499337&lt;/D&gt;&lt;D xsi:type="xsd:double"&gt;-1.7463505&lt;/D&gt;&lt;D xsi:type="xsd:double"&gt;1.5151501&lt;/D&gt;&lt;D xsi:type="xsd:double"&gt;4.0183783&lt;/D&gt;&lt;D xsi:type="xsd:double"&gt;-4.415017&lt;/D&gt;&lt;D xsi:type="xsd:double"&gt;1.2702107&lt;/D&gt;&lt;D xsi:type="xsd:double"&gt;-2.480054&lt;/D&gt;&lt;D xsi:type="xsd:double"&gt;0.38000345&lt;/D&gt;&lt;D xsi:type="xsd:double"&gt;-2.2131562&lt;/D&gt;&lt;D xsi:type="xsd:double"&gt;1.8055081&lt;/D&gt;&lt;D xsi:type="xsd:double"&gt;3.778112&lt;/D&gt;&lt;D xsi:type="xsd:double"&gt;-1.2135267&lt;/D&gt;&lt;D xsi:type="xsd:double"&gt;-1.5501559&lt;/D&gt;&lt;D xsi:type="xsd:double"&gt;-0.8021414&lt;/D&gt;&lt;D xsi:type="xsd:double"&gt;-3.4441352&lt;/D&gt;&lt;D xsi:type="xsd:double"&gt;1.3337374&lt;/D&gt;&lt;D xsi:type="xsd:double"&gt;1.6835093&lt;/D&gt;&lt;D xsi:type="xsd:double"&gt;3.160739&lt;/D&gt;&lt;D xsi:type="xsd:double"&gt;4.201925&lt;/D&gt;&lt;D xsi:type="xsd:double"&gt;-0.92410445&lt;/D&gt;&lt;D xsi:type="xsd:double"&gt;5.511594&lt;/D&gt;&lt;D xsi:type="xsd:double"&gt;1.4261842&lt;/D&gt;&lt;D xsi:type="xsd:double"&gt;0.8086324&lt;/D&gt;&lt;D xsi:type="xsd:double"&gt;1.4705896&lt;/D&gt;&lt;D xsi:type="xsd:double"&gt;-2.6086986&lt;/D&gt;&lt;D xsi:type="xsd:double"&gt;4.437232&lt;/D&gt;&lt;D xsi:type="xsd:double"&gt;1.3989687&lt;/D&gt;&lt;D xsi:type="xsd:double"&gt;3.8579464&lt;/D&gt;&lt;D xsi:type="xsd:double"&gt;2.3370147&lt;/D&gt;&lt;D xsi:type="xsd:double"&gt;-13.293266&lt;/D&gt;&lt;D xsi:type="xsd:double"&gt;0.5821943&lt;/D&gt;&lt;D xsi:type="xsd:double"&gt;2.6736498&lt;/D&gt;&lt;D xsi:type="xsd:double"&gt;7.0335507&lt;/D&gt;&lt;D xsi:type="xsd:double"&gt;1.5495777&lt;/D&gt;&lt;D xsi:type="xsd:double"&gt;3.1626463&lt;/D&gt;&lt;D xsi:type="xsd:double"&gt;2.4087667&lt;/D&gt;&lt;D xsi:type="xsd:double"&gt;0.3563881&lt;/D&gt;&lt;D xsi:type="xsd:double"&gt;-0.30776858&lt;/D&gt;&lt;D xsi:type="xsd:double"&gt;3.4433603&lt;/D&gt;&lt;D xsi:type="xsd:double"&gt;4.4163346&lt;/D&gt;&lt;D xsi:type="xsd:double"&gt;-0.7919073&lt;/D&gt;&lt;D xsi:type="xsd:double"&gt;-2.8381348&lt;/D&gt;&lt;D xsi:type="xsd:double"&gt;5.4769516&lt;/D&gt;&lt;D xsi:type="xsd:double"&gt;2.9424548&lt;/D&gt;&lt;D xsi:type="xsd:double"&gt;5.842793&lt;/D&gt;&lt;D xsi:type="xsd:double"&gt;-0.3396392&lt;/D&gt;&lt;D xsi:type="xsd:double"&gt;1.7451286&lt;/D&gt;&lt;D xsi:type="xsd:double"&gt;-0.9772599&lt;/D&gt;&lt;D xsi:type="xsd:double"&gt;-4.068482&lt;/D&gt;&lt;D xsi:type="xsd:double"&gt;7.495272&lt;/D&gt;&lt;D xsi:type="xsd:double"&gt;-0.44921637&lt;/D&gt;&lt;D xsi:type="xsd:double"&gt;2.060032&lt;/D&gt;&lt;D xsi:type="xsd:double"&gt;-4.421377&lt;/D&gt;&lt;D xsi:type="xsd:double"&gt;-6.6371737&lt;/D&gt;&lt;D xsi:type="xsd:double"&gt;7.3675156&lt;/D&gt;&lt;D xsi:type="xsd:double"&gt;-13.483149&lt;/D&gt;&lt;D xsi:type="xsd:double"&gt;-0.56278706&lt;/D&gt;&lt;D xsi:type="xsd:double"&gt;-1.4754832&lt;/D&gt;&lt;D xsi:type="xsd:double"&gt;3.6714911&lt;/D&gt;&lt;D xsi:type="xsd:double"&gt;-2.9123962&lt;/D&gt;&lt;D xsi:type="xsd:double"&gt;-9.911203&lt;/D&gt;&lt;D xsi:type="xsd:double"&gt;6.2599897&lt;/D&gt;&lt;D xsi:type="xsd:double"&gt;7.2449207&lt;/D&gt;&lt;D xsi:type="xsd:double"&gt;2.7115464&lt;/D&gt;&lt;D xsi:type="xsd:double"&gt;1.2744665&lt;/D&gt;&lt;D xsi:type="xsd:double"&gt;-3.5280883&lt;/D&gt;&lt;D xsi:type="xsd:double"&gt;7.593751&lt;/D&gt;&lt;D xsi:type="xsd:double"&gt;5.4124236&lt;/D&gt;&lt;D xsi:type="xsd:double"&gt;-4.096806&lt;/D&gt;&lt;D xsi:type="xsd:double"&gt;-1.664108&lt;/D&gt;&lt;D xsi:type="xsd:double"&gt;3.3177495&lt;/D&gt;&lt;D xsi:type="xsd:double"&gt;-2.9741406&lt;/D&gt;&lt;D xsi:type="xsd:double"&gt;-3.0208826&lt;/D&gt;&lt;D xsi:type="xsd:double"&gt;-1.3971627&lt;/D&gt;&lt;D xsi:type="xsd:double"&gt;6.736362&lt;/D&gt;&lt;D xsi:type="xsd:double"&gt;4.1131616&lt;/D&gt;&lt;D xsi:type="xsd:double"&gt;-3.0518353&lt;/D&gt;&lt;D xsi:type="xsd:double"&gt;3.9672256&lt;/D&gt;&lt;D xsi:type="xsd:double"&gt;-3.1729639&lt;/D&gt;&lt;D xsi:type="xsd:double"&gt;1.9918561&lt;/D&gt;&lt;/FQL&gt;&lt;FQL&gt;&lt;Q&gt;ENZL^FMA_PE(NTMA,-10AY,0,AM,"PORTAGG","MEANR")&lt;/Q&gt;&lt;R&gt;121&lt;/R&gt;&lt;C&gt;1&lt;/C&gt;&lt;D xsi:type="xsd:double"&gt;17.4163911524998&lt;/D&gt;&lt;D xsi:type="xsd:double"&gt;17.2706305741786&lt;/D&gt;&lt;D xsi:type="xsd:double"&gt;17.2075908108407&lt;/D&gt;&lt;D xsi:type="xsd:double"&gt;16.8585573587513&lt;/D&gt;&lt;D xsi:type="xsd:double"&gt;17.3464195580397&lt;/D&gt;&lt;D xsi:type="xsd:double"&gt;17.1984708753075&lt;/D&gt;&lt;D xsi:type="xsd:double"&gt;17.7460947356817&lt;/D&gt;&lt;D xsi:type="xsd:double"&gt;18.1332626751689&lt;/D&gt;&lt;D xsi:type="xsd:double"&gt;18.4251532652318&lt;/D&gt;&lt;D xsi:type="xsd:double"&gt;18.9840152164882&lt;/D&gt;&lt;D xsi:type="xsd:double"&gt;19.2451762530786&lt;/D&gt;&lt;D xsi:type="xsd:double"&gt;18.4056751784969&lt;/D&gt;&lt;D xsi:type="xsd:double"&gt;18.2364671207994&lt;/D&gt;&lt;D xsi:type="xsd:double"&gt;18.3275634398357&lt;/D&gt;&lt;D xsi:type="xsd:double"&gt;17.8961084393424&lt;/D&gt;&lt;D xsi:type="xsd:double"&gt;18.235922259904&lt;/D&gt;&lt;D xsi:type="xsd:double"&gt;17.4976194231178&lt;/D&gt;&lt;D xsi:type="xsd:double"&gt;17.0316120615796&lt;/D&gt;&lt;D xsi:type="xsd:double"&gt;18.1270651132085&lt;/D&gt;&lt;D xsi:type="xsd:double"&gt;17.9808383660766&lt;/D&gt;&lt;D xsi:type="xsd:double"&gt;17.749291676187&lt;/D&gt;&lt;D xsi:type="xsd:double"&gt;17.1034256910226&lt;/D&gt;&lt;D xsi:type="xsd:double"&gt;18.0410747104811&lt;/D&gt;&lt;D xsi:type="xsd:double"&gt;18.4723575618665&lt;/D&gt;&lt;D xsi:type="xsd:double"&gt;19.0997081721889&lt;/D&gt;&lt;D xsi:type="xsd:double"&gt;19.3281648170739&lt;/D&gt;&lt;D xsi:type="xsd:double"&gt;19.2810162965941&lt;/D&gt;&lt;D xsi:type="xsd:double"&gt;20.2364112685103&lt;/D&gt;&lt;D xsi:type="xsd:double"&gt;20.985895910256&lt;/D&gt;&lt;D xsi:type="xsd:double"&gt;19.6823184321968&lt;/D&gt;&lt;D xsi:type="xsd:double"&gt;18.090751168447&lt;/D&gt;&lt;D xsi:type="xsd:double"&gt;18.5969651239115&lt;/D&gt;&lt;D xsi:type="xsd:double"&gt;18.8637879333417&lt;/D&gt;&lt;D xsi:type="xsd:double"&gt;19.1982931694631&lt;/D&gt;&lt;D xsi:type="xsd:double"&gt;18.8799988148611&lt;/D&gt;&lt;D xsi:type="xsd:double"&gt;19.2041000260692&lt;/D&gt;&lt;D xsi:type="xsd:double"&gt;19.582092594641&lt;/D&gt;&lt;D xsi:type="xsd:double"&gt;19.3419452657852&lt;/D&gt;&lt;D xsi:type="xsd:double"&gt;19.4803758467761&lt;/D&gt;&lt;D xsi:type="xsd:double"&gt;19.9462637707013&lt;/D&gt;&lt;D xsi:type="xsd:double"&gt;19.9748460346356&lt;/D&gt;&lt;D xsi:type="xsd:double"&gt;19.911935948641&lt;/D&gt;&lt;D xsi:type="xsd:double"&gt;20.2069313716387&lt;/D&gt;&lt;D xsi:type="xsd:double"&gt;20.5147144500842&lt;/D&gt;&lt;D xsi:type="xsd:double"&gt;20.91483861781&lt;/D&gt;&lt;D xsi:type="xsd:double"&gt;19.1829856079539&lt;/D&gt;&lt;D xsi:type="xsd:double"&gt;20.3239563604608&lt;/D&gt;&lt;D xsi:type="xsd:double"&gt;20.2861858439261&lt;/D&gt;&lt;D xsi:type="xsd:double"&gt;20.4237135619937&lt;/D&gt;&lt;D xsi:type="xsd:double"&gt;21.1911624078075&lt;/D&gt;&lt;D xsi:type="xsd:double"&gt;21.3164784046031&lt;/D&gt;&lt;D xsi:type="xsd:double"&gt;21.0885517849013&lt;/D&gt;&lt;D xsi:type="xsd:double"&gt;21.3217687899442&lt;/D&gt;&lt;D xsi:type="xsd:double"&gt;20.9136505484515&lt;/D&gt;&lt;D xsi:type="xsd:double"&gt;20.5368053214283&lt;/D&gt;&lt;D xsi:type="xsd:double"&gt;20.020192228927&lt;/D&gt;&lt;D xsi:type="xsd:double"&gt;20.3738935848584&lt;/D&gt;&lt;D xsi:type="xsd:double"&gt;20.9242564049207&lt;/D&gt;&lt;D xsi:type="xsd:double"&gt;21.8522360985045&lt;/D&gt;&lt;D xsi:type="xsd:double"&gt;22.2239156422591&lt;/D&gt;&lt;D xsi:type="xsd:double"&gt;22.9017350174977&lt;/D&gt;&lt;D xsi:type="xsd:double"&gt;22.6752646630474&lt;/D&gt;&lt;D xsi:type="xsd:double"&gt;23.8833699651415&lt;/D&gt;&lt;D xsi:type="xsd:double"&gt;24.6598040535111&lt;/D&gt;&lt;D xsi:type="xsd:double"&gt;26.6626892527254&lt;/D&gt;&lt;D xsi:type="xsd:double"&gt;25.3699824156548&lt;/D&gt;&lt;D xsi:type="xsd:double"&gt;24.8369855757782&lt;/D&gt;&lt;D xsi:type="xsd:double"&gt;25.4525368997083&lt;/D&gt;&lt;D xsi:type="xsd:double"&gt;25.8072643754428&lt;/D&gt;&lt;D xsi:type="xsd:double"&gt;26.4007022046737&lt;/D&gt;&lt;D xsi:type="xsd:double"&gt;25.5061885448843&lt;/D&gt;&lt;D xsi:type="xsd:double"&gt;26.4067438196473&lt;/D&gt;&lt;D xsi:type="xsd:double"&gt;29.7969380845218&lt;/D&gt;&lt;D xsi:type="xsd:double"&gt;30.7594526934417&lt;/D&gt;&lt;D xsi:type="xsd:double"&gt;31.4317627181644&lt;/D&gt;&lt;D xsi:type="xsd:double"&gt;31.8387501001632&lt;/D&gt;&lt;D xsi:type="xsd:double"&gt;32.0938671290687&lt;/D&gt;&lt;D xsi:type="xsd:double"&gt;33.1656204674979&lt;/D&gt;&lt;D xsi:type="xsd:double"&gt;33.9938525840865&lt;/D&gt;&lt;D xsi:type="xsd:double"&gt;33.1972504814305&lt;/D&gt;&lt;D xsi:type="xsd:double"&gt;35.3643673848466&lt;/D&gt;&lt;D xsi:type="xsd:double"&gt;32.5724944447288&lt;/D&gt;&lt;D xsi:type="xsd:double"&gt;31.4796947485154&lt;/D&gt;&lt;D xsi:type="xsd:double"&gt;32.2570585697458&lt;/D&gt;&lt;D xsi:type="xsd:double"&gt;32.2733964162456&lt;/D&gt;&lt;D xsi:type="xsd:double"&gt;33.178701227106&lt;/D&gt;&lt;D xsi:type="xsd:double"&gt;34.3236059715828&lt;/D&gt;&lt;D xsi:type="xsd:double"&gt;33.8907058549711&lt;/D&gt;&lt;D xsi:type="xsd:double"&gt;34.4617467881037&lt;/D&gt;&lt;D xsi:type="xsd:double"&gt;33.8363379426447&lt;/D&gt;&lt;D xsi:type="xsd:double"&gt;33.6817376458467&lt;/D&gt;&lt;D xsi:type="xsd:double"&gt;32.0743440389608&lt;/D&gt;&lt;D xsi:type="xsd:double"&gt;32.0253089221071&lt;/D&gt;&lt;D xsi:type="xsd:double"&gt;30.6731219871423&lt;/D&gt;&lt;D xsi:type="xsd:double"&gt;28.5753181962286&lt;/D&gt;&lt;D xsi:type="xsd:double"&gt;28.4642249943043&lt;/D&gt;&lt;D xsi:type="xsd:double"&gt;28.0916100395909&lt;/D&gt;&lt;D xsi:type="xsd:double"&gt;26.190519267583&lt;/D&gt;&lt;D xsi:type="xsd:double"&gt;26.0828796286135&lt;/D&gt;&lt;D xsi:type="xsd:double"&gt;26.6577233407216&lt;/D&gt;&lt;D xsi:type="xsd:double"&gt;27.0220488287042&lt;/D&gt;&lt;D xsi:type="xsd:double"&gt;24.0917343072942&lt;/D&gt;&lt;D xsi:type="xsd:double"&gt;23.1571328046332&lt;/D&gt;&lt;D xsi:type="xsd:double"&gt;23.2466483788271&lt;/D&gt;&lt;D xsi:type="xsd:double"&gt;23.541066145687&lt;/D&gt;&lt;D xsi:type="xsd:double"&gt;24.2415080565038&lt;/D&gt;&lt;D xsi:type="xsd:double"&gt;23.1555802273948&lt;/D&gt;&lt;D xsi:type="xsd:double"&gt;23.3792101612306&lt;/D&gt;&lt;D xsi:type="xsd:double"&gt;23.4650019614078&lt;/D&gt;&lt;D xsi:type="xsd:double"&gt;20.6862263039356&lt;/D&gt;&lt;D xsi:type="xsd:double"&gt;21.1071160270089&lt;/D&gt;&lt;D xsi:type="xsd:double"&gt;20.5344821506031&lt;/D&gt;&lt;D xsi:type="xsd:double"&gt;20.3350383504232&lt;/D&gt;&lt;D xsi:type="xsd:double"&gt;19.7431374198265&lt;/D&gt;&lt;D xsi:type="xsd:double"&gt;20.1770132501006&lt;/D&gt;&lt;D xsi:type="xsd:double"&gt;21.8316271366849&lt;/D&gt;&lt;D xsi:type="xsd:double"&gt;23.0015870596821&lt;/D&gt;&lt;D xsi:type="xsd:double"&gt;22.2274988672056&lt;/D&gt;&lt;D xsi:type="xsd:double"&gt;24.9348897718481&lt;/D&gt;&lt;D xsi:type="xsd:double"&gt;24.935583560774&lt;/D&gt;&lt;D xsi:type="xsd:double"&gt;25.1300265940594&lt;/D&gt;&lt;/FQL&gt;&lt;FQL&gt;&lt;Q&gt;EWA^FG_PRICE_MAVG(0,,,,200)&lt;/Q&gt;&lt;R&gt;1&lt;/R&gt;&lt;C&gt;1&lt;/C&gt;&lt;D xsi:type="xsd:double"&gt;22.9261&lt;/D&gt;&lt;/FQL&gt;&lt;FQL&gt;&lt;Q&gt;VGK^P_PRICE(0)/P_PRICE_LOW_PR(0,,,,,,"PRICE","INTRA","52W")-1&lt;/Q&gt;&lt;R&gt;1&lt;/R&gt;&lt;C&gt;1&lt;/C&gt;&lt;D xsi:type="xsd:double"&gt;0.24627686&lt;/D&gt;&lt;/FQL&gt;&lt;FQL&gt;&lt;Q&gt;EWN^FG_TOTAL_RETURNC(0,-6AM)&lt;/Q&gt;&lt;R&gt;1&lt;/R&gt;&lt;C&gt;1&lt;/C&gt;&lt;D xsi:type="xsd:double"&gt;28.35108&lt;/D&gt;&lt;/FQL&gt;&lt;FQL&gt;&lt;Q&gt;QQQ^FG_TOTAL_RETURNC(0,-12AM)&lt;/Q&gt;&lt;R&gt;1&lt;/R&gt;&lt;C&gt;1&lt;/C&gt;&lt;D xsi:type="xsd:double"&gt;38.028717&lt;/D&gt;&lt;/FQL&gt;&lt;FQL&gt;&lt;Q&gt;URTH^FMA_COS_DOWN("EPS","1M",+1,0,,,"PORTAGG","MEANR")&lt;/Q&gt;&lt;R&gt;1&lt;/R&gt;&lt;C&gt;1&lt;/C&gt;&lt;D xsi:type="xsd:double"&gt;559&lt;/D&gt;&lt;/FQL&gt;&lt;FQL&gt;&lt;Q&gt;EWI^FG_ROE(0)&lt;/Q&gt;&lt;R&gt;1&lt;/R&gt;&lt;C&gt;1&lt;/C&gt;&lt;D xsi:type="xsd:double"&gt;14.5781672192801&lt;/D&gt;&lt;/FQL&gt;&lt;FQL&gt;&lt;Q&gt;REFNZOCR-FDS^(SUBARRAY(NOT_NA(NO_REPEAT_F(FG_YIELD(NOW,-10AY,D))),0,1)-SUBARRAY(NOT_NA(NO_REPEAT_F(FG_YIELD(NOW,-10AY,D))),1,1))*100&lt;/Q&gt;&lt;R&gt;1&lt;/R&gt;&lt;C&gt;1&lt;/C&gt;&lt;D xsi:type="xsd:double"&gt;25&lt;/D&gt;&lt;/FQL&gt;&lt;FQL&gt;&lt;Q&gt;TRYDE10Y-FDS^PCTCHG(FG_YIELD(0,,,,"YTM"),FG_YIELD(-3AM,,,,"YTM"))&lt;/Q&gt;&lt;R&gt;1&lt;/R&gt;&lt;C&gt;1&lt;/C&gt;&lt;D xsi:type="xsd:double"&gt;4.831923&lt;/D&gt;&lt;/FQL&gt;&lt;FQL&gt;&lt;Q&gt;TRYGB10Y-FDS^FG_YIELD_NAME&lt;/Q&gt;&lt;R&gt;1&lt;/R&gt;&lt;C&gt;1&lt;/C&gt;&lt;D xsi:type="xsd:string"&gt;United Kingdom Benchmark Bond - 10 Year&lt;/D&gt;&lt;/FQL&gt;&lt;FQL&gt;&lt;Q&gt;CC_AU^IMF_IFS_RCPI_Q(0)&lt;/Q&gt;&lt;R&gt;1&lt;/R&gt;&lt;C&gt;1&lt;/C&gt;&lt;D xsi:type="xsd:double"&gt;3.61991&lt;/D&gt;&lt;/FQL&gt;&lt;FQL&gt;&lt;Q&gt;EWI^JULIAN(FMA_DIV_YLD(NTMA,NOW,NOW,M,"PORTAGG","MEANR").DATES)&lt;/Q&gt;&lt;R&gt;1&lt;/R&gt;&lt;C&gt;1&lt;/C&gt;&lt;D xsi:type="xsd:long"&gt;45412&lt;/D&gt;&lt;/FQL&gt;&lt;FQL&gt;&lt;Q&gt;SPY^FMA_DIV_YLD(NTMA,NOW,NOW,M,"PORTAGG","MEANR")&lt;/Q&gt;&lt;R&gt;1&lt;/R&gt;&lt;C&gt;1&lt;/C&gt;&lt;D xsi:type="xsd:double"&gt;1.50895004444709&lt;/D&gt;&lt;/FQL&gt;&lt;FQL&gt;&lt;Q&gt;EWL^FG_COMPANY_NAME&lt;/Q&gt;&lt;R&gt;1&lt;/R&gt;&lt;C&gt;1&lt;/C&gt;&lt;D xsi:type="xsd:string"&gt;iShares MSCI Switzerland ETF&lt;/D&gt;&lt;/FQL&gt;&lt;FQL&gt;&lt;Q&gt;USO^FG_TOTAL_RETURNC(0,-1AM)&lt;/Q&gt;&lt;R&gt;1&lt;/R&gt;&lt;C&gt;1&lt;/C&gt;&lt;D xsi:type="xsd:double"&gt;-5.7054877&lt;/D&gt;&lt;/FQL&gt;&lt;FQL&gt;&lt;Q&gt;SPY^FG_TOTAL_RETURNC(0,-3AM)&lt;/Q&gt;&lt;R&gt;1&lt;/R&gt;&lt;C&gt;1&lt;/C&gt;&lt;D xsi:type="xsd:double"&gt;4.1095853&lt;/D&gt;&lt;/FQL&gt;&lt;FQL&gt;&lt;Q&gt;EWD^FMA_EVAL_EBITDA(NTMA,0,,,"PORTAGG","MEANR")&lt;/Q&gt;&lt;R&gt;1&lt;/R&gt;&lt;C&gt;1&lt;/C&gt;&lt;D xsi:type="xsd:double"&gt;11.1026437451997&lt;/D&gt;&lt;/FQL&gt;&lt;FQL&gt;&lt;Q&gt;DBA^P_PRICE(0)/P_PRICE_HIGH_PR(0,,,USD,,,"PRICE","INTRA","52W")&lt;/Q&gt;&lt;R&gt;1&lt;/R&gt;&lt;C&gt;1&lt;/C&gt;&lt;D xsi:type="xsd:double"&gt;0.9171208&lt;/D&gt;&lt;/FQL&gt;&lt;FQL&gt;&lt;Q&gt;EWG^P_PRICE(0)/P_PRICE_HIGH_PR(0,,,,,,"PRICE","INTRA","52W")&lt;/Q&gt;&lt;R&gt;1&lt;/R&gt;&lt;C&gt;1&lt;/C&gt;&lt;D xsi:type="xsd:double"&gt;0.99953234&lt;/D&gt;&lt;/FQL&gt;&lt;FQL&gt;&lt;Q&gt;QQQ^FG_ROE(0)&lt;/Q&gt;&lt;R&gt;1&lt;/R&gt;&lt;C&gt;1&lt;/C&gt;&lt;D xsi:type="xsd:double"&gt;22.1044171746105&lt;/D&gt;&lt;/FQL&gt;&lt;FQL&gt;&lt;Q&gt;EWN^FG_FCF_YIELD_NTM(0)&lt;/Q&gt;&lt;R&gt;1&lt;/R&gt;&lt;C&gt;1&lt;/C&gt;&lt;D xsi:type="xsd:double"&gt;3.68772496978005&lt;/D&gt;&lt;/FQL&gt;&lt;FQL&gt;&lt;Q&gt;EWG^FG_COMPANY_NAME&lt;/Q&gt;&lt;R&gt;1&lt;/R&gt;&lt;C&gt;1&lt;/C&gt;&lt;D xsi:type="xsd:string"&gt;iShares MSCI Germany ETF&lt;/D&gt;&lt;/FQL&gt;&lt;FQL&gt;&lt;Q&gt;EWG^FMA_DIV_YLD(NTMA,-10AY,0,AM,"PORTAGG","MEANR")&lt;/Q&gt;&lt;R&gt;121&lt;/R&gt;&lt;C&gt;1&lt;/C&gt;&lt;D xsi:type="xsd:double"&gt;3.02201102096729&lt;/D&gt;&lt;D xsi:type="xsd:double"&gt;2.95090744566859&lt;/D&gt;&lt;D xsi:type="xsd:double"&gt;3.06334597861313&lt;/D&gt;&lt;D xsi:type="xsd:double"&gt;3.3225899992632&lt;/D&gt;&lt;D xsi:type="xsd:double"&gt;3.09951125861469&lt;/D&gt;&lt;D xsi:type="xsd:double"&gt;3.3599471943098&lt;/D&gt;&lt;D xsi:type="xsd:double"&gt;3.31325673671482&lt;/D&gt;&lt;D xsi:type="xsd:double"&gt;3.18927882732014&lt;/D&gt;&lt;D xsi:type="xsd:double"&gt;3.23809334138701&lt;/D&gt;&lt;D xsi:type="xsd:double"&gt;2.96597448081487&lt;/D&gt;&lt;D xsi:type="xsd:double"&gt;2.74477249324485&lt;/D&gt;&lt;D xsi:type="xsd:double"&gt;2.64939032158464&lt;/D&gt;&lt;D xsi:type="xsd:double"&gt;2.8329193735967&lt;/D&gt;&lt;D xsi:type="xsd:double"&gt;3.06025621030117&lt;/D&gt;&lt;D xsi:type="xsd:double"&gt;3.08568288313694&lt;/D&gt;&lt;D xsi:type="xsd:double"&gt;2.97087954538524&lt;/D&gt;&lt;D xsi:type="xsd:double"&gt;3.31566761560576&lt;/D&gt;&lt;D xsi:type="xsd:double"&gt;3.30474400999604&lt;/D&gt;&lt;D xsi:type="xsd:double"&gt;3.0145768021941&lt;/D&gt;&lt;D xsi:type="xsd:double"&gt;3.06980700597599&lt;/D&gt;&lt;D xsi:type="xsd:double"&gt;3.3108190546449&lt;/D&gt;&lt;D xsi:type="xsd:double"&gt;3.69541642855771&lt;/D&gt;&lt;D xsi:type="xsd:double"&gt;3.38505326392629&lt;/D&gt;&lt;D xsi:type="xsd:double"&gt;3.4090693814605&lt;/D&gt;&lt;D xsi:type="xsd:double"&gt;3.34081799595088&lt;/D&gt;&lt;D xsi:type="xsd:double"&gt;3.33339725972673&lt;/D&gt;&lt;D xsi:type="xsd:double"&gt;3.50170641485408&lt;/D&gt;&lt;D xsi:type="xsd:double"&gt;3.15292561498454&lt;/D&gt;&lt;D xsi:type="xsd:double"&gt;3.18462599176139&lt;/D&gt;&lt;D xsi:type="xsd:double"&gt;3.16766295971918&lt;/D&gt;&lt;D xsi:type="xsd:double"&gt;3.17923410878919&lt;/D&gt;&lt;D xsi:type="xsd:double"&gt;3.0388274934947&lt;/D&gt;&lt;D xsi:type="xsd:double"&gt;2.95648934951892&lt;/D&gt;&lt;D xsi:type="xsd:double"&gt;2.98139286397819&lt;/D&gt;&lt;D xsi:type="xsd:double"&gt;2.95259474687951&lt;/D&gt;&lt;D xsi:type="xsd:double"&gt;2.91301374575283&lt;/D&gt;&lt;D xsi:type="xsd:double"&gt;2.85461942697969&lt;/D&gt;&lt;D xsi:type="xsd:double"&gt;2.9050955420522&lt;/D&gt;&lt;D xsi:type="xsd:double"&gt;3.02301197909455&lt;/D&gt;&lt;D xsi:type="xsd:double"&gt;3.09082511145707&lt;/D&gt;&lt;D xsi:type="xsd:double"&gt;3.09927304887004&lt;/D&gt;&lt;D xsi:type="xsd:double"&gt;2.95773463031344&lt;/D&gt;&lt;D xsi:type="xsd:double"&gt;2.91092740042349&lt;/D&gt;&lt;D xsi:type="xsd:double"&gt;2.89667658692454&lt;/D&gt;&lt;D xsi:type="xsd:double"&gt;2.85238364729209&lt;/D&gt;&lt;D xsi:type="xsd:double"&gt;3.19950504726284&lt;/D&gt;&lt;D xsi:type="xsd:double"&gt;3.14791412114316&lt;/D&gt;&lt;D xsi:type="xsd:double"&gt;3.2271250136581&lt;/D&gt;&lt;D xsi:type="xsd:double"&gt;3.09512717377356&lt;/D&gt;&lt;D xsi:type="xsd:double"&gt;3.15228694046349&lt;/D&gt;&lt;D xsi:type="xsd:double"&gt;3.21468382465057&lt;/D&gt;&lt;D xsi:type="xsd:double"&gt;3.18799125550097&lt;/D&gt;&lt;D xsi:type="xsd:double"&gt;3.36969355611784&lt;/D&gt;&lt;D xsi:type="xsd:double"&gt;3.4059914366904&lt;/D&gt;&lt;D xsi:type="xsd:double"&gt;3.58925817903421&lt;/D&gt;&lt;D xsi:type="xsd:double"&gt;3.83998629002061&lt;/D&gt;&lt;D xsi:type="xsd:double"&gt;3.81755268649903&lt;/D&gt;&lt;D xsi:type="xsd:double"&gt;3.80292451831539&lt;/D&gt;&lt;D xsi:type="xsd:double"&gt;3.63406054587297&lt;/D&gt;&lt;D xsi:type="xsd:double"&gt;3.53161008925733&lt;/D&gt;&lt;D xsi:type="xsd:double"&gt;3.52191576264419&lt;/D&gt;&lt;D xsi:type="xsd:double"&gt;3.58514670910703&lt;/D&gt;&lt;D xsi:type="xsd:double"&gt;3.47361958326582&lt;/D&gt;&lt;D xsi:type="xsd:double"&gt;3.6003553181979&lt;/D&gt;&lt;D xsi:type="xsd:double"&gt;3.42798171214663&lt;/D&gt;&lt;D xsi:type="xsd:double"&gt;3.48194832604834&lt;/D&gt;&lt;D xsi:type="xsd:double"&gt;3.15304535990835&lt;/D&gt;&lt;D xsi:type="xsd:double"&gt;3.12877624872354&lt;/D&gt;&lt;D xsi:type="xsd:double"&gt;3.04601300389215&lt;/D&gt;&lt;D xsi:type="xsd:double"&gt;3.06401464080955&lt;/D&gt;&lt;D xsi:type="xsd:double"&gt;3.84666204836162&lt;/D&gt;&lt;D xsi:type="xsd:double"&gt;3.58605127018635&lt;/D&gt;&lt;D xsi:type="xsd:double"&gt;3.31824950431472&lt;/D&gt;&lt;D xsi:type="xsd:double"&gt;2.83865787919295&lt;/D&gt;&lt;D xsi:type="xsd:double"&gt;2.8818262132169&lt;/D&gt;&lt;D xsi:type="xsd:double"&gt;2.86803021513996&lt;/D&gt;&lt;D xsi:type="xsd:double"&gt;2.77604041786601&lt;/D&gt;&lt;D xsi:type="xsd:double"&gt;2.81433848698402&lt;/D&gt;&lt;D xsi:type="xsd:double"&gt;2.87290570104791&lt;/D&gt;&lt;D xsi:type="xsd:double"&gt;2.77374801450095&lt;/D&gt;&lt;D xsi:type="xsd:double"&gt;2.6900125049038&lt;/D&gt;&lt;D xsi:type="xsd:double"&gt;2.74476590748308&lt;/D&gt;&lt;D xsi:type="xsd:double"&gt;2.76193848407895&lt;/D&gt;&lt;D xsi:type="xsd:double"&gt;2.68523749582644&lt;/D&gt;&lt;D xsi:type="xsd:double"&gt;2.78991645021532&lt;/D&gt;&lt;D xsi:type="xsd:double"&gt;2.79766173578374&lt;/D&gt;&lt;D xsi:type="xsd:double"&gt;2.79885024823141&lt;/D&gt;&lt;D xsi:type="xsd:double"&gt;2.85375065239541&lt;/D&gt;&lt;D xsi:type="xsd:double"&gt;2.87003651000605&lt;/D&gt;&lt;D xsi:type="xsd:double"&gt;2.99396107680846&lt;/D&gt;&lt;D xsi:type="xsd:double"&gt;2.93353830768029&lt;/D&gt;&lt;D xsi:type="xsd:double"&gt;3.07187925634111&lt;/D&gt;&lt;D xsi:type="xsd:double"&gt;3.04679543805461&lt;/D&gt;&lt;D xsi:type="xsd:double"&gt;3.17270584914676&lt;/D&gt;&lt;D xsi:type="xsd:double"&gt;3.65300937349867&lt;/D&gt;&lt;D xsi:type="xsd:double"&gt;3.56860471719382&lt;/D&gt;&lt;D xsi:type="xsd:double"&gt;3.99975849572866&lt;/D&gt;&lt;D xsi:type="xsd:double"&gt;3.79841730411649&lt;/D&gt;&lt;D xsi:type="xsd:double"&gt;4.12030169900357&lt;/D&gt;&lt;D xsi:type="xsd:double"&gt;3.99571991038641&lt;/D&gt;&lt;D xsi:type="xsd:double"&gt;4.11303520794007&lt;/D&gt;&lt;D xsi:type="xsd:double"&gt;4.42843330813067&lt;/D&gt;&lt;D xsi:type="xsd:double"&gt;3.99981353000128&lt;/D&gt;&lt;D xsi:type="xsd:double"&gt;3.74349959783665&lt;/D&gt;&lt;D xsi:type="xsd:double"&gt;3.61247649491203&lt;/D&gt;&lt;D xsi:type="xsd:double"&gt;3.43166089531519&lt;/D&gt;&lt;D xsi:type="xsd:double"&gt;3.48933313782305&lt;/D&gt;&lt;D xsi:type="xsd:double"&gt;3.54684958805782&lt;/D&gt;&lt;D xsi:type="xsd:double"&gt;3.55006239339849&lt;/D&gt;&lt;D xsi:type="xsd:double"&gt;3.64751341293101&lt;/D&gt;&lt;D xsi:type="xsd:double"&gt;3.76701963820375&lt;/D&gt;&lt;D xsi:type="xsd:double"&gt;3.7155126810265&lt;/D&gt;&lt;D xsi:type="xsd:double"&gt;3.75855272364857&lt;/D&gt;&lt;D xsi:type="xsd:double"&gt;3.92167797933048&lt;/D&gt;&lt;D xsi:type="xsd:double"&gt;3.85518110760822&lt;/D&gt;&lt;D xsi:type="xsd:double"&gt;3.54227933929578&lt;/D&gt;&lt;D xsi:type="xsd:double"&gt;3.59019124284296&lt;/D&gt;&lt;D xsi:type="xsd:double"&gt;3.53877334220308&lt;/D&gt;&lt;D xsi:type="xsd:double"&gt;3.32734915148276&lt;/D&gt;&lt;D xsi:type="xsd:double"&gt;3.32321453070574&lt;/D&gt;&lt;D xsi:type="xsd:double"&gt;3.35742691793737&lt;/D&gt;&lt;/FQL&gt;&lt;FQL&gt;&lt;Q&gt;TRYFR10Y-FDS^FG_YIELD(-10AY,0,Y,,"YTM")&lt;/Q&gt;&lt;R&gt;10&lt;/R&gt;&lt;C&gt;1&lt;/C&gt;&lt;D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xsi:type="xsd:double"&gt;2.534&lt;/D&gt;&lt;/FQL&gt;&lt;FQL&gt;&lt;Q&gt;VGK^FG_TOTAL_RETURNC(0,-6AM)&lt;/Q&gt;&lt;R&gt;1&lt;/R&gt;&lt;C&gt;1&lt;/C&gt;&lt;D xsi:type="xsd:double"&gt;19.703913&lt;/D&gt;&lt;/FQL&gt;&lt;FQL&gt;&lt;Q&gt;QQQ^P_PRICE_RETURNS_PR('52W',2,-10AY,0,AM)&lt;/Q&gt;&lt;R&gt;121&lt;/R&gt;&lt;C&gt;1&lt;/C&gt;&lt;D xsi:type="xsd:double"&gt;21.446228&lt;/D&gt;&lt;D xsi:type="xsd:double"&gt;28.385746&lt;/D&gt;&lt;D xsi:type="xsd:double"&gt;31.919909&lt;/D&gt;&lt;D xsi:type="xsd:double"&gt;25.467896&lt;/D&gt;&lt;D xsi:type="xsd:double"&gt;29.482508&lt;/D&gt;&lt;D xsi:type="xsd:double"&gt;27.679407&lt;/D&gt;&lt;D xsi:type="xsd:double"&gt;26.59316&lt;/D&gt;&lt;D xsi:type="xsd:double"&gt;23.34336&lt;/D&gt;&lt;D xsi:type="xsd:double"&gt;19.731676&lt;/D&gt;&lt;D xsi:type="xsd:double"&gt;19.556988&lt;/D&gt;&lt;D xsi:type="xsd:double"&gt;20.312798&lt;/D&gt;&lt;D xsi:type="xsd:double"&gt;23.54977&lt;/D&gt;&lt;D xsi:type="xsd:double"&gt;27.077627&lt;/D&gt;&lt;D xsi:type="xsd:double"&gt;17.745758&lt;/D&gt;&lt;D xsi:type="xsd:double"&gt;12.855315&lt;/D&gt;&lt;D xsi:type="xsd:double"&gt;18.332947&lt;/D&gt;&lt;D xsi:type="xsd:double"&gt;5.767381&lt;/D&gt;&lt;D xsi:type="xsd:double"&gt;11.173237&lt;/D&gt;&lt;D xsi:type="xsd:double"&gt;12.990713&lt;/D&gt;&lt;D xsi:type="xsd:double"&gt;8.718753&lt;/D&gt;&lt;D xsi:type="xsd:double"&gt;1.7165661&lt;/D&gt;&lt;D xsi:type="xsd:double"&gt;-5.345708&lt;/D&gt;&lt;D xsi:type="xsd:double"&gt;-1.6974568&lt;/D&gt;&lt;D xsi:type="xsd:double"&gt;3.3273578&lt;/D&gt;&lt;D xsi:type="xsd:double"&gt;-1.5233397&lt;/D&gt;&lt;D xsi:type="xsd:double"&gt;3.1305194&lt;/D&gt;&lt;D xsi:type="xsd:double"&gt;5.1415205&lt;/D&gt;&lt;D xsi:type="xsd:double"&gt;7.188213&lt;/D&gt;&lt;D xsi:type="xsd:double"&gt;11.274349&lt;/D&gt;&lt;D xsi:type="xsd:double"&gt;13.425434&lt;/D&gt;&lt;D xsi:type="xsd:double"&gt;4.7653437&lt;/D&gt;&lt;D xsi:type="xsd:double"&gt;7.053733&lt;/D&gt;&lt;D xsi:type="xsd:double"&gt;18.927597&lt;/D&gt;&lt;D xsi:type="xsd:double"&gt;33.28314&lt;/D&gt;&lt;D xsi:type="xsd:double"&gt;26.217949&lt;/D&gt;&lt;D xsi:type="xsd:double"&gt;22.229052&lt;/D&gt;&lt;D xsi:type="xsd:double"&gt;31.982231&lt;/D&gt;&lt;D xsi:type="xsd:double"&gt;28.341818&lt;/D&gt;&lt;D xsi:type="xsd:double"&gt;28.138077&lt;/D&gt;&lt;D xsi:type="xsd:double"&gt;24.537552&lt;/D&gt;&lt;D xsi:type="xsd:double"&gt;24.285793&lt;/D&gt;&lt;D xsi:type="xsd:double"&gt;25.743126&lt;/D&gt;&lt;D xsi:type="xsd:double"&gt;31.942188&lt;/D&gt;&lt;D xsi:type="xsd:double"&gt;31.77879&lt;/D&gt;&lt;D xsi:type="xsd:double"&gt;34.098732&lt;/D&gt;&lt;D xsi:type="xsd:double"&gt;24.073769&lt;/D&gt;&lt;D xsi:type="xsd:double"&gt;33.552193&lt;/D&gt;&lt;D xsi:type="xsd:double"&gt;20.558537&lt;/D&gt;&lt;D xsi:type="xsd:double"&gt;22.425783&lt;/D&gt;&lt;D xsi:type="xsd:double"&gt;22.55789&lt;/D&gt;&lt;D xsi:type="xsd:double"&gt;29.663277&lt;/D&gt;&lt;D xsi:type="xsd:double"&gt;27.242828&lt;/D&gt;&lt;D xsi:type="xsd:double"&gt;25.507568&lt;/D&gt;&lt;D xsi:type="xsd:double"&gt;22.727919&lt;/D&gt;&lt;D xsi:type="xsd:double"&gt;12.459528&lt;/D&gt;&lt;D xsi:type="xsd:double"&gt;5.584371&lt;/D&gt;&lt;D xsi:type="xsd:double"&gt;-0.22454262&lt;/D&gt;&lt;D xsi:type="xsd:double"&gt;10.786009&lt;/D&gt;&lt;D xsi:type="xsd:double"&gt;1.6327977&lt;/D&gt;&lt;D xsi:type="xsd:double"&gt;17.978394&lt;/D&gt;&lt;D xsi:type="xsd:double"&gt;11.019683&lt;/D&gt;&lt;D xsi:type="xsd:double"&gt;4.6937704&lt;/D&gt;&lt;D xsi:type="xsd:double"&gt;8.546555&lt;/D&gt;&lt;D xsi:type="xsd:double"&gt;3.417647&lt;/D&gt;&lt;D xsi:type="xsd:double"&gt;6.4923406&lt;/D&gt;&lt;D xsi:type="xsd:double"&gt;5.1692963&lt;/D&gt;&lt;D xsi:type="xsd:double"&gt;16.382921&lt;/D&gt;&lt;D xsi:type="xsd:double"&gt;27.591537&lt;/D&gt;&lt;D xsi:type="xsd:double"&gt;37.291264&lt;/D&gt;&lt;D xsi:type="xsd:double"&gt;37.36303&lt;/D&gt;&lt;D xsi:type="xsd:double"&gt;14.016867&lt;/D&gt;&lt;D xsi:type="xsd:double"&gt;9.808922&lt;/D&gt;&lt;D xsi:type="xsd:double"&gt;22.07594&lt;/D&gt;&lt;D xsi:type="xsd:double"&gt;35.537983&lt;/D&gt;&lt;D xsi:type="xsd:double"&gt;38.618553&lt;/D&gt;&lt;D xsi:type="xsd:double"&gt;48.523724&lt;/D&gt;&lt;D xsi:type="xsd:double"&gt;46.512115&lt;/D&gt;&lt;D xsi:type="xsd:double"&gt;53.739834&lt;/D&gt;&lt;D xsi:type="xsd:double"&gt;44.485737&lt;/D&gt;&lt;D xsi:type="xsd:double"&gt;48.754726&lt;/D&gt;&lt;D xsi:type="xsd:double"&gt;47.96505&lt;/D&gt;&lt;D xsi:type="xsd:double"&gt;46.5</t>
        </r>
      </text>
    </comment>
    <comment ref="A11" authorId="0" shapeId="0" xr:uid="{FC956A4E-DBBA-4C94-897F-25961ED4D0EB}">
      <text>
        <r>
          <rPr>
            <b/>
            <sz val="9"/>
            <color indexed="81"/>
            <rFont val="Tahoma"/>
            <charset val="1"/>
          </rPr>
          <t>48607&lt;/D&gt;&lt;D xsi:type="xsd:double"&gt;62.212265&lt;/D&gt;&lt;D xsi:type="xsd:double"&gt;68.880775&lt;/D&gt;&lt;D xsi:type="xsd:double"&gt;51.602997&lt;/D&gt;&lt;D xsi:type="xsd:double"&gt;39.31042&lt;/D&gt;&lt;D xsi:type="xsd:double"&gt;38.476406&lt;/D&gt;&lt;D xsi:type="xsd:double"&gt;36.59749&lt;/D&gt;&lt;D xsi:type="xsd:double"&gt;37.333416&lt;/D&gt;&lt;D xsi:type="xsd:double"&gt;29.026115&lt;/D&gt;&lt;D xsi:type="xsd:double"&gt;37.716198&lt;/D&gt;&lt;D xsi:type="xsd:double"&gt;31.371902&lt;/D&gt;&lt;D xsi:type="xsd:double"&gt;21.179699&lt;/D&gt;&lt;D xsi:type="xsd:double"&gt;10.491001&lt;/D&gt;&lt;D xsi:type="xsd:double"&gt;7.96597&lt;/D&gt;&lt;D xsi:type="xsd:double"&gt;4.701495&lt;/D&gt;&lt;D xsi:type="xsd:double"&gt;-10.657394&lt;/D&gt;&lt;D xsi:type="xsd:double"&gt;-10.686416&lt;/D&gt;&lt;D xsi:type="xsd:double"&gt;-17.220234&lt;/D&gt;&lt;D xsi:type="xsd:double"&gt;-13.530361&lt;/D&gt;&lt;D xsi:type="xsd:double"&gt;-18.6249&lt;/D&gt;&lt;D xsi:type="xsd:double"&gt;-25.401848&lt;/D&gt;&lt;D xsi:type="xsd:double"&gt;-32.977562&lt;/D&gt;&lt;D xsi:type="xsd:double"&gt;-27.922894&lt;/D&gt;&lt;D xsi:type="xsd:double"&gt;-28.255808&lt;/D&gt;&lt;D xsi:type="xsd:double"&gt;-17.133522&lt;/D&gt;&lt;D xsi:type="xsd:double"&gt;-11.994386&lt;/D&gt;&lt;D xsi:type="xsd:double"&gt;-9.2781725&lt;/D&gt;&lt;D xsi:type="xsd:double"&gt;9.069979&lt;/D&gt;&lt;D xsi:type="xsd:double"&gt;19.309593&lt;/D&gt;&lt;D xsi:type="xsd:double"&gt;25.044918&lt;/D&gt;&lt;D xsi:type="xsd:double"&gt;16.859936&lt;/D&gt;&lt;D xsi:type="xsd:double"&gt;24.864506&lt;/D&gt;&lt;D xsi:type="xsd:double"&gt;37.144436&lt;/D&gt;&lt;D xsi:type="xsd:double"&gt;41.496872&lt;/D&gt;&lt;D xsi:type="xsd:double"&gt;39.10166&lt;/D&gt;&lt;D xsi:type="xsd:double"&gt;51.011158&lt;/D&gt;&lt;D xsi:type="xsd:double"&gt;45.87022&lt;/D&gt;&lt;D xsi:type="xsd:double"&gt;48.42684&lt;/D&gt;&lt;D xsi:type="xsd:double"&gt;39.969696&lt;/D&gt;&lt;D xsi:type="xsd:double"&gt;38.028717&lt;/D&gt;&lt;/FQL&gt;&lt;FQL&gt;&lt;Q&gt;USDJPY^FG_PRICE_CHANGE(0,-6AM)&lt;/Q&gt;&lt;R&gt;1&lt;/R&gt;&lt;C&gt;1&lt;/C&gt;&lt;D xsi:type="xsd:double"&gt;3.063929&lt;/D&gt;&lt;/FQL&gt;&lt;FQL&gt;&lt;Q&gt;PASP-FDS^FG_PRICE_CHANGE(0,-1AY)&lt;/Q&gt;&lt;R&gt;1&lt;/R&gt;&lt;C&gt;1&lt;/C&gt;&lt;D xsi:type="xsd:double"&gt;-39.4321766561514&lt;/D&gt;&lt;/FQL&gt;&lt;FQL&gt;&lt;Q&gt;W-FDS^FG_PRICE_CHANGE(0,-6AM)&lt;/Q&gt;&lt;R&gt;1&lt;/R&gt;&lt;C&gt;1&lt;/C&gt;&lt;D xsi:type="xsd:double"&gt;6.71545415411106&lt;/D&gt;&lt;/FQL&gt;&lt;FQL&gt;&lt;Q&gt;EWQ^FG_PRICE_MAVG(0,,,,30)&lt;/Q&gt;&lt;R&gt;1&lt;/R&gt;&lt;C&gt;1&lt;/C&gt;&lt;D xsi:type="xsd:double"&gt;40.565334&lt;/D&gt;&lt;/FQL&gt;&lt;FQL&gt;&lt;Q&gt;EWJ^P_PRICE(0)/P_PRICE_LOW_PR(0,,,,,,"PRICE","INTRA","52W")-1&lt;/Q&gt;&lt;R&gt;1&lt;/R&gt;&lt;C&gt;1&lt;/C&gt;&lt;D xsi:type="xsd:double"&gt;0.1947552&lt;/D&gt;&lt;/FQL&gt;&lt;FQL&gt;&lt;Q&gt;EWA^FG_TOTAL_RETURNC(0,-6AM)&lt;/Q&gt;&lt;R&gt;1&lt;/R&gt;&lt;C&gt;1&lt;/C&gt;&lt;D xsi:type="xsd:double"&gt;16.797089&lt;/D&gt;&lt;/FQL&gt;&lt;FQL&gt;&lt;Q&gt;QQQ^FMA_COS_UP("EPS","1M",+1,0,,,"PORTAGG","MEANR")&lt;/Q&gt;&lt;R&gt;1&lt;/R&gt;&lt;C&gt;1&lt;/C&gt;&lt;D xsi:type="xsd:double"&gt;42&lt;/D&gt;&lt;/FQL&gt;&lt;FQL&gt;&lt;Q&gt;EWD^FMA_EVAL_EBIT(LTMA,NOW,NOW,M,"PORTAGG","MEANR")&lt;/Q&gt;&lt;R&gt;1&lt;/R&gt;&lt;C&gt;1&lt;/C&gt;&lt;D xsi:type="xsd:double"&gt;15.9134277089997&lt;/D&gt;&lt;/FQL&gt;&lt;FQL&gt;&lt;Q&gt;EWL^FMA_DIV_YLD(NTMA,NOW,NOW,M,"PORTAGG","MEANR")&lt;/Q&gt;&lt;R&gt;1&lt;/R&gt;&lt;C&gt;1&lt;/C&gt;&lt;D xsi:type="xsd:double"&gt;3.41440942785273&lt;/D&gt;&lt;/FQL&gt;&lt;FQL&gt;&lt;Q&gt;EWA^FMA_EVAL_EBIT(LTMA,NOW,NOW,M,"PORTAGG","MEANR")&lt;/Q&gt;&lt;R&gt;1&lt;/R&gt;&lt;C&gt;1&lt;/C&gt;&lt;D xsi:type="xsd:double"&gt;12.3736966762008&lt;/D&gt;&lt;/FQL&gt;&lt;FQL&gt;&lt;Q&gt;EWL^FMA_PE(NTMA,0,,,"PORTAGG","MEANR")&lt;/Q&gt;&lt;R&gt;1&lt;/R&gt;&lt;C&gt;1&lt;/C&gt;&lt;D xsi:type="xsd:double"&gt;16.74284061865&lt;/D&gt;&lt;/FQL&gt;&lt;FQL&gt;&lt;Q&gt;SPY^FG_TOTAL_RETURNC(0,-1AM)&lt;/Q&gt;&lt;R&gt;1&lt;/R&gt;&lt;C&gt;1&lt;/C&gt;&lt;D xsi:type="xsd:double"&gt;0.16367435&lt;/D&gt;&lt;/FQL&gt;&lt;FQL&gt;&lt;Q&gt;TRYAU10Y-FDS^PCTCHG(FG_YIELD(0,,,,"YTM"),FG_YIELD(-1AM,,,,"YTM"))&lt;/Q&gt;&lt;R&gt;1&lt;/R&gt;&lt;C&gt;1&lt;/C&gt;&lt;D xsi:type="xsd:double"&gt;4.2155604&lt;/D&gt;&lt;/FQL&gt;&lt;FQL&gt;&lt;Q&gt;EWQ^FG_TOTAL_RETURNC(0,-12AM)&lt;/Q&gt;&lt;R&gt;1&lt;/R&gt;&lt;C&gt;1&lt;/C&gt;&lt;D xsi:type="xsd:double"&gt;10.737848&lt;/D&gt;&lt;/FQL&gt;&lt;FQL&gt;&lt;Q&gt;TRYIT10Y-FDS^FG_YIELD_NAME&lt;/Q&gt;&lt;R&gt;1&lt;/R&gt;&lt;C&gt;1&lt;/C&gt;&lt;D xsi:type="xsd:string"&gt;Italy Benchmark Bond - 10 Year&lt;/D&gt;&lt;/FQL&gt;&lt;FQL&gt;&lt;Q&gt;ENZL^JULIAN(FMA_DIV_YLD(LTMA,-10AY,0,AM,"PORTAGG","MEANR").DATES)&lt;/Q&gt;&lt;R&gt;121&lt;/R&gt;&lt;C&gt;1&lt;/C&gt;&lt;D xsi:type="xsd:long"&gt;41768&lt;/D&gt;&lt;D xsi:type="xsd:long"&gt;41799&lt;/D&gt;&lt;D xsi:type="xsd:long"&gt;41829&lt;/D&gt;&lt;D xsi:type="xsd:long"&gt;41859&lt;/D&gt;&lt;D xsi:type="xsd:long"&gt;41891&lt;/D&gt;&lt;D xsi:type="xsd:long"&gt;41921&lt;/D&gt;&lt;D xsi:type="xsd:long"&gt;41950&lt;/D&gt;&lt;D xsi:type="xsd:long"&gt;41982&lt;/D&gt;&lt;D xsi:type="xsd:long"&gt;42013&lt;/D&gt;&lt;D xsi:type="xsd:long"&gt;42044&lt;/D&gt;&lt;D xsi:type="xsd:long"&gt;42072&lt;/D&gt;&lt;D xsi:type="xsd:long"&gt;42103&lt;/D&gt;&lt;D xsi:type="xsd:long"&gt;42132&lt;/D&gt;&lt;D xsi:type="xsd:long"&gt;42164&lt;/D&gt;&lt;D xsi:type="xsd:long"&gt;42194&lt;/D&gt;&lt;D xsi:type="xsd:long"&gt;42223&lt;/D&gt;&lt;D xsi:type="xsd:long"&gt;42256&lt;/D&gt;&lt;D xsi:type="xsd:long"&gt;42286&lt;/D&gt;&lt;D xsi:type="xsd:long"&gt;42317&lt;/D&gt;&lt;D xsi:type="xsd:long"&gt;42347&lt;/D&gt;&lt;D xsi:type="xsd:long"&gt;42377&lt;/D&gt;&lt;D xsi:type="xsd:long"&gt;42409&lt;/D&gt;&lt;D xsi:type="xsd:long"&gt;42438&lt;/D&gt;&lt;D xsi:type="xsd:long"&gt;42468&lt;/D&gt;&lt;D xsi:type="xsd:long"&gt;42499&lt;/D&gt;&lt;D xsi:type="xsd:long"&gt;42530&lt;/D&gt;&lt;D xsi:type="xsd:long"&gt;42559&lt;/D&gt;&lt;D xsi:type="xsd:long"&gt;42591&lt;/D&gt;&lt;D xsi:type="xsd:long"&gt;42622&lt;/D&gt;&lt;D xsi:type="xsd:long"&gt;42650&lt;/D&gt;&lt;D xsi:type="xsd:long"&gt;42683&lt;/D&gt;&lt;D xsi:type="xsd:long"&gt;42713&lt;/D&gt;&lt;D xsi:type="xsd:long"&gt;42744&lt;/D&gt;&lt;D xsi:type="xsd:long"&gt;42775&lt;/D&gt;&lt;D xsi:type="xsd:long"&gt;42803&lt;/D&gt;&lt;D xsi:type="xsd:long"&gt;42832&lt;/D&gt;&lt;D xsi:type="xsd:long"&gt;42864&lt;/D&gt;&lt;D xsi:type="xsd:long"&gt;42895&lt;/D&gt;&lt;D xsi:type="xsd:long"&gt;42923&lt;/D&gt;&lt;D xsi:type="xsd:long"&gt;42956&lt;/D&gt;&lt;D xsi:type="xsd:long"&gt;42986&lt;/D&gt;&lt;D xsi:type="xsd:long"&gt;43017&lt;/D&gt;&lt;D xsi:type="xsd:long"&gt;43048&lt;/D&gt;&lt;D xsi:type="xsd:long"&gt;43077&lt;/D&gt;&lt;D xsi:type="xsd:long"&gt;43109&lt;/D&gt;&lt;D xsi:type="xsd:long"&gt;43140&lt;/D&gt;&lt;D xsi:type="xsd:long"&gt;43168&lt;/D&gt;&lt;D xsi:type="xsd:long"&gt;43199&lt;/D&gt;&lt;D xsi:type="xsd:long"&gt;43229&lt;/D&gt;&lt;D xsi:type="xsd:long"&gt;43259&lt;/D&gt;&lt;D xsi:type="xsd:long"&gt;43290&lt;/D&gt;&lt;D xsi:type="xsd:long"&gt;43321&lt;/D&gt;&lt;D xsi:type="xsd:long"&gt;43350&lt;/D&gt;&lt;D xsi:type="xsd:long"&gt;43382&lt;/D&gt;&lt;D xsi:type="xsd:long"&gt;43413&lt;/D&gt;&lt;D xsi:type="xsd:long"&gt;43441&lt;/D&gt;&lt;D xsi:type="xsd:long"&gt;43474&lt;/D&gt;&lt;D xsi:type="xsd:long"&gt;43504&lt;/D&gt;&lt;D xsi:type="xsd:long"&gt;43532&lt;/D&gt;&lt;D xsi:type="xsd:long"&gt;43564&lt;/D&gt;&lt;D xsi:type="xsd:long"&gt;43594&lt;/D&gt;&lt;D xsi:type="xsd:long"&gt;43623&lt;/D&gt;&lt;D xsi:type="xsd:long"&gt;43655&lt;/D&gt;&lt;D xsi:type="xsd:long"&gt;43686&lt;/D&gt;&lt;D xsi:type="xsd:long"&gt;43717&lt;/D&gt;&lt;D xsi:type="xsd:long"&gt;43747&lt;/D&gt;&lt;D xsi:type="xsd:long"&gt;43777&lt;/D&gt;&lt;D xsi:type="xsd:long"&gt;43808&lt;/D&gt;&lt;D xsi:type="xsd:long"&gt;43839&lt;/D&gt;&lt;D xsi:type="xsd:long"&gt;43868&lt;/D&gt;&lt;D xsi:type="xsd:long"&gt;43899&lt;/D&gt;&lt;D xsi:type="xsd:long"&gt;43930&lt;/D&gt;&lt;D xsi:type="xsd:long"&gt;43959&lt;/D&gt;&lt;D xsi:type="xsd:long"&gt;43991&lt;/D&gt;&lt;D xsi:type="xsd:long"&gt;44021&lt;/D&gt;&lt;D xsi:type="xsd:long"&gt;44050&lt;/D&gt;&lt;D xsi:type="xsd:long"&gt;44083&lt;/D&gt;&lt;D xsi:type="xsd:long"&gt;44113&lt;/D&gt;&lt;D xsi:type="xsd:long"&gt;44144&lt;/D&gt;&lt;D xsi:type="xsd:long"&gt;44174&lt;/D&gt;&lt;D xsi:type="xsd:long"&gt;44204&lt;/D&gt;&lt;D xsi:type="xsd:long"&gt;44236&lt;/D&gt;&lt;D xsi:type="xsd:long"&gt;44264&lt;/D&gt;&lt;D xsi:type="xsd:long"&gt;44295&lt;/D&gt;&lt;D xsi:type="xsd:long"&gt;44323&lt;/D&gt;&lt;D xsi:type="xsd:long"&gt;44356&lt;/D&gt;&lt;D xsi:type="xsd:long"&gt;44386&lt;/D&gt;&lt;D xsi:type="xsd:long"&gt;44417&lt;/D&gt;&lt;D xsi:type="xsd:long"&gt;44448&lt;/D&gt;&lt;D xsi:type="xsd:long"&gt;44477&lt;/D&gt;&lt;D xsi:type="xsd:long"&gt;44509&lt;/D&gt;&lt;D xsi:type="xsd:long"&gt;44539&lt;/D&gt;&lt;D xsi:type="xsd:long"&gt;44567&lt;/D&gt;&lt;D xsi:type="xsd:long"&gt;44601&lt;/D&gt;&lt;D xsi:type="xsd:long"&gt;44629&lt;/D&gt;&lt;D xsi:type="xsd:long"&gt;44659&lt;/D&gt;&lt;D xsi:type="xsd:long"&gt;44690&lt;/D&gt;&lt;D xsi:type="xsd:long"&gt;44721&lt;/D&gt;&lt;D xsi:type="xsd:long"&gt;44750&lt;/D&gt;&lt;D xsi:type="xsd:long"&gt;44782&lt;/D&gt;&lt;D xsi:type="xsd:long"&gt;44813&lt;/D&gt;&lt;D xsi:type="xsd:long"&gt;44841&lt;/D&gt;&lt;D xsi:type="xsd:long"&gt;44874&lt;/D&gt;&lt;D xsi:type="xsd:long"&gt;44904&lt;/D&gt;&lt;D xsi:type="xsd:long"&gt;44935&lt;/D&gt;&lt;D xsi:type="xsd:long"&gt;44966&lt;/D&gt;&lt;D xsi:type="xsd:long"&gt;44994&lt;/D&gt;&lt;D xsi:type="xsd:long"&gt;45022&lt;/D&gt;&lt;D xsi:type="xsd:long"&gt;45055&lt;/D&gt;&lt;D xsi:type="xsd:long"&gt;45086&lt;/D&gt;&lt;D xsi:type="xsd:long"&gt;45114&lt;/D&gt;&lt;D xsi:type="xsd:long"&gt;45147&lt;/D&gt;&lt;D xsi:type="xsd:long"&gt;45177&lt;/D&gt;&lt;D xsi:type="xsd:long"&gt;45208&lt;/D&gt;&lt;D xsi:type="xsd:long"&gt;45239&lt;/D&gt;&lt;D xsi:type="xsd:long"&gt;45268&lt;/D&gt;&lt;D xsi:type="xsd:long"&gt;45300&lt;/D&gt;&lt;D xsi:type="xsd:long"&gt;45331&lt;/D&gt;&lt;D xsi:type="xsd:long"&gt;45359&lt;/D&gt;&lt;D xsi:type="xsd:long"&gt;45391&lt;/D&gt;&lt;D xsi:type="xsd:long"&gt;45418&lt;/D&gt;&lt;/FQL&gt;&lt;FQL&gt;&lt;Q&gt;EWI^FG_TOTAL_RETURNC(0,-1AM)&lt;/Q&gt;&lt;R&gt;1&lt;/R&gt;&lt;C&gt;1&lt;/C&gt;&lt;D xsi:type="xsd:double"&gt;2.074349&lt;/D&gt;&lt;/FQL&gt;&lt;FQL&gt;&lt;Q&gt;QQQ^FMA_PE(NTMA,0,,,"PORTAGG","MEANR")&lt;/Q&gt;&lt;R&gt;1&lt;/R&gt;&lt;C&gt;1&lt;/C&gt;&lt;D xsi:type="xsd:double"&gt;25.5439841689895&lt;/D&gt;&lt;/FQL&gt;&lt;FQL&gt;&lt;Q&gt;DDR3512M-FDS^MAX(FG_PRICE(0,-5AY))&lt;/Q&gt;&lt;R&gt;1&lt;/R&gt;&lt;C&gt;1&lt;/C&gt;&lt;D xsi:type="xsd:double"&gt;3.3053632&lt;/D&gt;&lt;/FQL&gt;&lt;FQL&gt;&lt;Q&gt;FXI^FG_TOTAL_RETURNC(0,-6AM)&lt;/Q&gt;&lt;R&gt;1&lt;/R&gt;&lt;C&gt;1&lt;/C&gt;&lt;D xsi:type="xsd:double"&gt;9.186686&lt;/D&gt;&lt;/FQL&gt;&lt;FQL&gt;&lt;Q&gt;COPP-FDS^FG_PRICE_CHANGE(0,-6AM)&lt;/Q&gt;&lt;R&gt;1&lt;/R&gt;&lt;C&gt;1&lt;/C&gt;&lt;D xsi:type="xsd:double"&gt;26.7537826685007&lt;/D&gt;&lt;/FQL&gt;&lt;FQL&gt;&lt;Q&gt;CAGDPY@SE^EE_ACTUAL_ANNUAL(MED,+1)&lt;/Q&gt;&lt;R&gt;1&lt;/R&gt;&lt;C&gt;1&lt;/C&gt;&lt;D xsi:type="xsd:double"&gt;5.4&lt;/D&gt;&lt;/FQL&gt;&lt;FQL&gt;&lt;Q&gt;USDITL^STD(FG_PRICE_CHANGE(0,-3AY,M))&lt;/Q&gt;&lt;R&gt;1&lt;/R&gt;&lt;C&gt;1&lt;/C&gt;&lt;D xsi:type="xsd:double"&gt;2.17952831157567&lt;/D&gt;&lt;/FQL&gt;&lt;FQL&gt;&lt;Q&gt;EWQ^FMA_EPS(NTMA,-20AY,0,CY,,"PORTAGG","MEANR")&lt;/Q&gt;&lt;R&gt;20&lt;/R&gt;&lt;C&gt;1&lt;/C&gt;&lt;D xsi:type="xsd:double"&gt;2.02293794620879&lt;/D&gt;&lt;D xsi:type="xsd:double"&gt;2.09338204215347&lt;/D&gt;&lt;D xsi:type="xsd:double"&gt;2.69740018358616&lt;/D&gt;&lt;D xsi:type="xsd:double"&gt;3.1669085058651&lt;/D&gt;&lt;D xsi:type="xsd:double"&gt;2.36664992614361&lt;/D&gt;&lt;D xsi:type="xsd:double"&gt;2.07401175960449&lt;/D&gt;&lt;D xsi:type="xsd:double"&gt;2.36258917800502&lt;/D&gt;&lt;D xsi:type="xsd:double"&gt;2.15605314606315&lt;/D&gt;&lt;D xsi:type="xsd:double"&gt;2.15764377090538&lt;/D&gt;&lt;D xsi:type="xsd:double"&gt;2.15768724966229&lt;/D&gt;&lt;D xsi:type="xsd:double"&gt;1.78907537429816&lt;/D&gt;&lt;D xsi:type="xsd:double"&gt;1.66363137331966&lt;/D&gt;&lt;D xsi:type="xsd:double"&gt;1.69319582409989&lt;/D&gt;&lt;D xsi:type="xsd:double"&gt;2.10907755629154&lt;/D&gt;&lt;D xsi:type="xsd:double"&gt;2.23155948612122&lt;/D&gt;&lt;D xsi:type="xsd:double"&gt;2.19705971714274&lt;/D&gt;&lt;D xsi:type="xsd:double"&gt;1.85109750880863&lt;/D&gt;&lt;D xsi:type="xsd:double"&gt;2.46081746914008&lt;/D&gt;&lt;D xsi:type="xsd:double"&gt;2.80266518938636&lt;/D&gt;&lt;D xsi:type="xsd:double"&gt;2.92070468127568&lt;/D&gt;&lt;/FQL&gt;&lt;FQL&gt;&lt;Q&gt;EWJ^FG_TOTAL_RETURNC(-10AY,0,AM)&lt;/Q&gt;&lt;R&gt;121&lt;/R&gt;&lt;C&gt;1&lt;/C&gt;&lt;D xsi:type="xsd:double"&gt;-0.17920732&lt;/D&gt;&lt;D xsi:type="xsd:double"&gt;5.9245944&lt;/D&gt;&lt;D xsi:type="xsd:double"&gt;3.5001755&lt;/D&gt;&lt;D xsi:type="xsd:double"&gt;-3.21517&lt;/D&gt;&lt;D xsi:type="xsd:double"&gt;-0.085181&lt;/D&gt;&lt;D xsi:type="xsd:double"&gt;-4.688823&lt;/D&gt;&lt;D xsi:type="xsd:double"&gt;3.4883618&lt;/D&gt;&lt;D xsi:type="xsd:double"&gt;0.43215752&lt;/D&gt;&lt;D xsi:type="xsd:double"&gt;-3.6532044&lt;/D&gt;&lt;D xsi:type="xsd:double"&gt;3.683734&lt;/D&gt;&lt;D xsi:type="xsd:double"&gt;6.325829&lt;/D&gt;&lt;D xsi:type="xsd:double"&gt;5.29747&lt;/D&gt;&lt;D xsi:type="xsd:double"&gt;1.7027855&lt;/D&gt;&lt;D xsi:type="xsd:double"&gt;-2.891934&lt;/D&gt;&lt;D xsi:type="xsd:double"&gt;-1.8584371&lt;/D&gt;&lt;D xsi:type="xsd:double"&gt;3.8523197&lt;/D&gt;&lt;D xsi:type="xsd:double"&gt;-9.273571&lt;/D&gt;&lt;D xsi:type="xsd:double"&gt;3.0664444&lt;/D&gt;&lt;D xsi:type="xsd:double"&gt;2.0661116&lt;/D&gt;&lt;D xsi:type="xsd:double"&gt;-2.1052659&lt;/D&gt;&lt;D xsi:type="xsd:double"&gt;-4.6874943&lt;/D&gt;&lt;D xsi:type="xsd:double"&gt;-6.293702&lt;/D&gt;&lt;D xsi:type="xsd:double"&gt;5.2238703&lt;/D&gt;&lt;D xsi:type="xsd:double"&gt;0.44326782&lt;/D&gt;&lt;D xsi:type="xsd:double"&gt;1.7652273&lt;/D&gt;&lt;D xsi:type="xsd:double"&gt;2.8620958&lt;/D&gt;&lt;D xsi:type="xsd:double"&gt;-1.6710877&lt;/D&gt;&lt;D xsi:type="xsd:double"&gt;5.963707&lt;/D&gt;&lt;D xsi:type="xsd:double"&gt;0.5709648&lt;/D&gt;&lt;D xsi:type="xsd:double"&gt;0.97323656&lt;/D&gt;&lt;D xsi:type="xsd:double"&gt;-0.8232951&lt;/D&gt;&lt;D xsi:type="xsd:double"&gt;3.7659407&lt;/D&gt;&lt;D xsi:type="xsd:double"&gt;-0.28797984&lt;/D&gt;&lt;D xsi:type="xsd:double"&gt;1.0097027&lt;/D&gt;&lt;D xsi:type="xsd:double"&gt;-0.09800196&lt;/D&gt;&lt;D xsi:type="xsd:double"&gt;0.19619465&lt;/D&gt;&lt;D xsi:type="xsd:double"&gt;3.0350447&lt;/D&gt;&lt;D xsi:type="xsd:double"&gt;2.793622&lt;/D&gt;&lt;D xsi:type="xsd:double"&gt;-1.4211535&lt;/D&gt;&lt;D xsi:type="xsd:double"&gt;3.2842636&lt;/D&gt;&lt;D xsi:type="xsd:double"&gt;0.4568696&lt;/D&gt;&lt;D xsi:type="xsd:double"&gt;1.9829035&lt;/D&gt;&lt;D xsi:type="xsd:double"&gt;6.1719537&lt;/D&gt;&lt;D xsi:type="xsd:double"&gt;0.13440847&lt;/D&gt;&lt;D xsi:type="xsd:double"&gt;5.467069&lt;/D&gt;&lt;D xsi:type="xsd:double"&gt;-5.3971767&lt;/D&gt;&lt;D xsi:type="xsd:double"&gt;2.623999&lt;/D&gt;&lt;D xsi:type="xsd:double"&gt;-0.77531934&lt;/D&gt;&lt;D xsi:type="xsd:double"&gt;0.5320072&lt;/D&gt;&lt;D xsi:type="xsd:double"&gt;0.61187744&lt;/D&gt;&lt;D xsi:type="xsd:double"&gt;-3.9379418&lt;/D&gt;&lt;D xsi:type="xsd:double"&gt;0.6035447&lt;/D&gt;&lt;D xsi:type="xsd:double"&gt;-2.862531&lt;/D&gt;&lt;D xsi:type="xsd:double"&gt;4.270339&lt;/D&gt;&lt;D xsi:type="xsd:double"&gt;-6.7524137&lt;/D&gt;&lt;D xsi:type="xsd:double"&gt;-2.8312087&lt;/D&gt;&lt;D xsi:type="xsd:double"&gt;0.022685528&lt;/D&gt;&lt;D xsi:type="xsd:double"&gt;-0.77154636&lt;/D&gt;&lt;D xsi:type="xsd:double"&gt;1.175797&lt;/D&gt;&lt;D xsi:type="xsd:double"&gt;2.9803157&lt;/D&gt;&lt;D xsi:type="xsd:double"&gt;-2.2570014&lt;/D&gt;&lt;D xsi:type="xsd:double"&gt;1.2663007&lt;/D&gt;&lt;D xsi:type="xsd:double"&gt;1.3903975&lt;/D&gt;&lt;D xsi:type="xsd:double"&gt;-1.9582689&lt;/D&gt;&lt;D xsi:type="xsd:double"&gt;3.0240774&lt;/D&gt;&lt;D xsi:type="xsd:double"&gt;2.4098635&lt;/D&gt;&lt;D xsi:type="xsd:double"&gt;6.0332656&lt;/D&gt;&lt;D xsi:type="xsd:double"&gt;0.6507635&lt;/D&gt;&lt;D xsi:type="xsd:double"&gt;0.5501151&lt;/D&gt;&lt;D xsi:type="xsd:double"&gt;-0.784111&lt;/D&gt;&lt;D xsi:type="xsd:double"&gt;-16.058523&lt;/D&gt;&lt;D xsi:type="xsd:double"&gt;0.9214759&lt;/D&gt;&lt;D xsi:type="xsd:double"&gt;3.890431&lt;/D&gt;&lt;D xsi:type="xsd:double"&gt;10.049677&lt;/D&gt;&lt;D xsi:type="xsd:double"&gt;-3.625846&lt;/D&gt;&lt;D xsi:type="xsd:double"&gt;1.6887546&lt;/D&gt;&lt;D xsi:type="xsd:double"&gt;3.160715&lt;/D&gt;&lt;D xsi:type="xsd:double"&gt;2.925396&lt;/D&gt;&lt;D xsi:type="xsd:double"&gt;6.508577&lt;/D&gt;&lt;D xsi:type="xsd:double"&gt;3.7422895&lt;/D&gt;&lt;D xsi:type="xsd:double"&gt;5.8775067&lt;/D&gt;&lt;D xsi:type="xsd:double"&gt;2.280271&lt;/D&gt;&lt;D xsi:type="xsd:double"&gt;-3.852129&lt;/D&gt;&lt;D xsi:type="xsd:double"&gt;2.2453785&lt;/D&gt;&lt;D xsi:type="xsd:double"&gt;-0.87555647&lt;/D&gt;&lt;D xsi:type="xsd:double"&gt;-0.10136366&lt;/D&gt;&lt;D xsi:type="xsd:double"&gt;-0.08365512&lt;/D&gt;&lt;D xsi:type="xsd:double"&gt;-0.9498775&lt;/D&gt;&lt;D xsi:type="xsd:double"&gt;7.5390935&lt;/D&gt;&lt;D xsi:type="xsd:double"&gt;-6.9008055&lt;/D&gt;&lt;D xsi:type="xsd:double"&gt;2.8146148&lt;/D&gt;&lt;D xsi:type="xsd:double"&gt;-2.063918&lt;/D&gt;&lt;D xsi:type="xsd:double"&gt;-1.1338949&lt;/D&gt;&lt;D xsi:type="xsd:double"&gt;-1.7249167&lt;/D&gt;&lt;D xsi:type="xsd:double"&gt;-8.806467&lt;/D&gt;&lt;D xsi:type="xsd:double"&gt;-0.5355656&lt;/D&gt;&lt;D xsi:type="xsd:double"&gt;-7.3027077&lt;/D&gt;&lt;D xsi:type="xsd:double"&gt;2.2797227&lt;/D&gt;&lt;D xsi:type="xsd:double"&gt;-3.727597&lt;/D&gt;&lt;D xsi:type="xsd:double"&gt;1.8987298&lt;/D&gt;&lt;D xsi:type="xsd:double"&gt;-3.0507863&lt;/D&gt;&lt;D xsi:type="xsd:double"&gt;-6.142825&lt;/D&gt;&lt;D xsi:type="xsd:double"&gt;2.429235&lt;/D&gt;&lt;D xsi:type="xsd:double"&gt;8.310461&lt;/D&gt;&lt;D xsi:type="xsd:double"&gt;-0.44879317&lt;/D&gt;&lt;D xsi:type="xsd:double"&gt;5.283296&lt;/D&gt;&lt;D xsi:type="xsd:double"&gt;-0.55372715&lt;/D&gt;&lt;D xsi:type="xsd:double"&gt;0.59161186&lt;/D&gt;&lt;D xsi:type="xsd:double"&gt;3.8574576&lt;/D&gt;&lt;D xsi:type="xsd:double"&gt;4.3625116&lt;/D&gt;&lt;D xsi:type="xsd:double"&gt;-0.9321809&lt;/D&gt;&lt;D xsi:type="xsd:double"&gt;-0.69760084&lt;/D&gt;&lt;D xsi:type="xsd:double"&gt;0.6534934&lt;/D&gt;&lt;D xsi:type="xsd:double"&gt;-3.343618&lt;/D&gt;&lt;D xsi:type="xsd:double"&gt;0.5709529&lt;/D&gt;&lt;D xsi:type="xsd:double"&gt;4.8255086&lt;/D&gt;&lt;D xsi:type="xsd:double"&gt;3.4932494&lt;/D&gt;&lt;D xsi:type="xsd:double"&gt;3.9956212&lt;/D&gt;&lt;D xsi:type="xsd:double"&gt;6.828761&lt;/D&gt;&lt;D xsi:type="xsd:double"&gt;-0.98341703&lt;/D&gt;&lt;D xsi:type="xsd:double"&gt;-3.0363321&lt;/D&gt;&lt;/FQL&gt;&lt;FQL&gt;&lt;Q&gt;VGK^P_PRICE(0)/P_PRICE_HIGH_PR(0,,,,,,"PRICE","INTRA","52W")&lt;/Q&gt;&lt;R&gt;1&lt;/R&gt;&lt;C&gt;1&lt;/C&gt;&lt;D xsi:type="xsd:double"&gt;1&lt;/D&gt;&lt;/FQL&gt;&lt;FQL&gt;&lt;Q&gt;EWN^FG_TOTAL_RETURNC(0,-3AM)&lt;/Q&gt;&lt;R&gt;1&lt;/R&gt;&lt;C&gt;1&lt;/C&gt;&lt;D xsi:type="xsd:double"&gt;6.3555717&lt;/D&gt;&lt;/FQL&gt;&lt;FQL&gt;&lt;Q&gt;QQQ^PERCENT_CHANGE(FMA_EPS(+1,0,,,,"PORTAGG","MEAN"),FMA_EPS(+1,-3AM,,,,"PORTAGG","MEAN"))&lt;/Q&gt;&lt;R&gt;1&lt;/R&gt;&lt;C&gt;1&lt;/C&gt;&lt;D xsi:type="xsd:double"&gt;-0.00862951605292527&lt;/D&gt;&lt;/FQL&gt;&lt;FQL&gt;&lt;Q&gt;VWO^FMA_COS_UP("EPS","1M",+1,0,,,"PORTAGG","MEANR")&lt;/Q&gt;&lt;R&gt;1&lt;/R&gt;&lt;C&gt;1&lt;/C&gt;&lt;D xsi:type="xsd:double"&gt;838&lt;/D&gt;&lt;/FQL&gt;&lt;FQL&gt;&lt;Q&gt;EWD^FG_ROE(0)&lt;/Q&gt;&lt;R&gt;1&lt;/R&gt;&lt;C&gt;1&lt;/C&gt;&lt;D xsi:type="xsd:double"&gt;16.2887254789292&lt;/D&gt;&lt;/FQL&gt;&lt;FQL&gt;&lt;Q&gt;REFNZOCR-FDS^FG_YIELD(NOW,,,0)&lt;/Q&gt;&lt;R&gt;1&lt;/R&gt;&lt;C&gt;1&lt;/C&gt;&lt;D xsi:type="xsd:double"&gt;5.5&lt;/D&gt;&lt;/FQL&gt;&lt;FQL&gt;&lt;Q&gt;TRYDE10Y-FDS^PCTCHG(FG_YIELD(0,,,,"YTM"),FG_YIELD(-1AM,,,,"YTM"))&lt;/Q&gt;&lt;R&gt;1&lt;/R&gt;&lt;C&gt;1&lt;/C&gt;&lt;D xsi:type="xsd:double"&gt;5.1411705&lt;/D&gt;&lt;/FQL&gt;&lt;FQL&gt;&lt;Q&gt;TRYJP10Y-FDS^FG_YIELD_NAME&lt;/Q&gt;&lt;R&gt;1&lt;/R&gt;&lt;C&gt;1&lt;/C&gt;&lt;D xsi:type="xsd:string"&gt;Japan Benchmark Bond - 10 Year&lt;/D&gt;&lt;/FQL&gt;&lt;FQL&gt;&lt;Q&gt;CC_NZ^IMF_IFS_RCPI_Q(0)&lt;/Q&gt;&lt;R&gt;1&lt;/R&gt;&lt;C&gt;1&lt;/C&gt;&lt;D xsi:type="xsd:double"&gt;4.022989&lt;/D&gt;&lt;/FQL&gt;&lt;FQL&gt;&lt;Q&gt;SPY^FMA_PE(NTMA,0,,,"PORTAGG","MEANR")&lt;/Q&gt;&lt;R&gt;1&lt;/R&gt;&lt;C&gt;1&lt;/C&gt;&lt;D xsi:type="xsd:double"&gt;20.349688941604&lt;/D&gt;&lt;/FQL&gt;&lt;FQL&gt;&lt;Q&gt;TRYIT10Y-FDS^PCTCHG(FG_YIELD(0,,,,"YTM"),FG_YIELD(-1AM,,,,"YTM"))&lt;/Q&gt;&lt;R&gt;1&lt;/R&gt;&lt;C&gt;1&lt;/C&gt;&lt;D xsi:type="xsd:double"&gt;2.7238421&lt;/D&gt;&lt;/FQL&gt;&lt;FQL&gt;&lt;Q&gt;EWJ^FMA_PE(NTMA,0,,,"PORTAGG","MEANR")&lt;/Q&gt;&lt;R&gt;1&lt;/R&gt;&lt;C&gt;1&lt;/C&gt;&lt;D xsi:type="xsd:double"&gt;15.4346607368914&lt;/D&gt;&lt;/FQL&gt;&lt;FQL&gt;&lt;Q&gt;USDCAD^STD(FG_PRICE_CHANGE(0,-3AY,M))&lt;/Q&gt;&lt;R&gt;1&lt;/R&gt;&lt;C&gt;1&lt;/C&gt;&lt;D xsi:type="xsd:double"&gt;1.84677137832339&lt;/D&gt;&lt;/FQL&gt;&lt;FQL&gt;&lt;Q&gt;URTH^FG_TOTAL_RETURNC(0,-3AM)&lt;/Q&gt;&lt;R&gt;1&lt;/R&gt;&lt;C&gt;1&lt;/C&gt;&lt;D xsi:type="xsd:double"&gt;4.5250177&lt;/D&gt;&lt;/FQL&gt;&lt;FQL&gt;&lt;Q&gt;EWN^FMA_PE(NTMA,0,,,"PORTAGG","MEANR")&lt;/Q&gt;&lt;R&gt;1&lt;/R&gt;&lt;C&gt;1&lt;/C&gt;&lt;D xsi:type="xsd:double"&gt;15.9548326456327&lt;/D&gt;&lt;/FQL&gt;&lt;FQL&gt;&lt;Q&gt;EWG^FMA_EVAL_EBITDA(NTMA,0,,,"PORTAGG","MEANR")&lt;/Q&gt;&lt;R&gt;1&lt;/R&gt;&lt;C&gt;1&lt;/C&gt;&lt;D xsi:type="xsd:double"&gt;8.35150642185312&lt;/D&gt;&lt;/FQL&gt;&lt;FQL&gt;&lt;Q&gt;EWI^FMA_PE(LTMA,-10AY,0,AM,"PORTAGG","MEANR")&lt;/Q&gt;&lt;R&gt;121&lt;/R&gt;&lt;C&gt;1&lt;/C&gt;&lt;D xsi:type="xsd:double"&gt;17.0669320017407&lt;/D&gt;&lt;D xsi:type="xsd:double"&gt;17.4369104562077&lt;/D&gt;&lt;D xsi:type="xsd:double"&gt;17.2012345261801&lt;/D&gt;&lt;D xsi:type="xsd:double"&gt;16.5911838533686&lt;/D&gt;&lt;D xsi:type="xsd:double"&gt;17.9757758230313&lt;/D&gt;&lt;D xsi:type="xsd:double"&gt;16.6998252092705&lt;/D&gt;&lt;D xsi:type="xsd:double"&gt;17.1607401359139&lt;/D&gt;&lt;D xsi:type="xsd:double"&gt;18.3381191285941&lt;/D&gt;&lt;D xsi:type="xsd:double"&gt;17.9847340611129&lt;/D&gt;&lt;D xsi:type="xsd:double"&gt;25.1964040353964&lt;/D&gt;&lt;D xsi:type="xsd:double"&gt;44.4168927775323&lt;/D&gt;&lt;D xsi:type="xsd:double"&gt;41.7212694998106&lt;/D&gt;&lt;D xsi:type="xsd:double"&gt;39.0103002593332&lt;/D&gt;&lt;D xsi:type="xsd:double"&gt;35.6615229797865&lt;/D&gt;&lt;D xsi:type="xsd:double"&gt;32.6801468976763&lt;/D&gt;&lt;D xsi:type="xsd:double"&gt;30.8630446414667&lt;/D&gt;&lt;D xsi:type="xsd:double"&gt;27.1851326848255&lt;/D&gt;&lt;D xsi:type="xsd:double"&gt;24.7980715969217&lt;/D&gt;&lt;D xsi:type="xsd:double"&gt;22.3631760480499&lt;/D&gt;&lt;D xsi:type="xsd:double"&gt;19.8787265380704&lt;/D&gt;&lt;D xsi:type="xsd:double"&gt;16.9106685130241&lt;/D&gt;&lt;D xsi:type="xsd:double"&gt;12.9046880760825&lt;/D&gt;&lt;D xsi:type="xsd:double"&gt;15.3861449759853&lt;/D&gt;&lt;D xsi:type="xsd:double"&gt;15.1288093531516&lt;/D&gt;&lt;D xsi:type="xsd:double"&gt;15.053083400576&lt;/D&gt;&lt;D xsi:type="xsd:double"&gt;15.0093415368214&lt;/D&gt;&lt;D xsi:type="xsd:double"&gt;14.3120535116153&lt;/D&gt;&lt;D xsi:type="xsd:double"&gt;15.0537138797208&lt;/D&gt;&lt;D xsi:type="xsd:double"&gt;15.0932806233599&lt;/D&gt;&lt;D xsi:type="xsd:double"&gt;14.6081785003475&lt;/D&gt;&lt;D xsi:type="xsd:double"&gt;14.7789758844801&lt;/D&gt;&lt;D xsi:type="xsd:double"&gt;15.600308867887&lt;/D&gt;&lt;D xsi:type="xsd:double"&gt;28.1376991349804&lt;/D&gt;&lt;D xsi:type="xsd:double"&gt;20.7790558734695&lt;/D&gt;&lt;D xsi:type="xsd:double"&gt;83.924408876483&lt;/D&gt;&lt;D xsi:type="xsd:double"&gt;77.1249139357744&lt;/D&gt;&lt;D xsi:type="xsd:double"&gt;69.8624462594076&lt;/D&gt;&lt;D xsi:type="xsd:double"&gt;62.4456491444949&lt;/D&gt;&lt;D xsi:type="xsd:double"&gt;55.8494317350026&lt;/D&gt;&lt;D xsi:type="xsd:double"&gt;48.3220967155886&lt;/D&gt;&lt;D xsi:type="xsd:double"&gt;41.2034559082728&lt;/D&gt;&lt;D xsi:type="xsd:double"&gt;34.3722437250861&lt;/D&gt;&lt;D xsi:type="xsd:double"&gt;27.2109894771594&lt;/D&gt;&lt;D xsi:type="xsd:double"&gt;20.9907625514815&lt;/D&gt;&lt;D xsi:type="xsd:double"&gt;15.7135831898475&lt;/D&gt;&lt;D xsi:type="xsd:double"&gt;14.2880606067901&lt;/D&gt;&lt;D xsi:type="xsd:double"&gt;14.213166354276&lt;/D&gt;&lt;D xsi:type="xsd:double"&gt;14.1179532479109&lt;/D&gt;&lt;D xsi:type="xsd:double"&gt;14.211198858281&lt;/D&gt;&lt;D xsi:type="xsd:double"&gt;13.3380397091967&lt;/D&gt;&lt;D xsi:type="xsd:double"&gt;13.3367711248521&lt;/D&gt;&lt;D xsi:type="xsd:double"&gt;13.1017799005037&lt;/D&gt;&lt;D xsi:type="xsd:double"&gt;12.3863291595943&lt;/D&gt;&lt;D xsi:type="xsd:double"&gt;12.0133621287197&lt;/D&gt;&lt;D xsi:type="xsd:double"&gt;11.4554618129675&lt;/D&gt;&lt;D xsi:type="xsd:double"&gt;10.8202107571258&lt;/D&gt;&lt;D xsi:type="xsd:double"&gt;10.8304073810994&lt;/D&gt;&lt;D xsi:type="xsd:double"&gt;10.7399408502187&lt;/D&gt;&lt;D xsi:type="xsd:double"&gt;11.2641008276793&lt;/D&gt;&lt;D xsi:type="xsd:double"&gt;11.3328103954688&lt;/D&gt;&lt;D xsi:type="xsd:double"&gt;11.1442072197864&lt;/D&gt;&lt;D xsi:type="xsd:double"&gt;10.9484591021744&lt;/D&gt;&lt;D xsi:type="xsd:double"&gt;11.2737490191427&lt;/D&gt;&lt;D xsi:type="xsd:double"&gt;10.8206329945518&lt;/D&gt;&lt;D xsi:type="xsd:double"&gt;11.29679596013&lt;/D&gt;&lt;D xsi:type="xsd:double"&gt;11.1390757684314&lt;/D&gt;&lt;D xsi:type="xsd:double"&gt;12.001388835943&lt;/D&gt;&lt;D xsi:type="xsd:double"&gt;11.769613313833&lt;/D&gt;&lt;D xsi:type="xsd:double"&gt;12.3204451105729&lt;/D&gt;&lt;D xsi:type="xsd:double"&gt;12.7266777283102&lt;/D&gt;&lt;D xsi:type="xsd:double"&gt;11.0365128931983&lt;/D&gt;&lt;D xsi:type="xsd:double"&gt;11.3594125527211&lt;/D&gt;&lt;D xsi:type="xsd:double"&gt;13.4476460483447&lt;/D&gt;&lt;D xsi:type="xsd:double"&gt;15.8254193625955&lt;/D&gt;&lt;D xsi:type="xsd:double"&gt;16.8089352443064&lt;/D&gt;&lt;D xsi:type="xsd:double"&gt;17.3334917203411&lt;/D&gt;&lt;D xsi:type="xsd:double"&gt;18.5168249778428&lt;/D&gt;&lt;D xsi:type="xsd:double"&gt;18.7647342688994&lt;/D&gt;&lt;D xsi:type="xsd:double"&gt;20.294125207479&lt;/D&gt;&lt;D xsi:type="xsd:double"&gt;22.5306498077803&lt;/D&gt;&lt;D xsi:type="xsd:double"&gt;23.8226769907425&lt;/D&gt;&lt;D xsi:type="xsd:double"&gt;21.2941926850088&lt;/D&gt;&lt;D xsi:type="xsd:double"&gt;20.163597467477&lt;/D&gt;&lt;D xsi:type="xsd:double"&gt;19.5983226751671&lt;/D&gt;&lt;D xsi:type="xsd:double"&gt;18.9365937865895&lt;/D&gt;&lt;D xsi:type="xsd:double"&gt;18.5738980017854&lt;/D&gt;&lt;D xsi:type="xsd:double"&gt;17.703134076901&lt;/D&gt;&lt;D xsi:type="xsd:double"&gt;16.3615530659419&lt;/D&gt;&lt;D xsi:type="xsd:double"&gt;15.3681567333771&lt;/D&gt;&lt;D xsi:type="xsd:double"&gt;14.6235703659098&lt;/D&gt;&lt;D xsi:type="xsd:double"&gt;13.8815058605929&lt;/D&gt;&lt;D xsi:type="xsd:double"&gt;12.432807573142&lt;/D&gt;&lt;D xsi:type="xsd:double"&gt;12.2306394402933&lt;/D&gt;&lt;D xsi:type="xsd:double"&gt;11.8222141905303&lt;/D&gt;&lt;D xsi:type="xsd:double"&gt;10.5664022184962&lt;/D&gt;&lt;D xsi:type="xsd:double"&gt;10.5389922310933&lt;/D&gt;&lt;D xsi:type="xsd:double"&gt;10.135506206432&lt;/D&gt;&lt;D xsi:type="xsd:double"&gt;9.88035501529469&lt;/D&gt;&lt;D xsi:type="xsd:double"&gt;9.32628435033607&lt;/D&gt;&lt;D xsi:type="xsd:double"&gt;8.88241807496404&lt;/D&gt;&lt;D xsi:type="xsd:double"&gt;8.47891126965454&lt;/D&gt;&lt;D xsi:type="xsd:double"&gt;8.00252786564641&lt;/D&gt;&lt;D xsi:type="xsd:double"&gt;8.31590474245923&lt;/D&gt;&lt;D xsi:type="xsd:double"&gt;7.71614793984135&lt;/D&gt;&lt;D xsi:type="xsd:double"&gt;7.85987349203501&lt;/D&gt;&lt;D xsi:type="xsd:double"&gt;8.322473520743&lt;/D&gt;&lt;D xsi:type="xsd:double"&gt;8.31910041825226&lt;/D&gt;&lt;D xsi:type="xsd:double"&gt;8.3333126965669&lt;/D&gt;&lt;D xsi:type="xsd:double"&gt;8.308775630507&lt;/D&gt;&lt;D xsi:type="xsd:double"&gt;8.44372267252691&lt;/D&gt;&lt;D xsi:type="xsd:double"&gt;8.53090703596223&lt;/D&gt;&lt;D xsi:type="xsd:double"&gt;8.25220230696088&lt;/D&gt;&lt;D xsi:type="xsd:double"&gt;8.30332205051294&lt;/D&gt;&lt;D xsi:type="xsd:double"&gt;8.08652564341676&lt;/D&gt;&lt;D xsi:type="xsd:double"&gt;8.15563628222955&lt;/D&gt;&lt;D xsi:type="xsd:double"&gt;8.7951273803108&lt;/D&gt;&lt;D xsi:type="xsd:double"&gt;8.92943320939297&lt;/D&gt;&lt;D xsi:type="xsd:double"&gt;9.0843759536886&lt;/D&gt;&lt;D xsi:type="xsd:double"&gt;9.38589187618424&lt;/D&gt;&lt;D xsi:type="xsd:double"&gt;9.43021630728211&lt;/D&gt;&lt;D xsi:type="xsd:double"&gt;9.52133648556804&lt;/D&gt;&lt;/FQL&gt;&lt;FQL&gt;&lt;Q&gt;PASP-FDS^FG_PRICE_CHANGE(0,-6AM)&lt;/Q&gt;&lt;R&gt;1&lt;/R&gt;&lt;C&gt;1&lt;/C&gt;&lt;D xsi:type="xsd:double"&gt;-7.69230769230769&lt;/D&gt;&lt;/FQL&gt;&lt;FQL&gt;&lt;Q&gt;W-FDS^FG_PRICE_CHANGE(0,-3AM)&lt;/Q&gt;&lt;R&gt;1&lt;/R&gt;&lt;C&gt;1&lt;/C&gt;&lt;D xsi:type="xsd:double"&gt;3.8542103058232&lt;/D&gt;&lt;/FQL&gt;&lt;FQL&gt;&lt;Q&gt;EWQ^FG_PRICE(0)&lt;/Q&gt;&lt;R&gt;1&lt;/R&gt;&lt;C&gt;1&lt;/C&gt;&lt;D xsi:type="xsd:double"&gt;41.97&lt;/D&gt;&lt;/FQL&gt;&lt;FQL&gt;&lt;Q&gt;EWA^FG_PRICE_MAVG(0,,,,30)&lt;/Q&gt;&lt;R&gt;1&lt;/R&gt;&lt;C&gt;1&lt;/C&gt;&lt;D xsi:type="xsd:double"&gt;24.058332&lt;/D&gt;&lt;/FQL&gt;&lt;FQL&gt;&lt;Q&gt;EWA^FG_TOTAL_RETURNC(0,-3AM)&lt;/Q&gt;&lt;R&gt;1&lt;/R&gt;&lt;C&gt;1&lt;/C&gt;&lt;D xsi:type="xsd:double"&gt;3.551793&lt;/D&gt;&lt;/FQL&gt;&lt;FQL&gt;&lt;Q&gt;EWU^SIZE(FG_CONSTITUENTS)&lt;/Q&gt;&lt;R&gt;1&lt;/R&gt;&lt;C&gt;1&lt;/C&gt;&lt;D xsi:type="xsd:long"&gt;85&lt;/D&gt;&lt;/FQL&gt;&lt;FQL&gt;&lt;Q&gt;EWL^FMA_PE(LTM,0,,,"PORTAGG","MEANR")&lt;/Q&gt;&lt;R&gt;1&lt;/R&gt;&lt;C&gt;1&lt;/C&gt;&lt;D xsi:type="xsd:double"&gt;15.234973408208&lt;/D&gt;&lt;/FQL&gt;&lt;FQL&gt;&lt;Q&gt;EWA^FMA_EVAL_EBITDA(NTMA,0,,,"PORTAGG","MEANR")&lt;/Q&gt;&lt;R&gt;1&lt;/R&gt;&lt;C&gt;1&lt;/C&gt;&lt;D xsi:type="xsd:double"&gt;8.5681435246479&lt;/D&gt;&lt;/FQL&gt;&lt;FQL&gt;&lt;Q&gt;ENZL^P_PRICE(0)/P_PRICE_LOW_PR(0,,,,,,"PRICE","INTRA","52W")-1&lt;/Q&gt;&lt;R&gt;1&lt;/R&gt;&lt;C&gt;1&lt;/C&gt;&lt;D xsi:type="xsd:double"&gt;0.10358&lt;/D&gt;&lt;/FQL&gt;&lt;FQL&gt;&lt;Q&gt;PLATI-FDS^FG_PRICE_CHANGE(0,-1AY)&lt;/Q&gt;&lt;R&gt;1&lt;/R&gt;&lt;C&gt;1&lt;/C&gt;&lt;D xsi:type="xsd:double"&gt;-10.989010989011&lt;/D&gt;&lt;/FQL&gt;&lt;FQL&gt;&lt;Q&gt;VGK^FG_PE_NTM(0,,,90,0)&lt;/Q&gt;&lt;R&gt;1&lt;/R&gt;&lt;C&gt;1&lt;/C&gt;&lt;D xsi:type="xsd:double"&gt;13.6709040597542&lt;/D&gt;&lt;/FQL&gt;&lt;FQL&gt;&lt;Q&gt;UUP^P_PRICE(0)/P_PRICE_HIGH_PR(0,,,USD,,,"PRICE","INTRA","52W")&lt;/Q&gt;&lt;R&gt;1&lt;/R&gt;&lt;C&gt;1&lt;/C&gt;&lt;D xsi:type="xsd:double"&gt;0.9514338&lt;/D&gt;&lt;/FQL&gt;&lt;FQL&gt;&lt;Q&gt;SPY^FG_TOTAL_RETURNC(0,-12AM)&lt;/Q&gt;&lt;R&gt;1&lt;/R&gt;&lt;C&gt;1&lt;/C&gt;&lt;D xsi:type="xsd:double"&gt;28.427578&lt;/D&gt;&lt;/FQL&gt;&lt;FQL&gt;&lt;Q&gt;CAGDPY@SE^EE_ACTUAL_ANNUAL(MED,0)&lt;/Q&gt;&lt;R&gt;1&lt;/R&gt;&lt;C&gt;1&lt;/C&gt;&lt;D xsi:type="xsd:double"&gt;6.76905401199225&lt;/D&gt;&lt;/FQL&gt;&lt;FQL&gt;&lt;Q&gt;USDEUR^FG_PRICE_CHANGE(0,-3AM)&lt;/Q&gt;&lt;R&gt;1&lt;/R&gt;&lt;C&gt;1&lt;/C&gt;&lt;D xsi:type="xsd:double"&gt;0.09279251&lt;/D&gt;&lt;/FQL&gt;&lt;FQL&gt;&lt;Q&gt;SPY^FMA_EPS(NTMA,-20AY,0,CY,,"PORTAGG","MEANR")&lt;/Q&gt;&lt;R&gt;20&lt;/R&gt;&lt;C&gt;1&lt;/C&gt;&lt;D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xsi:type="xsd:double"&gt;17.7294354307027&lt;/D&gt;&lt;D xsi:type="xsd:double"&gt;16.6617703337835&lt;/D&gt;&lt;D xsi:type="xsd:double"&gt;22.2767073880581&lt;/D&gt;&lt;D xsi:type="xsd:double"&gt;22.9687104706434&lt;/D&gt;&lt;D xsi:type="xsd:double"&gt;24.3449868014255&lt;/D&gt;&lt;/FQL&gt;&lt;FQL&gt;&lt;Q&gt;EWN^FG_TOTAL_RETURNC(0,-1AM)&lt;/Q&gt;&lt;R&gt;1&lt;/R&gt;&lt;C&gt;1&lt;/C&gt;&lt;D xsi:type="xsd:double"&gt;1.083684&lt;/D&gt;&lt;/FQL&gt;&lt;FQL&gt;&lt;Q&gt;QQQ^PERCENT_CHANGE(FMA_EPS(+1,0,,,,"PORTAGG","MEAN"),FMA_EPS(+1,-1AM,,,,"PORTAGG","MEAN"))&lt;/Q&gt;&lt;R&gt;1&lt;/R&gt;&lt;C&gt;1&lt;/C&gt;&lt;D xsi:type="xsd:double"&gt;-0.287149135736504&lt;/D&gt;&lt;/FQL&gt;&lt;FQL&gt;&lt;Q&gt;VGK^SIZE(FG_CONSTITUENTS)&lt;/Q&gt;&lt;R&gt;1&lt;/R&gt;&lt;C&gt;1&lt;/C&gt;&lt;D xsi:type="xsd:long"&gt;1280&lt;/D&gt;&lt;/FQL&gt;&lt;FQL&gt;&lt;Q&gt;EWN^FG_ROE(0)&lt;/Q&gt;&lt;R&gt;1&lt;/R&gt;&lt;C&gt;1&lt;/C&gt;&lt;D xsi:type="xsd:double"&gt;11.6637686072044&lt;/D&gt;&lt;/FQL&gt;&lt;FQL&gt;&lt;Q&gt;REFNZOCR-FDS^PROPER_NAME(0,,,"SECURITY","NAME")&lt;/Q&gt;&lt;R&gt;1&lt;/R&gt;&lt;C&gt;1&lt;/C&gt;&lt;D xsi:type="xsd:string"&gt;New Zealand Official Cash Rate&lt;/D&gt;&lt;/FQL&gt;&lt;FQL&gt;&lt;Q&gt;TRYCA10Y-FDS^PCTCHG(FG_YIELD(0,,,,"YTM"),FG_YIELD(-3AM,,,,"YTM"))&lt;/Q&gt;&lt;R&gt;1&lt;/R&gt;&lt;C&gt;1&lt;/C&gt;&lt;D xsi:type="xsd:double"&gt;2.1556356&lt;/D&gt;&lt;/FQL&gt;&lt;FQL&gt;&lt;Q&gt;TRYDE10Y-FDS^FG_YIELD(0,,,,"YTM")&lt;/Q&gt;&lt;R&gt;1&lt;/R&gt;&lt;C&gt;1&lt;/C&gt;&lt;D xsi:type="xsd:double"&gt;2.495&lt;/D&gt;&lt;/FQL&gt;&lt;FQL&gt;&lt;Q&gt;VWO^FMA_EVAL_EBIT(LTMA,NOW,NOW,M,"PORTAGG","MEANR")&lt;/Q&gt;&lt;R&gt;1&lt;/R&gt;&lt;C&gt;1&lt;/C&gt;&lt;D xsi:type="xsd:double"&gt;14.3855573951628&lt;/D&gt;&lt;/FQL&gt;&lt;FQL&gt;&lt;Q&gt;EWD^FMA_PE(LTM,0,,,"PORTAGG","MEANR")&lt;/Q&gt;&lt;R&gt;1&lt;/R&gt;&lt;C&gt;1&lt;/C&gt;&lt;D xsi:type="xsd:double"&gt;14.3507113620819&lt;/D&gt;&lt;/FQL&gt;&lt;FQL&gt;&lt;Q&gt;SPY^FMA_PE(LTM,0,,,"PORTAGG","MEANR")&lt;/Q&gt;&lt;R&gt;1&lt;/R&gt;&lt;C&gt;1&lt;/C&gt;&lt;D xsi:type="xsd:double"&gt;25.5576945382472&lt;/D&gt;&lt;/FQL&gt;&lt;FQL&gt;&lt;Q&gt;EWL^JULIAN(FMA_DIV_YLD(NTMA,NOW,NOW,M,"PORTAGG","MEANR").DATES)&lt;/Q&gt;&lt;R&gt;1&lt;/R&gt;&lt;C&gt;1&lt;/C&gt;&lt;D xsi:type="xsd:long"&gt;45412&lt;/D&gt;&lt;/FQL&gt;&lt;FQL&gt;&lt;Q&gt;DBA^FG_TOTAL_RETURNC(0,-6AM)&lt;/Q&gt;&lt;R&gt;1&lt;/R&gt;&lt;C&gt;1&lt;/C&gt;&lt;D xsi:type="xsd:double"&gt;15.295482&lt;/D&gt;&lt;/FQL&gt;&lt;FQL&gt;&lt;Q&gt;USDITL^FG_PRICE_CHANGE(0,-6AM)&lt;/Q&gt;&lt;R&gt;1&lt;/R&gt;&lt;C&gt;1&lt;/C&gt;&lt;D xsi:type="xsd:double"&gt;-0.56604147&lt;/D&gt;&lt;/FQL&gt;&lt;FQL&gt;&lt;Q&gt;PASP-FDS^FG_PRICE_CHANGE(0,-3AM)&lt;/Q&gt;&lt;R&gt;1&lt;/R&gt;&lt;C&gt;1&lt;/C&gt;&lt;D xsi:type="xsd:double"&gt;7.86516853932584&lt;/D&gt;&lt;/FQL&gt;&lt;FQL&gt;&lt;Q&gt;SPY^FG_PRICE_MAVG(0,,,,200)&lt;/Q&gt;&lt;R&gt;1&lt;/R&gt;&lt;C&gt;1&lt;/C&gt;&lt;D xsi:type="xsd:double"&gt;470.42975&lt;/D&gt;&lt;/FQL&gt;&lt;FQL&gt;&lt;Q&gt;EWA^FG_PRICE(0)&lt;/Q&gt;&lt;R&gt;1&lt;/R&gt;&lt;C&gt;1&lt;/C&gt;&lt;D xsi:type="xsd:double"&gt;24.49&lt;/D&gt;&lt;/FQL&gt;&lt;FQL&gt;&lt;Q&gt;EWJ^FMA_EVAL_EBIT(LTMA,NOW,NOW,M,"PORTAGG","MEANR")&lt;/Q&gt;&lt;R&gt;1&lt;/R&gt;&lt;C&gt;1&lt;/C&gt;&lt;D xsi:type="xsd:double"&gt;17.9821576383159&lt;/D&gt;&lt;/FQL&gt;&lt;FQL&gt;&lt;Q&gt;VWO^P_PRICE(0)/P_PRICE_HIGH_PR(0,,,USD,,,"PRICE","INTRA","52W")&lt;/Q&gt;&lt;R&gt;1&lt;/R&gt;&lt;C&gt;1&lt;/C&gt;&lt;D xsi:type="xsd:double"&gt;0.9935853&lt;/D&gt;&lt;/FQL&gt;&lt;FQL&gt;&lt;Q&gt;EWU^FG_TOTAL_RETURNC(0,-12AM)&lt;/Q&gt;&lt;R&gt;1&lt;/R&gt;&lt;C&gt;1&lt;/C&gt;&lt;D xsi:type="xsd:double"&gt;11.791825&lt;/D&gt;&lt;/FQL&gt;&lt;FQL&gt;&lt;Q&gt;VGK^FMA_COS_UP("EPS","1M",+1,0,,,"PORTAGG","MEANR")&lt;/Q&gt;&lt;R&gt;1&lt;/R&gt;&lt;C&gt;1&lt;/C&gt;&lt;D xsi:type="xsd:double"&gt;425&lt;/D&gt;&lt;/FQL&gt;&lt;FQL&gt;&lt;Q&gt;TRYCA10Y-FDS^FG_YIELD(0,,,,"YTM")&lt;/Q&gt;&lt;R&gt;1&lt;/R&gt;&lt;C&gt;1&lt;/C&gt;&lt;D xsi:type="xsd:double"&gt;3.6206&lt;/D&gt;&lt;/FQL&gt;&lt;FQL&gt;&lt;Q&gt;EWN^FMA_EVAL_EBIT(LTMA,NOW,NOW,M,"PORTAGG","MEANR")&lt;/Q&gt;&lt;R&gt;1&lt;/R&gt;&lt;C&gt;1&lt;/C&gt;&lt;D xsi:type="xsd:double"&gt;21.9357074692719&lt;/D&gt;&lt;/FQL&gt;&lt;FQL&gt;&lt;Q&gt;TRYPH10Y-FDS^FG_YIELD(-10AY,0,Y,,"YTM")&lt;/Q&gt;&lt;R&gt;10&lt;/R&gt;&lt;C&gt;1&lt;/C&gt;&lt;D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xsi:type="xsd:double"&gt;6.0028777&lt;/D&gt;&lt;/FQL&gt;&lt;FQL&gt;&lt;Q&gt;EWC^FG_TOTAL_RETURNC(-10AY,0,AM)&lt;/Q&gt;&lt;R&gt;121&lt;/R&gt;&lt;C&gt;1&lt;/C&gt;&lt;D xsi:type="xsd:double"&gt;0.62913895&lt;/D&gt;&lt;D xsi:type="xsd:double"&gt;2.1717668&lt;/D&gt;&lt;D xsi:type="xsd:double"&gt;5.3489923&lt;/D&gt;&lt;D xsi:type="xsd:double"&gt;-2.648598&lt;/D&gt;&lt;D xsi:type="xsd:double"&gt;2.7839303&lt;/D&gt;&lt;D xsi:type="xsd:double"&gt;-8.525705&lt;/D&gt;&lt;D xsi:type="xsd:double"&gt;0.43741465&lt;/D&gt;&lt;D xsi:type="xsd:double"&gt;-3.986603&lt;/D&gt;&lt;D xsi:type="xsd:double"&gt;-2.227199&lt;/D&gt;&lt;D xsi:type="xsd:double"&gt;0.5788684&lt;/D&gt;&lt;D xsi:type="xsd:double"&gt;-2.3021579&lt;/D&gt;&lt;D xsi:type="xsd:double"&gt;3.534615&lt;/D&gt;&lt;D xsi:type="xsd:double"&gt;2.8805137&lt;/D&gt;&lt;D xsi:type="xsd:double"&gt;-4.5281706&lt;/D&gt;&lt;D xsi:type="xsd:double"&gt;-5.979782&lt;/D&gt;&lt;D xsi:type="xsd:double"&gt;-2.3670971&lt;/D&gt;&lt;D xsi:type="xsd:double"&gt;-6.359303&lt;/D&gt;&lt;D xsi:type="xsd:double"&gt;5.7724953&lt;/D&gt;&lt;D xsi:type="xsd:double"&gt;-6.05939&lt;/D&gt;&lt;D xsi:type="xsd:double"&gt;-5.6813297&lt;/D&gt;&lt;D xsi:type="xsd:double"&gt;-7.9605637&lt;/D&gt;&lt;D xsi:type="xsd:double"&gt;0.74813366&lt;/D&gt;&lt;D xsi:type="xsd:double"&gt;14.356434&lt;/D&gt;&lt;D xsi:type="xsd:double"&gt;1.7315984&lt;/D&gt;&lt;D xsi:type="xsd:double"&gt;1.2765884&lt;/D&gt;&lt;D xsi:type="xsd:double"&gt;7.058823&lt;/D&gt;&lt;D xsi:type="xsd:double"&gt;-2.5287747&lt;/D&gt;&lt;D xsi:type="xsd:double"&gt;3.4090877&lt;/D&gt;&lt;D xsi:type="xsd:double"&gt;-0.5101979&lt;/D&gt;&lt;D xsi:type="xsd:double"&gt;-0.8284092&lt;/D&gt;&lt;D xsi:type="xsd:double"&gt;1.2331009&lt;/D&gt;&lt;D xsi:type="xsd:double"&gt;5.8546185&lt;/D&gt;&lt;D xsi:type="xsd:double"&gt;0.099396706&lt;/D&gt;&lt;D xsi:type="xsd:double"&gt;2.209735&lt;/D&gt;&lt;D xsi:type="xsd:double"&gt;-2.8948367&lt;/D&gt;&lt;D xsi:type="xsd:double"&gt;1.3962269&lt;/D&gt;&lt;D xsi:type="xsd:double"&gt;-2.7540088&lt;/D&gt;&lt;D xsi:type="xsd:double"&gt;1.4542699&lt;/D&gt;&lt;D xsi:type="xsd:double"&gt;1.7755747&lt;/D&gt;&lt;D xsi:type="xsd:double"&gt;2.9521585&lt;/D&gt;&lt;D xsi:type="xsd:double"&gt;2.6497364&lt;/D&gt;&lt;D xsi:type="xsd:double"&gt;2.404523&lt;/D&gt;&lt;D xsi:type="xsd:double"&gt;1.5538692&lt;/D&gt;&lt;D xsi:type="xsd:double"&gt;-0.9180546&lt;/D&gt;&lt;D xsi:type="xsd:double"&gt;4.825914&lt;/D&gt;&lt;D xsi:type="xsd:double"&gt;-8.919102&lt;/D&gt;&lt;D xsi:type="xsd:double"&gt;2.0021915&lt;/D&gt;&lt;D xsi:type="xsd:double"&gt;-1.1777282&lt;/D&gt;&lt;D xsi:type="xsd:double"&gt;3.5030723&lt;/D&gt;&lt;D xsi:type="xsd:double"&gt;1.360774&lt;/D&gt;&lt;D xsi:type="xsd:double"&gt;0.37760735&lt;/D&gt;&lt;D xsi:type="xsd:double"&gt;0.65675974&lt;/D&gt;&lt;D xsi:type="xsd:double"&gt;-3.296709&lt;/D&gt;&lt;D xsi:type="xsd:double"&gt;0.78125&lt;/D&gt;&lt;D xsi:type="xsd:double"&gt;-5.637765&lt;/D&gt;&lt;D xsi:type="xsd:double"&gt;-3.659451&lt;/D&gt;&lt;D xsi:type="xsd:double"&gt;1.1226416&lt;/D&gt;&lt;D xsi:type="xsd:double"&gt;5.027282&lt;/D&gt;&lt;D xsi:type="xsd:double"&gt;1.3729095&lt;/D&gt;&lt;D xsi:type="xsd:double"&gt;3.1844854&lt;/D&gt;&lt;D xsi:type="xsd:double"&gt;-0.6739974&lt;/D&gt;&lt;D xsi:type="xsd:double"&gt;0.5357146&lt;/D&gt;&lt;D xsi:type="xsd:double"&gt;3.5612583&lt;/D&gt;&lt;D xsi:type="xsd:double"&gt;-2.4922073&lt;/D&gt;&lt;D xsi:type="xsd:double"&gt;1.6684413&lt;/D&gt;&lt;D xsi:type="xsd:double"&gt;-1.7458081&lt;/D&gt;&lt;D xsi:type="xsd:double"&gt;4.690826&lt;/D&gt;&lt;D xsi:type="xsd:double"&gt;0.06788969&lt;/D&gt;&lt;D xsi:type="xsd:double"&gt;3.2254338&lt;/D&gt;&lt;D xsi:type="xsd:double"&gt;0.33299923&lt;/D&gt;&lt;D xsi:type="xsd:double"&gt;-20.643871&lt;/D&gt;&lt;D xsi:type="xsd:double"&gt;-3.2204092&lt;/D&gt;&lt;D xsi:type="xsd:double"&gt;6.1365604&lt;/D&gt;&lt;D xsi:type="xsd:double"&gt;9.975576&lt;/D&gt;&lt;D xsi:type="xsd:double"&gt;-3.1443954&lt;/D&gt;&lt;D xsi:type="xsd:double"&gt;7.9150677&lt;/D&gt;&lt;D xsi:type="xsd:double"&gt;1.0733366&lt;/D&gt;&lt;D xsi:type="xsd:double"&gt;1.2389421&lt;/D&gt;&lt;D xsi:type="xsd:double"&gt;0.17482042&lt;/D&gt;&lt;D xsi:type="xsd:double"&gt;9.42409&lt;/D&gt;&lt;D xsi:type="xsd:double"&gt;3.7061095&lt;/D&gt;&lt;D xsi:type="xsd:double"&gt;1.7751455&lt;/D&gt;&lt;D xsi:type="xsd:double"&gt;2.5091767&lt;/D&gt;&lt;D xsi:type="xsd:double"&gt;4.68657&lt;/D&gt;&lt;D xsi:type="xsd:double"&gt;4.9615145&lt;/D&gt;&lt;D xsi:type="xsd:double"&gt;3.232813&lt;/D&gt;&lt;D xsi:type="xsd:double"&gt;-1.3438284&lt;/D&gt;&lt;D xsi:type="xsd:double"&gt;0.2952218&lt;/D&gt;&lt;D xsi:type="xsd:double"&gt;0.34787655&lt;/D&gt;&lt;D xsi:type="xsd:double"&gt;0.55999756&lt;/D&gt;&lt;D xsi:type="xsd:double"&gt;5.701411&lt;/D&gt;&lt;D xsi:type="xsd:double"&gt;-4.490721&lt;/D&gt;&lt;D xsi:type="xsd:double"&gt;1.9329906&lt;/D&gt;&lt;D xsi:type="xsd:double"&gt;2.5319695&lt;/D&gt;&lt;D xsi:type="xsd:double"&gt;-2.1130323&lt;/D&gt;&lt;D xsi:type="xsd:double"&gt;3.7451148&lt;/D&gt;&lt;D xsi:type="xsd:double"&gt;-11.281025&lt;/D&gt;&lt;D xsi:type="xsd:double"&gt;5.3855896&lt;/D&gt;&lt;D xsi:type="xsd:double"&gt;-8.833063&lt;/D&gt;&lt;D xsi:type="xsd:double"&gt;3.170371&lt;/D&gt;&lt;D xsi:type="xsd:double"&gt;0.20103455&lt;/D&gt;&lt;D xsi:type="xsd:double"&gt;-10.662079&lt;/D&gt;&lt;D xsi:type="xsd:double"&gt;5.935192&lt;/D&gt;&lt;D xsi:type="xsd:double"&gt;2.5136232&lt;/D&gt;&lt;D xsi:type="xsd:double"&gt;1.7568707&lt;/D&gt;&lt;D xsi:type="xsd:double"&gt;3.3284307&lt;/D&gt;&lt;D xsi:type="xsd:double"&gt;-4.8460665&lt;/D&gt;&lt;D xsi:type="xsd:double"&gt;3.3553004&lt;/D&gt;&lt;D xsi:type="xsd:double"&gt;2.9275298&lt;/D&gt;&lt;D xsi:type="xsd:double"&gt;-2.99775&lt;/D&gt;&lt;D xsi:type="xsd:double"&gt;0.6744981&lt;/D&gt;&lt;D xsi:type="xsd:double"&gt;1.3981938&lt;/D&gt;&lt;D xsi:type="xsd:double"&gt;-2.2982001&lt;/D&gt;&lt;D xsi:type="xsd:double"&gt;-2.5580704&lt;/D&gt;&lt;D xsi:type="xsd:double"&gt;0.120699406&lt;/D&gt;&lt;D xsi:type="xsd:double"&gt;5.666065&lt;/D&gt;&lt;D xsi:type="xsd:double"&gt;5.0920367&lt;/D&gt;&lt;D xsi:type="xsd:double"&gt;-0.027507544&lt;/D&gt;&lt;D xsi:type="xsd:double"&gt;3.4947753&lt;/D&gt;&lt;D xsi:type="xsd:double"&gt;2.419567&lt;/D&gt;&lt;D xsi:type="xsd:double"&gt;-0.6230593&lt;/D&gt;&lt;/FQL&gt;&lt;FQL&gt;&lt;Q&gt;EWD^FMA_PE(LTMA,-10AY,0,AM,"PORTAGG","MEANR")&lt;/Q&gt;&lt;R&gt;121&lt;/R&gt;&lt;C&gt;1&lt;/C&gt;&lt;D xsi:type="xsd:double"&gt;15.4769459623595&lt;/D&gt;&lt;D xsi:type="xsd:double"&gt;15.7981718444561&lt;/D&gt;&lt;D xsi:type="xsd:double"&gt;15.804605720265&lt;/D&gt;&lt;D xsi:type="xsd:double"&gt;15.6603574981335&lt;/D&gt;&lt;D xsi:type="xsd:double"&gt;15.8332956529992&lt;/D&gt;&lt;D xsi:type="xsd:double"&gt;15.3985527326239&lt;/D&gt;&lt;D xsi:type="xsd:double"&gt;16.6450859233152&lt;/D&gt;&lt;D xsi:type="xsd:double"&gt;17.3595489694312&lt;/D&gt;&lt;D xsi:type="xsd:double"&gt;17.3501845842365&lt;/D&gt;&lt;D xsi:type="xsd:double"&gt;18.9175639431173&lt;/D&gt;&lt;D xsi:type="xsd:double"&gt;20.1536880982346&lt;/D&gt;&lt;D xsi:type="xsd:double"&gt;19.9031268324798&lt;/D&gt;&lt;D xsi:type="xsd:double"&gt;19.1411090214752&lt;/D&gt;&lt;D xsi:type="xsd:double"&gt;18.921257356373&lt;/D&gt;&lt;D xsi:type="xsd:double"&gt;18.4282398096743&lt;/D&gt;&lt;D xsi:type="xsd:double"&gt;18.53745497413&lt;/D&gt;&lt;D xsi:type="xsd:double"&gt;17.4399780300281&lt;/D&gt;&lt;D xsi:type="xsd:double"&gt;17.0746739120283&lt;/D&gt;&lt;D xsi:type="xsd:double"&gt;16.9897627917953&lt;/D&gt;&lt;D xsi:type="xsd:double"&gt;16.3018516870773&lt;/D&gt;&lt;D xsi:type="xsd:double"&gt;14.8563815503764&lt;/D&gt;&lt;D xsi:type="xsd:double"&gt;14.1843509515804&lt;/D&gt;&lt;D xsi:type="xsd:double"&gt;15.6363490903444&lt;/D&gt;&lt;D xsi:type="xsd:double"&gt;15.5686234328624&lt;/D&gt;&lt;D xsi:type="xsd:double"&gt;15.5317168894061&lt;/D&gt;&lt;D xsi:type="xsd:double"&gt;15.4813459600807&lt;/D&gt;&lt;D xsi:type="xsd:double"&gt;15.3556729210987&lt;/D&gt;&lt;D xsi:type="xsd:double"&gt;16.0239106151685&lt;/D&gt;&lt;D xsi:type="xsd:double"&gt;16.0850630095338&lt;/D&gt;&lt;D xsi:type="xsd:double"&gt;16.6014571677665&lt;/D&gt;&lt;D xsi:type="xsd:double"&gt;17.0761527826424&lt;/D&gt;&lt;D xsi:type="xsd:do</t>
        </r>
      </text>
    </comment>
    <comment ref="A12" authorId="0" shapeId="0" xr:uid="{4074EADA-6551-45B1-8484-D816A6D690D4}">
      <text>
        <r>
          <rPr>
            <b/>
            <sz val="9"/>
            <color indexed="81"/>
            <rFont val="Tahoma"/>
            <charset val="1"/>
          </rPr>
          <t>uble"&gt;18.0715369323263&lt;/D&gt;&lt;D xsi:type="xsd:double"&gt;18.0978367518161&lt;/D&gt;&lt;D xsi:type="xsd:double"&gt;17.943887209202&lt;/D&gt;&lt;D xsi:type="xsd:double"&gt;17.4366358667746&lt;/D&gt;&lt;D xsi:type="xsd:double"&gt;17.5673085890507&lt;/D&gt;&lt;D xsi:type="xsd:double"&gt;17.7209487844412&lt;/D&gt;&lt;D xsi:type="xsd:double"&gt;17.6468614598417&lt;/D&gt;&lt;D xsi:type="xsd:double"&gt;17.5805879425515&lt;/D&gt;&lt;D xsi:type="xsd:double"&gt;17.0583592564286&lt;/D&gt;&lt;D xsi:type="xsd:double"&gt;16.9373572160079&lt;/D&gt;&lt;D xsi:type="xsd:double"&gt;17.6884312756097&lt;/D&gt;&lt;D xsi:type="xsd:double"&gt;18.3065804038772&lt;/D&gt;&lt;D xsi:type="xsd:double"&gt;18.06014548616&lt;/D&gt;&lt;D xsi:type="xsd:double"&gt;18.5072584114351&lt;/D&gt;&lt;D xsi:type="xsd:double"&gt;16.1654813673167&lt;/D&gt;&lt;D xsi:type="xsd:double"&gt;16.9807111730829&lt;/D&gt;&lt;D xsi:type="xsd:double"&gt;16.7303784213034&lt;/D&gt;&lt;D xsi:type="xsd:double"&gt;16.8765289421961&lt;/D&gt;&lt;D xsi:type="xsd:double"&gt;16.5264792034606&lt;/D&gt;&lt;D xsi:type="xsd:double"&gt;16.528003915135&lt;/D&gt;&lt;D xsi:type="xsd:double"&gt;16.6820203994259&lt;/D&gt;&lt;D xsi:type="xsd:double"&gt;16.5525170140672&lt;/D&gt;&lt;D xsi:type="xsd:double"&gt;16.3759280929293&lt;/D&gt;&lt;D xsi:type="xsd:double"&gt;15.2068225607652&lt;/D&gt;&lt;D xsi:type="xsd:double"&gt;14.2681216471785&lt;/D&gt;&lt;D xsi:type="xsd:double"&gt;14.4561565052809&lt;/D&gt;&lt;D xsi:type="xsd:double"&gt;16.7663383199979&lt;/D&gt;&lt;D xsi:type="xsd:double"&gt;18.0503338996137&lt;/D&gt;&lt;D xsi:type="xsd:double"&gt;17.8329677146586&lt;/D&gt;&lt;D xsi:type="xsd:double"&gt;17.5545823034733&lt;/D&gt;&lt;D xsi:type="xsd:double"&gt;17.1106943260775&lt;/D&gt;&lt;D xsi:type="xsd:double"&gt;17.1385575938063&lt;/D&gt;&lt;D xsi:type="xsd:double"&gt;15.9687518736928&lt;/D&gt;&lt;D xsi:type="xsd:double"&gt;16.0643530708143&lt;/D&gt;&lt;D xsi:type="xsd:double"&gt;16.1950011396824&lt;/D&gt;&lt;D xsi:type="xsd:double"&gt;17.0747681711679&lt;/D&gt;&lt;D xsi:type="xsd:double"&gt;15.9034220566104&lt;/D&gt;&lt;D xsi:type="xsd:double"&gt;16.436302432675&lt;/D&gt;&lt;D xsi:type="xsd:double"&gt;14.0504937587659&lt;/D&gt;&lt;D xsi:type="xsd:double"&gt;12.7125525177208&lt;/D&gt;&lt;D xsi:type="xsd:double"&gt;13.61637114756&lt;/D&gt;&lt;D xsi:type="xsd:double"&gt;15.1996961122356&lt;/D&gt;&lt;D xsi:type="xsd:double"&gt;16.5496353692824&lt;/D&gt;&lt;D xsi:type="xsd:double"&gt;17.5419245451068&lt;/D&gt;&lt;D xsi:type="xsd:double"&gt;17.3030558928166&lt;/D&gt;&lt;D xsi:type="xsd:double"&gt;17.7201111671947&lt;/D&gt;&lt;D xsi:type="xsd:double"&gt;18.3045686411082&lt;/D&gt;&lt;D xsi:type="xsd:double"&gt;16.4235152088718&lt;/D&gt;&lt;D xsi:type="xsd:double"&gt;17.2790274726211&lt;/D&gt;&lt;D xsi:type="xsd:double"&gt;18.6230335668748&lt;/D&gt;&lt;D xsi:type="xsd:double"&gt;17.9229822146967&lt;/D&gt;&lt;D xsi:type="xsd:double"&gt;17.8116522787875&lt;/D&gt;&lt;D xsi:type="xsd:double"&gt;18.349470590264&lt;/D&gt;&lt;D xsi:type="xsd:double"&gt;17.5885438999124&lt;/D&gt;&lt;D xsi:type="xsd:double"&gt;17.8984996983735&lt;/D&gt;&lt;D xsi:type="xsd:double"&gt;18.1301508808067&lt;/D&gt;&lt;D xsi:type="xsd:double"&gt;17.5591152804481&lt;/D&gt;&lt;D xsi:type="xsd:double"&gt;17.4812108967855&lt;/D&gt;&lt;D xsi:type="xsd:double"&gt;16.8632439011212&lt;/D&gt;&lt;D xsi:type="xsd:double"&gt;16.6703065661884&lt;/D&gt;&lt;D xsi:type="xsd:double"&gt;16.6778590000611&lt;/D&gt;&lt;D xsi:type="xsd:double"&gt;16.696888144745&lt;/D&gt;&lt;D xsi:type="xsd:double"&gt;12.6168517238987&lt;/D&gt;&lt;D xsi:type="xsd:double"&gt;11.6544299020759&lt;/D&gt;&lt;D xsi:type="xsd:double"&gt;12.1985361856971&lt;/D&gt;&lt;D xsi:type="xsd:double"&gt;12.8660318591899&lt;/D&gt;&lt;D xsi:type="xsd:double"&gt;13.6500187447129&lt;/D&gt;&lt;D xsi:type="xsd:double"&gt;13.8562486289664&lt;/D&gt;&lt;D xsi:type="xsd:double"&gt;14.546516504552&lt;/D&gt;&lt;D xsi:type="xsd:double"&gt;14.7530283414115&lt;/D&gt;&lt;D xsi:type="xsd:double"&gt;14.4140826534026&lt;/D&gt;&lt;D xsi:type="xsd:double"&gt;13.6250081631311&lt;/D&gt;&lt;D xsi:type="xsd:double"&gt;15.7271530681758&lt;/D&gt;&lt;D xsi:type="xsd:double"&gt;16.4653209113305&lt;/D&gt;&lt;D xsi:type="xsd:double"&gt;26.4260661350438&lt;/D&gt;&lt;D xsi:type="xsd:double"&gt;25.3267044510605&lt;/D&gt;&lt;D xsi:type="xsd:double"&gt;24.1239776257193&lt;/D&gt;&lt;D xsi:type="xsd:double"&gt;22.8957513241552&lt;/D&gt;&lt;D xsi:type="xsd:double"&gt;21.7578853154904&lt;/D&gt;&lt;D xsi:type="xsd:double"&gt;20.436461284832&lt;/D&gt;&lt;D xsi:type="xsd:double"&gt;19.0496159653574&lt;/D&gt;&lt;D xsi:type="xsd:double"&gt;17.6029257932716&lt;/D&gt;&lt;D xsi:type="xsd:double"&gt;16.2314040654565&lt;/D&gt;&lt;D xsi:type="xsd:double"&gt;15.7489738382727&lt;/D&gt;&lt;D xsi:type="xsd:double"&gt;17.9131217798308&lt;/D&gt;&lt;D xsi:type="xsd:double"&gt;17.3713931140777&lt;/D&gt;&lt;D xsi:type="xsd:double"&gt;15.2988691255663&lt;/D&gt;&lt;D xsi:type="xsd:double"&gt;16.0819749670622&lt;/D&gt;&lt;D xsi:type="xsd:double"&gt;16.1218235527212&lt;/D&gt;&lt;D xsi:type="xsd:double"&gt;16.1032490345615&lt;/D&gt;&lt;/FQL&gt;&lt;FQL&gt;&lt;Q&gt;EWA^FG_TOTAL_RETURNC(0,-1AM)&lt;/Q&gt;&lt;R&gt;1&lt;/R&gt;&lt;C&gt;1&lt;/C&gt;&lt;D xsi:type="xsd:double"&gt;-1.4486969&lt;/D&gt;&lt;/FQL&gt;&lt;FQL&gt;&lt;Q&gt;EWU^FMA_COS_DOWN("EPS","1M",+1,0,,,"PORTAGG","MEANR")&lt;/Q&gt;&lt;R&gt;1&lt;/R&gt;&lt;C&gt;1&lt;/C&gt;&lt;D xsi:type="xsd:double"&gt;33&lt;/D&gt;&lt;/FQL&gt;&lt;FQL&gt;&lt;Q&gt;EWA^FG_FCF_YIELD_NTM(0)&lt;/Q&gt;&lt;R&gt;1&lt;/R&gt;&lt;C&gt;1&lt;/C&gt;&lt;D xsi:type="xsd:double"&gt;4.94636723079552&lt;/D&gt;&lt;/FQL&gt;&lt;FQL&gt;&lt;Q&gt;EWN^PERCENT_CHANGE(FMA_EPS(+1,0,,,,"PORTAGG","MEAN"),FMA_EPS(+1,-1AM,,,,"PORTAGG","MEAN"))&lt;/Q&gt;&lt;R&gt;1&lt;/R&gt;&lt;C&gt;1&lt;/C&gt;&lt;D xsi:type="xsd:double"&gt;0.130596150095262&lt;/D&gt;&lt;/FQL&gt;&lt;FQL&gt;&lt;Q&gt;QQQ^FMA_EVAL_EBIT(LTMA,NOW,NOW,M,"PORTAGG","MEANR")&lt;/Q&gt;&lt;R&gt;1&lt;/R&gt;&lt;C&gt;1&lt;/C&gt;&lt;D xsi:type="xsd:double"&gt;24.2425904372791&lt;/D&gt;&lt;/FQL&gt;&lt;FQL&gt;&lt;Q&gt;DBA^FG_TOTAL_RETURNC(0,-1AM)&lt;/Q&gt;&lt;R&gt;1&lt;/R&gt;&lt;C&gt;1&lt;/C&gt;&lt;D xsi:type="xsd:double"&gt;-2.5559127&lt;/D&gt;&lt;/FQL&gt;&lt;FQL&gt;&lt;Q&gt;EWC^FMA_ROE(NTMA,-20AY,NOW,FY,"PORTAGG","MEANR")&lt;/Q&gt;&lt;R&gt;20&lt;/R&gt;&lt;C&gt;1&lt;/C&gt;&lt;D xsi:type="xsd:double"&gt;14.6738571923606&lt;/D&gt;&lt;D xsi:type="xsd:double"&gt;15.7709471724654&lt;/D&gt;&lt;D xsi:type="xsd:double"&gt;15.8547136543611&lt;/D&gt;&lt;D xsi:type="xsd:double"&gt;16.5705490516163&lt;/D&gt;&lt;D xsi:type="xsd:double"&gt;13.8099900139916&lt;/D&gt;&lt;D xsi:type="xsd:double"&gt;11.8327104416904&lt;/D&gt;&lt;D xsi:type="xsd:double"&gt;12.6984457284378&lt;/D&gt;&lt;D xsi:type="xsd:double"&gt;13.5092848924233&lt;/D&gt;&lt;D xsi:type="xsd:double"&gt;12.804929450575&lt;/D&gt;&lt;D xsi:type="xsd:double"&gt;12.2925364029644&lt;/D&gt;&lt;D xsi:type="xsd:double"&gt;11.8034021278505&lt;/D&gt;&lt;D xsi:type="xsd:double"&gt;10.9923508764539&lt;/D&gt;&lt;D xsi:type="xsd:double"&gt;11.4792366602027&lt;/D&gt;&lt;D xsi:type="xsd:double"&gt;11.3979128674428&lt;/D&gt;&lt;D xsi:type="xsd:double"&gt;12.4990081822477&lt;/D&gt;&lt;D xsi:type="xsd:double"&gt;11.9786783863837&lt;/D&gt;&lt;D xsi:type="xsd:double"&gt;11.1922086822881&lt;/D&gt;&lt;D xsi:type="xsd:double"&gt;14.1061782856045&lt;/D&gt;&lt;D xsi:type="xsd:double"&gt;14.0029403106189&lt;/D&gt;&lt;D xsi:type="xsd:double"&gt;13.147116166704&lt;/D&gt;&lt;/FQL&gt;&lt;FQL&gt;&lt;Q&gt;EWI^FMA_RBICS_REV_CURRENT(30, LOC, "PORTAGG")&lt;/Q&gt;&lt;R&gt;1&lt;/R&gt;&lt;C&gt;1&lt;/C&gt;&lt;D xsi:type="xsd:double"&gt;36.6089143757674&lt;/D&gt;&lt;/FQL&gt;&lt;FQL&gt;&lt;Q&gt;USDEUR^FG_PRICE_CHANGE(0,-1AM)&lt;/Q&gt;&lt;R&gt;1&lt;/R&gt;&lt;C&gt;1&lt;/C&gt;&lt;D xsi:type="xsd:double"&gt;0.7516384&lt;/D&gt;&lt;/FQL&gt;&lt;FQL&gt;&lt;Q&gt;W-FDS^FG_PRICE_MAVG(0,,,,30)&lt;/Q&gt;&lt;R&gt;1&lt;/R&gt;&lt;C&gt;1&lt;/C&gt;&lt;D xsi:type="xsd:double"&gt;5.7515&lt;/D&gt;&lt;/FQL&gt;&lt;FQL&gt;&lt;Q&gt;VGK^FG_TOTAL_RETURNC(0,-3AM)&lt;/Q&gt;&lt;R&gt;1&lt;/R&gt;&lt;C&gt;1&lt;/C&gt;&lt;D xsi:type="xsd:double"&gt;8.067536&lt;/D&gt;&lt;/FQL&gt;&lt;FQL&gt;&lt;Q&gt;EWN^PERCENT_CHANGE(FMA_EPS(+1,0,,,,"PORTAGG","MEAN"),FMA_EPS(+1,-3AM,,,,"PORTAGG","MEAN"))&lt;/Q&gt;&lt;R&gt;1&lt;/R&gt;&lt;C&gt;1&lt;/C&gt;&lt;D xsi:type="xsd:double"&gt;3.05881959315887&lt;/D&gt;&lt;/FQL&gt;&lt;FQL&gt;&lt;Q&gt;QQQ^FMA_PCT_ABOVE_MAVG(200,0,,,,"PORTAGG")&lt;/Q&gt;&lt;R&gt;1&lt;/R&gt;&lt;C&gt;1&lt;/C&gt;&lt;D xsi:type="xsd:double"&gt;65.6862745098039&lt;/D&gt;&lt;/FQL&gt;&lt;FQL&gt;&lt;Q&gt;VGK^FMA_COS_DOWN("EPS","1M",+1,0,,,"PORTAGG","MEANR")&lt;/Q&gt;&lt;R&gt;1&lt;/R&gt;&lt;C&gt;1&lt;/C&gt;&lt;D xsi:type="xsd:double"&gt;547&lt;/D&gt;&lt;/FQL&gt;&lt;FQL&gt;&lt;Q&gt;EWQ^FG_ROE(0)&lt;/Q&gt;&lt;R&gt;1&lt;/R&gt;&lt;C&gt;1&lt;/C&gt;&lt;D xsi:type="xsd:double"&gt;12.7591430496899&lt;/D&gt;&lt;/FQL&gt;&lt;FQL&gt;&lt;Q&gt;REFFFUND-FDS^FG_YIELD(NOW,,,0)&lt;/Q&gt;&lt;R&gt;1&lt;/R&gt;&lt;C&gt;1&lt;/C&gt;&lt;D xsi:type="xsd:double"&gt;5.5&lt;/D&gt;&lt;/FQL&gt;&lt;FQL&gt;&lt;Q&gt;TRYIT10Y-FDS^PCTCHG(FG_YIELD(0,,,,"YTM"),FG_YIELD(-3AM,,,,"YTM"))&lt;/Q&gt;&lt;R&gt;1&lt;/R&gt;&lt;C&gt;1&lt;/C&gt;&lt;D xsi:type="xsd:double"&gt;-3.7645257&lt;/D&gt;&lt;/FQL&gt;&lt;FQL&gt;&lt;Q&gt;TRYCA10Y-FDS^PCTCHG(FG_YIELD(0,,,,"YTM"),FG_YIELD(-1AM,,,,"YTM"))&lt;/Q&gt;&lt;R&gt;1&lt;/R&gt;&lt;C&gt;1&lt;/C&gt;&lt;D xsi:type="xsd:double"&gt;1.8481548&lt;/D&gt;&lt;/FQL&gt;&lt;FQL&gt;&lt;Q&gt;VWO^FMA_EVAL_EBITDA(NTMA,0,,,"PORTAGG","MEANR")&lt;/Q&gt;&lt;R&gt;1&lt;/R&gt;&lt;C&gt;1&lt;/C&gt;&lt;D xsi:type="xsd:double"&gt;8.82512783686192&lt;/D&gt;&lt;/FQL&gt;&lt;FQL&gt;&lt;Q&gt;EWD^JULIAN(FMA_DIV_YLD(NTMA,NOW,NOW,M,"PORTAGG","MEANR").DATES)&lt;/Q&gt;&lt;R&gt;1&lt;/R&gt;&lt;C&gt;1&lt;/C&gt;&lt;D xsi:type="xsd:long"&gt;45412&lt;/D&gt;&lt;/FQL&gt;&lt;FQL&gt;&lt;Q&gt;SPY^JULIAN(FMA_DIV_YLD(NTMA,NOW,NOW,M,"PORTAGG","MEANR").DATES)&lt;/Q&gt;&lt;R&gt;1&lt;/R&gt;&lt;C&gt;1&lt;/C&gt;&lt;D xsi:type="xsd:long"&gt;45412&lt;/D&gt;&lt;/FQL&gt;&lt;FQL&gt;&lt;Q&gt;EWJ^FMA_DIV_YLD(NTMA,NOW,NOW,M,"PORTAGG","MEANR")&lt;/Q&gt;&lt;R&gt;1&lt;/R&gt;&lt;C&gt;1&lt;/C&gt;&lt;D xsi:type="xsd:double"&gt;2.20500321521818&lt;/D&gt;&lt;/FQL&gt;&lt;FQL&gt;&lt;Q&gt;DBA^FG_TOTAL_RETURNC(0,-3AM)&lt;/Q&gt;&lt;R&gt;1&lt;/R&gt;&lt;C&gt;1&lt;/C&gt;&lt;D xsi:type="xsd:double"&gt;10.207772&lt;/D&gt;&lt;/FQL&gt;&lt;FQL&gt;&lt;Q&gt;EWU^FMA_EPS(NTMA,-20AY,0,CY,,"PORTAGG","MEANR")&lt;/Q&gt;&lt;R&gt;20&lt;/R&gt;&lt;C&gt;1&lt;/C&gt;&lt;D xsi:type="xsd:double"&gt;2.78829402631307&lt;/D&gt;&lt;D xsi:type="xsd:double"&gt;2.94932484667975&lt;/D&gt;&lt;D xsi:type="xsd:double"&gt;3.75488864741091&lt;/D&gt;&lt;D xsi:type="xsd:double"&gt;4.07523919059458&lt;/D&gt;&lt;D xsi:type="xsd:double"&gt;2.818707383858&lt;/D&gt;&lt;D xsi:type="xsd:double"&gt;2.6972177795125&lt;/D&gt;&lt;D xsi:type="xsd:double"&gt;3.36495665882676&lt;/D&gt;&lt;D xsi:type="xsd:double"&gt;3.43468170545609&lt;/D&gt;&lt;D xsi:type="xsd:double"&gt;3.30605625416888&lt;/D&gt;&lt;D xsi:type="xsd:double"&gt;3.23218168522276&lt;/D&gt;&lt;D xsi:type="xsd:double"&gt;2.60589751741525&lt;/D&gt;&lt;D xsi:type="xsd:double"&gt;2.12294202915382&lt;/D&gt;&lt;D xsi:type="xsd:double"&gt;2.123898319152&lt;/D&gt;&lt;D xsi:type="xsd:double"&gt;2.42405089418043&lt;/D&gt;&lt;D xsi:type="xsd:double"&gt;2.57732227429949&lt;/D&gt;&lt;D xsi:type="xsd:double"&gt;2.53485794961448&lt;/D&gt;&lt;D xsi:type="xsd:double"&gt;2.03463841368045&lt;/D&gt;&lt;D xsi:type="xsd:double"&gt;2.71427224666172&lt;/D&gt;&lt;D xsi:type="xsd:double"&gt;3.12760120843659&lt;/D&gt;&lt;D xsi:type="xsd:double"&gt;3.00280442811251&lt;/D&gt;&lt;/FQL&gt;&lt;FQL&gt;&lt;Q&gt;EWA^FG_TOTAL_RETURNC(-10AY,0,AM)&lt;/Q&gt;&lt;R&gt;121&lt;/R&gt;&lt;C&gt;1&lt;/C&gt;&lt;D xsi:type="xsd:double"&gt;-0.9701431&lt;/D&gt;&lt;D xsi:type="xsd:double"&gt;0.71589947&lt;/D&gt;&lt;D xsi:type="xsd:double"&gt;0.3286481&lt;/D&gt;&lt;D xsi:type="xsd:double"&gt;-1.5140057&lt;/D&gt;&lt;D xsi:type="xsd:double"&gt;2.4212122&lt;/D&gt;&lt;D xsi:type="xsd:double"&gt;-10.431517&lt;/D&gt;&lt;D xsi:type="xsd:double"&gt;4.6501875&lt;/D&gt;&lt;D xsi:type="xsd:double"&gt;-8.246594&lt;/D&gt;&lt;D xsi:type="xsd:double"&gt;1.3574362&lt;/D&gt;&lt;D xsi:type="xsd:double"&gt;2.0444393&lt;/D&gt;&lt;D xsi:type="xsd:double"&gt;0.391984&lt;/D&gt;&lt;D xsi:type="xsd:double"&gt;1.9522786&lt;/D&gt;&lt;D xsi:type="xsd:double"&gt;-2.3829758&lt;/D&gt;&lt;D xsi:type="xsd:double"&gt;-6.32084&lt;/D&gt;&lt;D xsi:type="xsd:double"&gt;-2.5810063&lt;/D&gt;&lt;D xsi:type="xsd:double"&gt;-0.48924088&lt;/D&gt;&lt;D xsi:type="xsd:double"&gt;-10.127825&lt;/D&gt;&lt;D xsi:type="xsd:double"&gt;7.439816&lt;/D&gt;&lt;D xsi:type="xsd:double"&gt;-7.5356426&lt;/D&gt;&lt;D xsi:type="xsd:double"&gt;2.422905&lt;/D&gt;&lt;D xsi:type="xsd:double"&gt;-6.712943&lt;/D&gt;&lt;D xsi:type="xsd:double"&gt;-0.23695827&lt;/D&gt;&lt;D xsi:type="xsd:double"&gt;15.26128&lt;/D&gt;&lt;D xsi:type="xsd:double"&gt;-4.177231&lt;/D&gt;&lt;D xsi:type="xsd:double"&gt;4.144275&lt;/D&gt;&lt;D xsi:type="xsd:double"&gt;2.8910637&lt;/D&gt;&lt;D xsi:type="xsd:double"&gt;0.29832125&lt;/D&gt;&lt;D xsi:type="xsd:double"&gt;6.6971183&lt;/D&gt;&lt;D xsi:type="xsd:double"&gt;-5.991441&lt;/D&gt;&lt;D xsi:type="xsd:double"&gt;5.3616524&lt;/D&gt;&lt;D xsi:type="xsd:double"&gt;-1.440227&lt;/D&gt;&lt;D xsi:type="xsd:double"&gt;3.0199647&lt;/D&gt;&lt;D xsi:type="xsd:double"&gt;2.770996&lt;/D&gt;&lt;D xsi:type="xsd:double"&gt;1.8422246&lt;/D&gt;&lt;D xsi:type="xsd:double"&gt;1.3914704&lt;/D&gt;&lt;D xsi:type="xsd:double"&gt;2.0585537&lt;/D&gt;&lt;D xsi:type="xsd:double"&gt;-2.7790189&lt;/D&gt;&lt;D xsi:type="xsd:double"&gt;-0.5532563&lt;/D&gt;&lt;D xsi:type="xsd:double"&gt;1.7722964&lt;/D&gt;&lt;D xsi:type="xsd:double"&gt;4.4692755&lt;/D&gt;&lt;D xsi:type="xsd:double"&gt;1.6488314&lt;/D&gt;&lt;D xsi:type="xsd:double"&gt;-2.542746&lt;/D&gt;&lt;D xsi:type="xsd:double"&gt;4.2285204&lt;/D&gt;&lt;D xsi:type="xsd:double"&gt;-2.201122&lt;/D&gt;&lt;D xsi:type="xsd:double"&gt;6.712711&lt;/D&gt;&lt;D xsi:type="xsd:double"&gt;-6.2711835&lt;/D&gt;&lt;D xsi:type="xsd:double"&gt;5.3797364&lt;/D&gt;&lt;D xsi:type="xsd:double"&gt;-5.362505&lt;/D&gt;&lt;D xsi:type="xsd:double"&gt;2.4932027&lt;/D&gt;&lt;D xsi:type="xsd:double"&gt;1.2383819&lt;/D&gt;&lt;D xsi:type="xsd:double"&gt;3.203106&lt;/D&gt;&lt;D xsi:type="xsd:double"&gt;-1.3810933&lt;/D&gt;&lt;D xsi:type="xsd:double"&gt;-6.0831547&lt;/D&gt;&lt;D xsi:type="xsd:double"&gt;-0.93196034&lt;/D&gt;&lt;D xsi:type="xsd:double"&gt;-0.28221607&lt;/D&gt;&lt;D xsi:type="xsd:double"&gt;-4.198122&lt;/D&gt;&lt;D xsi:type="xsd:double"&gt;2.8877854&lt;/D&gt;&lt;D xsi:type="xsd:double"&gt;3.2803178&lt;/D&gt;&lt;D xsi:type="xsd:double"&gt;2.3099065&lt;/D&gt;&lt;D xsi:type="xsd:double"&gt;1.4110923&lt;/D&gt;&lt;D xsi:type="xsd:double"&gt;-0.5101979&lt;/D&gt;&lt;D xsi:type="xsd:double"&gt;4.1957974&lt;/D&gt;&lt;D xsi:type="xsd:double"&gt;2.316773&lt;/D&gt;&lt;D xsi:type="xsd:double"&gt;-4.1053114&lt;/D&gt;&lt;D xsi:type="xsd:double"&gt;3.769195&lt;/D&gt;&lt;D xsi:type="xsd:double"&gt;-2.6905775&lt;/D&gt;&lt;D xsi:type="xsd:double"&gt;4.9308777&lt;/D&gt;&lt;D xsi:type="xsd:double"&gt;-0.9661913&lt;/D&gt;&lt;D xsi:type="xsd:double"&gt;2.8134108&lt;/D&gt;&lt;D xsi:type="xsd:double"&gt;-0.6159246&lt;/D&gt;&lt;D xsi:type="xsd:double"&gt;-22.797697&lt;/D&gt;&lt;D xsi:type="xsd:double"&gt;-4.644501&lt;/D&gt;&lt;D xsi:type="xsd:double"&gt;1.7438412&lt;/D&gt;&lt;D xsi:type="xsd:double"&gt;19.976353&lt;/D&gt;&lt;D xsi:type="xsd:double"&gt;-2.9667556&lt;/D&gt;&lt;D xsi:type="xsd:double"&gt;5.0489426&lt;/D&gt;&lt;D xsi:type="xsd:double"&gt;0.49043894&lt;/D&gt;&lt;D xsi:type="xsd:double"&gt;1.6105413&lt;/D&gt;&lt;D xsi:type="xsd:double"&gt;6.051874&lt;/D&gt;&lt;D xsi:type="xsd:double"&gt;7.382238&lt;/D&gt;&lt;D xsi:type="xsd:double"&gt;5.612433&lt;/D&gt;&lt;D xsi:type="xsd:double"&gt;0.5638361&lt;/D&gt;&lt;D xsi:type="xsd:double"&gt;0.92110634&lt;/D&gt;&lt;D xsi:type="xsd:double"&gt;1.2698412&lt;/D&gt;&lt;D xsi:type="xsd:double"&gt;4.858935&lt;/D&gt;&lt;D xsi:type="xsd:double"&gt;1.3079286&lt;/D&gt;&lt;D xsi:type="xsd:double"&gt;-2.3088992&lt;/D&gt;&lt;D xsi:type="xsd:double"&gt;0.45940876&lt;/D&gt;&lt;D xsi:type="xsd:double"&gt;-0.9527445&lt;/D&gt;&lt;D xsi:type="xsd:double"&gt;-2.000773&lt;/D&gt;&lt;D xsi:type="xsd:double"&gt;3.1802177&lt;/D&gt;&lt;D xsi:type="xsd:double"&gt;-4.1095915&lt;/D&gt;&lt;D xsi:type="xsd:double"&gt;1.2590051&lt;/D&gt;&lt;D xsi:type="xsd:double"&gt;-2.0308673&lt;/D&gt;&lt;D xsi:type="xsd:double"&gt;1.243782&lt;/D&gt;&lt;D xsi:type="xsd:double"&gt;8.6814165&lt;/D&gt;&lt;D xsi:type="xsd:double"&gt;-12.2456665&lt;/D&gt;&lt;D xsi:type="xsd:double"&gt;1.989615&lt;/D&gt;&lt;D xsi:type="xsd:double"&gt;-7.344633&lt;/D&gt;&lt;D xsi:type="xsd:double"&gt;5.1125765&lt;/D&gt;&lt;D xsi:type="xsd:double"&gt;-0.2677381&lt;/D&gt;&lt;D xsi:type="xsd:double"&gt;-9.888148&lt;/D&gt;&lt;D xsi:type="xsd:double"&gt;4.518366&lt;/D&gt;&lt;D xsi:type="xsd:double"&gt;10.071266&lt;/D&gt;&lt;D xsi:type="xsd:double"&gt;1.1587381&lt;/D&gt;&lt;D xsi:type="xsd:double"&gt;5.5193424&lt;/D&gt;&lt;D xsi:type="xsd:double"&gt;-6.7133484&lt;/D&gt;&lt;D xsi:type="xsd:double"&gt;1.9426107&lt;/D&gt;&lt;D xsi:type="xsd:double"&gt;0.34646988&lt;/D&gt;&lt;D xsi:type="xsd:double"&gt;-1.671803&lt;/D&gt;&lt;D xsi:type="xsd:double"&gt;-1.1627913&lt;/D&gt;&lt;D xsi:type="xsd:double"&gt;1.5837073&lt;/D&gt;&lt;D xsi:type="xsd:double"&gt;-3.340757&lt;/D&gt;&lt;D xsi:type="xsd:double"&gt;-1.106&lt;/D&gt;&lt;D xsi:type="xsd:double"&gt;-0.2795875&lt;/D&gt;&lt;D xsi:type="xsd:double"&gt;6.635511&lt;/D&gt;&lt;D xsi:type="xsd:double"&gt;6.085491&lt;/D&gt;&lt;D xsi:type="xsd:double"&gt;-0.29510856&lt;/D&gt;&lt;D xsi:type="xsd:double"&gt;4.735732&lt;/D&gt;&lt;D xsi:type="xsd:double"&gt;0.32297373&lt;/D&gt;&lt;D xsi:type="xsd:double"&gt;-1.4486969&lt;/D&gt;&lt;/FQL&gt;&lt;FQL&gt;&lt;Q&gt;EWN^FMA_PE(LTMA,-10AY,0,AM,"PORTAGG","MEANR")&lt;/Q&gt;&lt;R&gt;121&lt;/R&gt;&lt;C&gt;1&lt;/C&gt;&lt;D xsi:type="xsd:double"&gt;16.8531231483305&lt;/D&gt;&lt;D xsi:type="xsd:double"&gt;16.9143490909164&lt;/D&gt;&lt;D xsi:type="xsd:double"&gt;16.6722779012594&lt;/D&gt;&lt;D xsi:type="xsd:double"&gt;16.0613943064958&lt;/D&gt;&lt;D xsi:type="xsd:double"&gt;16.7655330368037&lt;/D&gt;&lt;D xsi:type="xsd:double"&gt;16.2592908452216&lt;/D&gt;&lt;D xsi:type="xsd:double"&gt;17.0781560250848&lt;/D&gt;&lt;D xsi:type="xsd:double"&gt;17.5340766263026&lt;/D&gt;&lt;D xsi:type="xsd:double"&gt;17.3169343985986&lt;/D&gt;&lt;D xsi:type="xsd:double"&gt;18.4773450197536&lt;/D&gt;&lt;D xsi:type="xsd:double"&gt;20.0973690331756&lt;/D&gt;&lt;D xsi:type="xsd:double"&gt;19.9795919664864&lt;/D&gt;&lt;D xsi:type="xsd:double"&gt;19.5978864355122&lt;/D&gt;&lt;D xsi:type="xsd:double"&gt;19.066827282509&lt;/D&gt;&lt;D xsi:type="xsd:double"&gt;18.7188327726598&lt;/D&gt;&lt;D xsi:type="xsd:double"&gt;18.9137128129669&lt;/D&gt;&lt;D xsi:type="xsd:double"&gt;17.4655635301124&lt;/D&gt;&lt;D xsi:type="xsd:double"&gt;16.9663780479726&lt;/D&gt;&lt;D xsi:type="xsd:double"&gt;17.4529936807295&lt;/D&gt;&lt;D xsi:type="xsd:double"&gt;17.2756747590625&lt;/D&gt;&lt;D xsi:type="xsd:double"&gt;15.679078893842&lt;/D&gt;&lt;D xsi:type="xsd:double"&gt;14.8729471303648&lt;/D&gt;&lt;D xsi:type="xsd:double"&gt;16.3853182603941&lt;/D&gt;&lt;D xsi:type="xsd:double"&gt;16.2752520365653&lt;/D&gt;&lt;D xsi:type="xsd:double"&gt;16.1440455598805&lt;/D&gt;&lt;D xsi:type="xsd:double"&gt;16.1978287717234&lt;/D&gt;&lt;D xsi:type="xsd:double"&gt;15.7503795083664&lt;/D&gt;&lt;D xsi:type="xsd:double"&gt;16.1698806047767&lt;/D&gt;&lt;D xsi:type="xsd:double"&gt;16.0420037505566&lt;/D&gt;&lt;D xsi:type="xsd:double"&gt;15.8598442643052&lt;/D&gt;&lt;D xsi:type="xsd:double"&gt;15.663348028028&lt;/D&gt;&lt;D xsi:type="xsd:double"&gt;15.9210527944989&lt;/D&gt;&lt;D xsi:type="xsd:double"&gt;16.3586453719538&lt;/D&gt;&lt;D xsi:type="xsd:double"&gt;16.2499046060442&lt;/D&gt;&lt;D xsi:type="xsd:double"&gt;16.479939897585&lt;/D&gt;&lt;D xsi:type="xsd:double"&gt;16.5144021940718&lt;/D&gt;&lt;D xsi:type="xsd:double"&gt;16.8229245759401&lt;/D&gt;&lt;D xsi:type="xsd:double"&gt;16.7603890824502&lt;/D&gt;&lt;D xsi:type="xsd:double"&gt;16.5089269240984&lt;/D&gt;&lt;D xsi:type="xsd:double"&gt;16.7457478927869&lt;/D&gt;&lt;D xsi:type="xsd:double"&gt;16.6293228876062&lt;/D&gt;&lt;D xsi:type="xsd:double"&gt;17.1446006488948&lt;/D&gt;&lt;D xsi:type="xsd:double"&gt;17.409686727814&lt;/D&gt;&lt;D xsi:type="xsd:double"&gt;17.2449527384291&lt;/D&gt;&lt;D xsi:type="xsd:double"&gt;17.6394074858459&lt;/D&gt;&lt;D xsi:type="xsd:double"&gt;16.3813455423913&lt;/D&gt;&lt;D xsi:type="xsd:double"&gt;16.6808924860941&lt;/D&gt;&lt;D xsi:type="xsd:double"&gt;16.5698488905374&lt;/D&gt;&lt;D xsi:type="xsd:double"&gt;16.576661468031&lt;/D&gt;&lt;D xsi:type="xsd:double"&gt;16.6498226664626&lt;/D&gt;&lt;D xsi:type="xsd:double"&gt;16.5862875277552&lt;/D&gt;&lt;D xsi:type="xsd:double"&gt;16.79748579209&lt;/D&gt;&lt;D xsi:type="xsd:double"&gt;16.352552043027&lt;/D&gt;&lt;D xsi:type="xsd:double"&gt;15.9473827422949&lt;/D&gt;&lt;D xsi:type="xsd:double"&gt;15.7089007227689&lt;/D&gt;&lt;D xsi:type="xsd:double"&gt;14.8737606909066&lt;/D&gt;&lt;D xsi:type="xsd:double"&gt;14.6015363538485&lt;/D&gt;&lt;D xsi:type="xsd:double"&gt;15.4171253643713&lt;/D&gt;&lt;D xsi:type="xsd:double"&gt;16.0929839464726&lt;/D&gt;&lt;D xsi:type="xsd:double"&gt;16.2300905529226&lt;/D&gt;&lt;D xsi:type="xsd:double"&gt;16.1590763544596&lt;/D&gt;&lt;D xsi:type="xsd:double"&gt;16.1939748679376&lt;/D&gt;&lt;D xsi:type="xsd:double"&gt;16.3925029244186&lt;/D&gt;&lt;D xsi:type="xsd:double"&gt;16.1992289832813&lt;/D&gt;&lt;D xsi:type="xsd:double"&gt;16.8977386342961&lt;/D&gt;&lt;D xsi:type="xsd:double"&gt;16.8751352853433&lt;/D&gt;&lt;D xsi:type="xsd:double"&gt;17.8455862083358&lt;/D&gt;&lt;D xsi:type="xsd:double"&gt;18.3406106064554&lt;/D&gt;&lt;D xsi:type="xsd:double"&gt;18.904886819127&lt;/D&gt;&lt;D xsi:type="xsd:double"&gt;19.6242326819412&lt;/D&gt;&lt;D xsi:type="xsd:double"&gt;17.0830583258068&lt;/D&gt;&lt;D xsi:type="xsd:double"&gt;17.2963780218408&lt;/D&gt;&lt;D xsi:type="xsd:double"&gt;17.988110147751&lt;/D&gt;&lt;D xsi:type="xsd:double"&gt;19.2536042581739&lt;/D&gt;&lt;D xsi:type="xsd:double"&gt;19.9456839488971&lt;/D&gt;&lt;D xsi:type="xsd:double"&gt;20.6058487270711&lt;/D&gt;&lt;D xsi:type="xsd:double"&gt;21.48405946718&lt;/D&gt;&lt;D xsi:type="xsd:double"&gt;22.6340516801465&lt;/D&gt;&lt;D xsi:type="xsd:double"&gt;23.582439913958&lt;/D&gt;&lt;D xsi:type="xsd:double"&gt;26.27284088181&lt;/D&gt;&lt;D xsi:type="xsd:double"&gt;27.9165975970299&lt;/D&gt;&lt;D xsi:type="xsd:double"&gt;28.7163820550403&lt;/D&gt;&lt;D xsi:type="xsd:double"&gt;28.769757341678&lt;/D&gt;&lt;D xsi:type="xsd:double"&gt;28.5639939177266&lt;/D&gt;&lt;D xsi:type="xsd:double"&gt;27.7268470748649&lt;/D&gt;&lt;D xsi:type="xsd:double"&gt;26.9384799438802&lt;/D&gt;&lt;D xsi:type="xsd:double"&gt;26.3643705945127&lt;/D&gt;&lt;D xsi:type="xsd:double"&gt;26.3338852105163&lt;/D&gt;&lt;D xsi:type="xsd:double"&gt;25.6781209129984&lt;/D&gt;&lt;D xsi:type="xsd:double"&gt;23.9698847879367&lt;/D&gt;&lt;D xsi:type="xsd:double"&gt;24.6656537338354&lt;/D&gt;&lt;D xsi:type="xsd:double"&gt;22.7971570309061&lt;/D&gt;&lt;D xsi:type="xsd:double"&gt;22.3386207623508&lt;/D&gt;&lt;D xsi:type="xsd:double"&gt;20.5770726608518&lt;/D&gt;&lt;D xsi:type="xsd:double"&gt;18.2313140817635&lt;/D&gt;&lt;D xsi:type="xsd:double"&gt;18.444287508836&lt;/D&gt;&lt;D xsi:type="xsd:double"&gt;17.7273331118273&lt;/D&gt;&lt;D xsi:type="xsd:double"&gt;18.5061883143893&lt;/D&gt;&lt;D xsi:type="xsd:double"&gt;18.2782894481858&lt;/D&gt;&lt;D xsi:type="xsd:double"&gt;19.4674060575275&lt;/D&gt;&lt;D xsi:type="xsd:double"&gt;18.7326434357365&lt;/D&gt;&lt;D xsi:type="xsd:double"&gt;17.2321438349883&lt;/D&gt;&lt;D xsi:type="xsd:double"&gt;17.5903474598136&lt;/D&gt;&lt;D xsi:type="xsd:double"&gt;18.6015610131616&lt;/D&gt;&lt;D xsi:type="xsd:double"&gt;19.0533151974582&lt;/D&gt;&lt;D xsi:type="xsd:double"&gt;20.9723876055069&lt;/D&gt;&lt;D xsi:type="xsd:double"&gt;20.5416252065632&lt;/D&gt;&lt;D xsi:type="xsd:double"&gt;20.2336526046346&lt;/D&gt;&lt;D xsi:type="xsd:double"&gt;19.6737230607984&lt;/D&gt;&lt;D xsi:type="xsd:double"&gt;19.3305978205485&lt;/D&gt;&lt;D xsi:type="xsd:double"&gt;19.0088241658803&lt;/D&gt;&lt;D xsi:type="xsd:double"&gt;18.4269085019312&lt;/D&gt;&lt;D xsi:type="xsd:double"&gt;17.4369088154753&lt;/D&gt;&lt;D xsi:type="xsd:double"&gt;16.3891198729012&lt;/D&gt;&lt;D xsi:type="xsd:double"&gt;16.1815593688724&lt;/D&gt;&lt;D xsi:type="xsd:double"&gt;16.6234998476894&lt;/D&gt;&lt;D xsi:type="xsd:double"&gt;16.2950244057449&lt;/D&gt;&lt;D xsi:type="xsd:double"&gt;17.9721178097682&lt;/D&gt;&lt;D xsi:type="xsd:double"&gt;18.5048722448391&lt;/D&gt;&lt;D xsi:type="xsd:double"&gt;18.3732360061716&lt;/D&gt;&lt;D xsi:type="xsd:double"&gt;18.208551445676&lt;/D&gt;&lt;/FQL&gt;&lt;FQL&gt;&lt;Q&gt;SPY^FG_PRICE_MAVG(0,,,,60)&lt;/Q&gt;&lt;R&gt;1&lt;/R&gt;&lt;C&gt;1&lt;/C&gt;&lt;D xsi:type="xsd:double"&gt;510.83017&lt;/D&gt;&lt;/FQL&gt;&lt;FQL&gt;&lt;Q&gt;ENZL^FG_PRICE_MAVG(0,,,,200)&lt;/Q&gt;&lt;R&gt;1&lt;/R&gt;&lt;C&gt;1&lt;/C&gt;&lt;D xsi:type="xsd:double"&gt;45.52304&lt;/D&gt;&lt;/FQL&gt;&lt;FQL&gt;&lt;Q&gt;URTH^FG_TOTAL_RETURNC(0,-12AM)&lt;/Q&gt;&lt;R&gt;1&lt;/R&gt;&lt;C&gt;1&lt;/C&gt;&lt;D xsi:type="xsd:double"&gt;23.418438&lt;/D&gt;&lt;/FQL&gt;&lt;FQL&gt;&lt;Q&gt;VGK^PERCENT_CHANGE(FMA_EPS(+1,0,,,,"PORTAGG","MEAN"),FMA_EPS(+1,-3AM,,,,"PORTAGG","MEAN"))&lt;/Q&gt;&lt;R&gt;1&lt;/R&gt;&lt;C&gt;1&lt;/C&gt;&lt;D xsi:type="xsd:double"&gt;-1.56477383423192&lt;/D&gt;&lt;/FQL&gt;&lt;FQL&gt;&lt;Q&gt;EWA^PERCENT_CHANGE(FMA_EPS(+1,0,,,,"PORTAGG","MEAN"),FMA_EPS(+1,-3AM,,,,"PORTAGG","MEAN"))&lt;/Q&gt;&lt;R&gt;1&lt;/R&gt;&lt;C&gt;1&lt;/C&gt;&lt;D xsi:type="xsd:double"&gt;1.48092570707404&lt;/D&gt;&lt;/FQL&gt;&lt;FQL&gt;&lt;Q&gt;EWU^FMA_COS_UP("EPS","1M",+1,0,,,"PORTAGG","MEANR")&lt;/Q&gt;&lt;R&gt;1&lt;/R&gt;&lt;C&gt;1&lt;/C&gt;&lt;D xsi:type="xsd:double"&gt;44&lt;/D&gt;&lt;/FQL&gt;&lt;FQL&gt;&lt;Q&gt;TRYAU10Y-FDS^PCTCHG(FG_YIELD(0,,,,"YTM"),FG_YIELD(-3AM,,,,"YTM"))&lt;/Q&gt;&lt;R&gt;1&lt;/R&gt;&lt;C&gt;1&lt;/C&gt;&lt;D xsi:type="xsd:double"&gt;5.402133&lt;/D&gt;&lt;/FQL&gt;&lt;FQL&gt;&lt;Q&gt;EWA^FMA_DIV_YLD(NTMA,NOW,NOW,M,"PORTAGG","MEANR")&lt;/Q&gt;&lt;R&gt;1&lt;/R&gt;&lt;C&gt;1&lt;/C&gt;&lt;D xsi:type="xsd:double"&gt;4.0156778768556&lt;/D&gt;&lt;/FQL&gt;&lt;FQL&gt;&lt;Q&gt;EWJ^P_PRICE(0)/P_PRICE_HIGH_PR(0,,,USD,,,"PRICE","INTRA","52W")&lt;/Q&gt;&lt;R&gt;1&lt;/R&gt;&lt;C&gt;1&lt;/C&gt;&lt;D xsi:type="xsd:double"&gt;0.9483105&lt;/D&gt;&lt;/FQL&gt;&lt;FQL&gt;&lt;Q&gt;PASP-FDS^FG_PRICE_MAVG(0,,,,30)&lt;/Q&gt;&lt;R&gt;1&lt;/R&gt;&lt;C&gt;1&lt;/C&gt;&lt;D xsi:type="xsd:double"&gt;1012.23334&lt;/D&gt;&lt;/FQL&gt;&lt;FQL&gt;&lt;Q&gt;EWL^SIZE(FG_CONSTITUENTS)&lt;/Q&gt;&lt;R&gt;1&lt;/R&gt;&lt;C&gt;1&lt;/C&gt;&lt;D xsi:type="xsd:long"&gt;46&lt;/D&gt;&lt;/FQL&gt;&lt;FQL&gt;&lt;Q&gt;VWO^FG_FCF_YIELD_NTM(0)&lt;/Q&gt;&lt;R&gt;1&lt;/R&gt;&lt;C&gt;1&lt;/C&gt;&lt;D xsi:type="xsd:double"&gt;5.43114194666184&lt;/D&gt;&lt;/FQL&gt;&lt;FQL&gt;&lt;Q&gt;TRYSE10Y-FDS^PCTCHG(FG_YIELD(0,,,,"YTM"),FG_YIELD(-1AM,,,,"YTM"))&lt;/Q&gt;&lt;R&gt;1&lt;/R&gt;&lt;C&gt;1&lt;/C&gt;&lt;D xsi:type="xsd:double"&gt;-5.2652655&lt;/D&gt;&lt;/FQL&gt;&lt;FQL&gt;&lt;Q&gt;EWJ^FMA_ROE(NTMA,-20AY,NOW,FY,"PORTAGG","MEANR")&lt;/Q&gt;&lt;R&gt;20&lt;/R&gt;&lt;C&gt;1&lt;/C&gt;&lt;D xsi:type="xsd:double"&gt;9.47226395470966&lt;/D&gt;&lt;D xsi:type="xsd:double"&gt;9.71080928595139&lt;/D&gt;&lt;D xsi:type="xsd:double"&gt;9.94594902069009&lt;/D&gt;&lt;D xsi:type="xsd:double"&gt;9.91062584648368&lt;/D&gt;&lt;D xsi:type="xsd:double"&gt;6.32645011325218&lt;/D&gt;&lt;D xsi:type="xsd:double"&gt;5.71374560341251&lt;/D&gt;&lt;D xsi:type="xsd:double"&gt;7.77608846456594&lt;/D&gt;&lt;D xsi:type="xsd:double"&gt;7.29309511734397&lt;/D&gt;&lt;D xsi:type="xsd:double"&gt;7.60463906390222&lt;/D&gt;&lt;D xsi:type="xsd:double"&gt;8.908847583029&lt;/D&gt;&lt;D xsi:type="xsd:double"&gt;9.08038865449702&lt;/D&gt;&lt;D xsi:type="xsd:double"&gt;8.77889818317635&lt;/D&gt;&lt;D xsi:type="xsd:double"&gt;8.62096827520989&lt;/D&gt;&lt;D xsi:type="xsd:double"&gt;9.23986519100434&lt;/D&gt;&lt;D xsi:type="xsd:double"&gt;9.49570678525962&lt;/D&gt;&lt;D xsi:type="xsd:double"&gt;8.35596278131311&lt;/D&gt;&lt;D xsi:type="xsd:double"&gt;7.43859928704762&lt;/D&gt;&lt;D xsi:type="xsd:double"&gt;9.22076567652677&lt;/D&gt;&lt;D xsi:type="xsd:double"&gt;9.22544557398871&lt;/D&gt;&lt;D xsi:type="xsd:double"&gt;9.29901046494658&lt;/D&gt;&lt;/FQL&gt;&lt;FQL&gt;&lt;Q&gt;EWG^FMA_ROE(NTMA,-20AY,NOW,FY,"PORTAGG","MEANR")&lt;/Q&gt;&lt;R&gt;20&lt;/R&gt;&lt;C&gt;1&lt;/C&gt;&lt;D xsi:type="xsd:double"&gt;11.8275550599933&lt;/D&gt;&lt;D xsi:type="xsd:double"&gt;12.5810872006639&lt;/D&gt;&lt;D xsi:type="xsd:double"&gt;13.372977849048&lt;/D&gt;&lt;D xsi:type="xsd:double"&gt;14.712722857709&lt;/D&gt;&lt;D xsi:type="xsd:double"&gt;11.5210886767193&lt;/D&gt;&lt;D xsi:type="xsd:double"&gt;11.0094337648339&lt;/D&gt;&lt;D xsi:type="xsd:double"&gt;13.0475804034897&lt;/D&gt;&lt;D xsi:type="xsd:double"&gt;12.3546044213534&lt;/D&gt;&lt;D xsi:type="xsd:double"&gt;12.1037876491794&lt;/D&gt;&lt;D xsi:type="xsd:double"&gt;12.1465108243325&lt;/D&gt;&lt;D xsi:type="xsd:double"&gt;11.8873581616615&lt;/D&gt;&lt;D xsi:type="xsd:double"&gt;12.0284649417774&lt;/D&gt;&lt;D xsi:type="xsd:double"&gt;11.8967042128795&lt;/D&gt;&lt;D xsi:type="xsd:double"&gt;12.2469207943648&lt;/D&gt;&lt;D xsi:type="xsd:double"&gt;11.6510152415578&lt;/D&gt;&lt;D xsi:type="xsd:double"&gt;10.4475672102116&lt;/D&gt;&lt;D xsi:type="xsd:double"&gt;9.71471543630713&lt;/D&gt;&lt;D xsi:type="xsd:double"&gt;12.1997093940908&lt;/D&gt;&lt;D xsi:type="xsd:double"&gt;11.8187115511422&lt;/D&gt;&lt;D xsi:type="xsd:double"&gt;11.9387910002122&lt;/D&gt;&lt;/FQL&gt;&lt;FQL&gt;&lt;Q&gt;URTH^FG_TOTAL_RETURNC(0,-1AM)&lt;/Q&gt;&lt;R&gt;1&lt;/R&gt;&lt;C&gt;1&lt;/C&gt;&lt;D xsi:type="xsd:double"&gt;0.2155304&lt;/D&gt;&lt;/FQL&gt;&lt;FQL&gt;&lt;Q&gt;CAGDPY@NL^EE_ACTUAL_ANNUAL(MED,0)&lt;/Q&gt;&lt;R&gt;1&lt;/R&gt;&lt;C&gt;1&lt;/C&gt;&lt;D xsi:type="xsd:double"&gt;10.0892019550425&lt;/D&gt;&lt;/FQL&gt;&lt;FQL&gt;&lt;Q&gt;SPY^FG_ROE(0)&lt;/Q&gt;&lt;R&gt;1&lt;/R&gt;&lt;C&gt;1&lt;/C&gt;&lt;D xsi:type="xsd:double"&gt;18.1333452674955&lt;/D&gt;&lt;/FQL&gt;&lt;FQL&gt;&lt;Q&gt;CAGDPY@CH^EE_ACTUAL_ANNUAL(MED,0)&lt;/Q&gt;&lt;R&gt;1&lt;/R&gt;&lt;C&gt;1&lt;/C&gt;&lt;D xsi:type="xsd:double"&gt;7.64151941312264&lt;/D&gt;&lt;/FQL&gt;&lt;FQL&gt;&lt;Q&gt;TRYAU10Y-FDS^FG_YIELD(0,,,,"YTM")&lt;/Q&gt;&lt;R&gt;1&lt;/R&gt;&lt;C&gt;1&lt;/C&gt;&lt;D xsi:type="xsd:double"&gt;4.351&lt;/D&gt;&lt;/FQL&gt;&lt;FQL&gt;&lt;Q&gt;USDSEK^FG_PRICE(0)&lt;/Q&gt;&lt;R&gt;1&lt;/R&gt;&lt;C&gt;1&lt;/C&gt;&lt;D xsi:type="xsd:double"&gt;10.857&lt;/D&gt;&lt;/FQL&gt;&lt;FQL&gt;&lt;Q&gt;EWU^FG_PRICE(0)&lt;/Q&gt;&lt;R&gt;1&lt;/R&gt;&lt;C&gt;1&lt;/C&gt;&lt;D xsi:type="xsd:double"&gt;36.06&lt;/D&gt;&lt;/FQL&gt;&lt;FQL&gt;&lt;Q&gt;EWQ^P_PRICE(0)/P_PRICE_HIGH_PR(0,,,,,,"PRICE","INTRA","52W")&lt;/Q&gt;&lt;R&gt;1&lt;/R&gt;&lt;C&gt;1&lt;/C&gt;&lt;D xsi:type="xsd:double"&gt;1&lt;/D&gt;&lt;/FQL&gt;&lt;FQL&gt;&lt;Q&gt;CAGDPY@JP^EE_ACTUAL_ANNUAL(MED,0)&lt;/Q&gt;&lt;R&gt;1&lt;/R&gt;&lt;C&gt;1&lt;/C&gt;&lt;D xsi:type="xsd:double"&gt;3.61176418506712&lt;/D&gt;&lt;/FQL&gt;&lt;FQL&gt;&lt;Q&gt;VGK^P_PRICE(0)/P_PRICE_HIGH_PR(0,,,USD,,,"PRICE","INTRA","52W")&lt;/Q&gt;&lt;R&gt;1&lt;/R&gt;&lt;C&gt;1&lt;/C&gt;&lt;D xsi:type="xsd:double"&gt;1&lt;/D&gt;&lt;/FQL&gt;&lt;FQL&gt;&lt;Q&gt;ENZL^FMA_PCT_ABOVE_MAVG(200,0,,,,"PORTAGG")&lt;/Q&gt;&lt;R&gt;1&lt;/R&gt;&lt;C&gt;1&lt;/C&gt;&lt;D xsi:type="xsd:double"&gt;42.8571428571429&lt;/D&gt;&lt;/FQL&gt;&lt;FQL&gt;&lt;Q&gt;EWC^SIZE(FG_CONSTITUENTS)&lt;/Q&gt;&lt;R&gt;1&lt;/R&gt;&lt;C&gt;1&lt;/C&gt;&lt;D xsi:type="xsd:long"&gt;88&lt;/D&gt;&lt;/FQL&gt;&lt;FQL&gt;&lt;Q&gt;TRYNL10Y-FDS^PCTCHG(FG_YIELD(0,,,,"YTM"),FG_YIELD(-1AM,,,,"YTM"))&lt;/Q&gt;&lt;R&gt;1&lt;/R&gt;&lt;C&gt;1&lt;/C&gt;&lt;D xsi:type="xsd:double"&gt;4.9155736&lt;/D&gt;&lt;/FQL&gt;&lt;FQL&gt;&lt;Q&gt;TRYNZ10Y-FDS^FG_YIELD(0,,,,"YTM")&lt;/Q&gt;&lt;R&gt;1&lt;/R&gt;&lt;C&gt;1&lt;/C&gt;&lt;D xsi:type="xsd:double"&gt;4.7396&lt;/D&gt;&lt;/FQL&gt;&lt;FQL&gt;&lt;Q&gt;TRYCN10Y-FDS^FG_YIELD(-10AY,0,Y,,"YTM")&lt;/Q&gt;&lt;R&gt;10&lt;/R&gt;&lt;C&gt;1&lt;/C&gt;&lt;D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xsi:type="xsd:double"&gt;2.574&lt;/D&gt;&lt;/FQL&gt;&lt;FQL&gt;&lt;Q&gt;USDSEK^FG_PRICE_CHANGE(0,-3AM)&lt;/Q&gt;&lt;R&gt;1&lt;/R&gt;&lt;C&gt;1&lt;/C&gt;&lt;D xsi:type="xsd:double"&gt;3.8013697&lt;/D&gt;&lt;/FQL&gt;&lt;FQL&gt;&lt;Q&gt;EWJ^JULIAN(FMA_DIV_YLD(NTMA,NOW,NOW,M,"PORTAGG","MEANR").DATES)&lt;/Q&gt;&lt;R&gt;1&lt;/R&gt;&lt;C&gt;1&lt;/C&gt;&lt;D xsi:type="xsd:long"&gt;45412&lt;/D&gt;&lt;/FQL&gt;&lt;FQL&gt;&lt;Q&gt;USDEUR^FG_PRICE(0)&lt;/Q&gt;&lt;R&gt;1&lt;/R&gt;&lt;C&gt;1&lt;/C&gt;&lt;D xsi:type="xsd:double"&gt;0.9279451&lt;/D&gt;&lt;/FQL&gt;&lt;FQL&gt;&lt;Q&gt;EWL^FMA_EPS(NTMA,-20AY,0,CY,,"PORTAGG","MEANR")&lt;/Q&gt;&lt;R&gt;20&lt;/R&gt;&lt;C&gt;1&lt;/C&gt;&lt;D xsi:type="xsd:double"&gt;1.15167978614637&lt;/D&gt;&lt;D xsi:type="xsd:double"&gt;1.184604896687&lt;/D&gt;&lt;D xsi:type="xsd:double"&gt;1.51903625271091&lt;/D&gt;&lt;D xsi:type="xsd:double"&gt;1.83335061944152&lt;/D&gt;&lt;D xsi:type="xsd:double"&gt;1.66417500457453&lt;/D&gt;&lt;D xsi:type="xsd:double"&gt;1.62932904763549&lt;/D&gt;&lt;D xsi:type="xsd:double"&gt;1.96787353815353&lt;/D&gt;&lt;D xsi:type="xsd:double"&gt;1.86668659044302&lt;/D&gt;&lt;D xsi:type="xsd:double"&gt;1.99956682614325&lt;/D&gt;&lt;D xsi:type="xsd:double"&gt;2.16083764016243&lt;/D&gt;&lt;D xsi:type="xsd:double"&gt;2.02137608124255&lt;/D&gt;&lt;D xsi:type="xsd:double"&gt;1.83898355626911&lt;/D&gt;&lt;D xsi:type="xsd:double"&gt;1.75546716180555&lt;/D&gt;&lt;D xsi:type="xsd:double"&gt;2.01138269666406&lt;/D&gt;&lt;D xsi:type="xsd:double"&gt;2.17519879472254&lt;/D&gt;&lt;D xsi:type="xsd:double"&gt;2.28084252382762&lt;/D&gt;&lt;D xsi:type="xsd:double"&gt;2.36864078682371&lt;/D&gt;&lt;D xsi:type="xsd:double"&gt;2.66234515884581&lt;/D&gt;&lt;D xsi:type="xsd:double"&gt;2.58388720632297&lt;/D&gt;&lt;D xsi:type="xsd:double"&gt;2.86429657487096&lt;/D&gt;&lt;/FQL&gt;&lt;FQL&gt;&lt;Q&gt;ENZL^FG_TOTAL_RETURNC(-10AY,0,AM)&lt;/Q&gt;&lt;R&gt;121&lt;/R&gt;&lt;C&gt;1&lt;/C&gt;&lt;D xsi:type="xsd:double"&gt;-0.25731325&lt;/D&gt;&lt;D xsi:type="xsd:double"&gt;-1.008445&lt;/D&gt;&lt;D xsi:type="xsd:double"&gt;2.4914145&lt;/D&gt;&lt;D xsi:type="xsd:double"&gt;-5.344057&lt;/D&gt;&lt;D xsi:type="xsd:double"&gt;0.99925995&lt;/D&gt;&lt;D xsi:type="xsd:double"&gt;-4.7538996&lt;/D&gt;&lt;D xsi:type="xsd:double"&gt;2.8357744&lt;/D&gt;&lt;D xsi:type="xsd:double"&gt;1.0858536&lt;/D&gt;&lt;D xsi:type="xsd:double"&gt;3.3959389&lt;/D&gt;&lt;D xsi:type="xsd:double"&gt;-1.9125581&lt;/D&gt;&lt;D xsi:type="xsd:double"&gt;2.0511508&lt;/D&gt;&lt;D xsi:type="xsd:double"&gt;1.1910677&lt;/D&gt;&lt;D xsi:type="xsd:double"&gt;-2.6189208&lt;/D&gt;&lt;D xsi:type="xsd:double"&gt;-2.7749836&lt;/D&gt;&lt;D xsi:type="xsd:double"&gt;-8.545512&lt;/D&gt;&lt;D xsi:type="xsd:double"&gt;0.8134842&lt;/D&gt;&lt;D xsi:type="xsd:double"&gt;-7.406336&lt;/D&gt;&lt;D xsi:type="xsd:double"&gt;5.135381&lt;/D&gt;&lt;D xsi:type="xsd:double"&gt;4.5293093&lt;/D&gt;&lt;D xsi:type="xsd:double"&gt;3.200221&lt;/D&gt;&lt;D xsi:type="xsd:double"&gt;-2.4228513&lt;/D&gt;&lt;D xsi:type="xsd:double"&gt;1.1464596&lt;/D&gt;&lt;D xsi:type="xsd:double"&gt;7.79258&lt;/D&gt;&lt;D xsi:type="xsd:double"&gt;6.256306&lt;/D&gt;&lt;D xsi:type="xsd:double"&gt;1.4104486&lt;/D&gt;&lt;D xsi:type="xsd:double"&gt;7.075131&lt;/D&gt;&lt;D xsi:type="xsd:double"&gt;3.7786007&lt;/D&gt;&lt;D xsi:type="xsd:double"&gt;2.8793812&lt;/D&gt;&lt;D xsi:type="xsd:double"&gt;2.9608846&lt;/D&gt;&lt;D xsi:type="xsd:double"&gt;-6.5701127&lt;/D&gt;&lt;D xsi:type="xsd:double"&gt;-3.8867652&lt;/D&gt;&lt;D xsi:type="xsd:double"&gt;-0.43243766&lt;/D&gt;&lt;D xsi:type="xsd:double"&gt;-0.12783408&lt;/D&gt;&lt;D xsi:type="xsd:double"&gt;5.058372&lt;/D&gt;&lt;D xsi:type="xsd:double"&gt;-5.046296&lt;/D&gt;&lt;D xsi:type="xsd:double"&gt;2.7547598&lt;/D&gt;&lt;D xsi:type="xsd:double"&gt;1.8505335&lt;/D&gt;&lt;D xsi:type="xsd:double"&gt;5.194497&lt;/D&gt;&lt;D xsi:type="xsd:double"&gt;4.1909456&lt;/D&gt;&lt;D xsi:type="xsd:double"&gt;1.905179&lt;/D&gt;&lt;D xsi:type="xsd:double"&gt;-0.04249215&lt;/D&gt;&lt;D xsi:type="xsd:double"&gt;-1.5090287&lt;/D&gt;&lt;D xsi:type="xsd:double"&gt;-2.352178&lt;/D&gt;&lt;D xsi:type="xsd:double"&gt;1.7237544&lt;/D&gt;&lt;D xsi:type="xsd:double"&gt;6.902921&lt;/D&gt;&lt;D xsi:type="xsd:double"&gt;-3.2725751&lt;/D&gt;&lt;D xsi:type="xsd:double"&gt;6.1670303&lt;/D&gt;&lt;D xsi:type="xsd:double"&gt;1.2908459&lt;/D&gt;&lt;D xsi:type="xsd:double"&gt;-3.1063318&lt;/D&gt;&lt;D xsi:type="xsd:double"&gt;4.212904&lt;/D&gt;&lt;D xsi:type="xsd:double"&gt;-1.0638058&lt;/D&gt;&lt;D xsi:type="xsd:double"&gt;-5.0060806&lt;/D&gt;&lt;D xsi:type="xsd:double"&gt;0.35203695&lt;/D&gt;&lt;D xsi:type="xsd:double"&gt;-1.3287961&lt;/D&gt;&lt;D xsi:type="xsd:double"&gt;2.3486376&lt;/D&gt;&lt;D xsi:type="xsd:double"&gt;-0.14736652&lt;/D&gt;&lt;D xsi:type="xsd:double"&gt;1.4766693&lt;/D&gt;&lt;D xsi:type="xsd:double"&gt;2.4957657&lt;/D&gt;&lt;D xsi:type="xsd:double"&gt;3.3429742&lt;/D&gt;&lt;D xsi:type="xsd:double"&gt;1.8570185&lt;/D&gt;&lt;D xsi:type="xsd:double"&gt;1.7251492&lt;/D&gt;&lt;D xsi:type="xsd:double"&gt;-0.3468871&lt;/D&gt;&lt;D xsi:type="xsd:double"&gt;4.476142&lt;/D&gt;&lt;D xsi:type="xsd:double"&gt;0.6200671&lt;/D&gt;&lt;D xsi:type="xsd:double"&gt;2.2595644&lt;/D&gt;&lt;D xsi:type="xsd:double"&gt;-4.382759&lt;/D&gt;&lt;D xsi:type="xsd:double"&gt;0.3819704&lt;/D&gt;&lt;D xsi:type="xsd:double"&gt;6.8683386&lt;/D&gt;&lt;D xsi:type="xsd:double"&gt;3.8362741&lt;/D&gt;&lt;D xsi:type="xsd:double"&gt;-1.1868775&lt;/D&gt;&lt;D xsi:type="xsd:double"&gt;-10.189617&lt;/D&gt;&lt;D xsi:type="xsd:double"&gt;-8.267557&lt;/D&gt;&lt;D xsi:type="xsd:double"&gt;8.213377&lt;/D&gt;&lt;D xsi:type="xsd:double"&gt;10.597837&lt;/D&gt;&lt;D xsi:type="xsd:double"&gt;3.3563256&lt;/D&gt;&lt;D xsi:type="xsd:double"&gt;2.836144&lt;/D&gt;&lt;D xsi:type="xsd:double"&gt;0.47667027&lt;/D&gt;&lt;D xsi:type="xsd:double"&gt;3.9816976&lt;/D&gt;&lt;D xsi:type="xsd:double"&gt;6.1104894&lt;/D&gt;&lt;D xsi:type="xsd:double"&gt;2.1038055&lt;/D&gt;&lt;D xsi:type="xsd:double"&gt;6.5708756&lt;/D&gt;&lt;D xsi:type="xsd:double"&gt;-3.8279831&lt;/D&gt;&lt;D xsi:type="xsd:double"&gt;-7.820421&lt;/D&gt;&lt;D xsi:type="xsd:double"&gt;1.5942097&lt;/D&gt;&lt;D xsi:type="xsd:double"&gt;4.121101&lt;/D&gt;&lt;D xsi:type="xsd:double"&gt;-4.3994546&lt;/D&gt;&lt;D xsi:type="xsd:double"&gt;-0.4125476&lt;/D&gt;&lt;D xsi:type="xsd:double"&gt;-1.3714075&lt;/D&gt;&lt;D xsi:type="xsd:double"&gt;4.1305423&lt;/D&gt;&lt;D xsi:type="xsd:double"&gt;-2.882725&lt;/D&gt;&lt;D xsi:type="xsd:double"&gt;2.7013898&lt;/D&gt;&lt;D xsi:type="xsd:double"&gt;-7.5444937&lt;/D&gt;&lt;D xsi:type="xsd:double"&gt;0.41600466&lt;/D&gt;&lt;D xsi:type="xsd:double"&gt;-4.7374067&lt;/D&gt;&lt;D xsi:type="xsd:double"&gt;-1.9793987&lt;/D&gt;&lt;D xsi:type="xsd:double"&gt;0.95922947&lt;/D&gt;&lt;D xsi:type="xsd:double"&gt;-14.690298&lt;/D&gt;&lt;D xsi:type="xsd:double"&gt;0.91331005&lt;/D&gt;&lt;D xsi:type="xsd:double"&gt;-2.3405612&lt;/D&gt;&lt;D xsi:type="xsd:double"&gt;7.453823&lt;/D&gt;&lt;D xsi:type="xsd:double"&gt;-2.025777&lt;/D&gt;&lt;D xsi:type="xsd:double"&gt;-14.014208&lt;/D&gt;&lt;D xsi:type="xsd:double"&gt;5.027938&lt;/D&gt;&lt;D xsi:type="xsd:double"&gt;14.66235&lt;/D&gt;&lt;D xsi:type="xsd:double"&gt;-0.0218153&lt;/D&gt;&lt;D xsi:type="xsd:double"&gt;4.1962266&lt;/D&gt;&lt;D xsi:type="xsd:double"&gt;-7.159531&lt;/D&gt;&lt;D xsi:type="xsd:double"&gt;4.5264006&lt;/D&gt;&lt;D xsi:type="xsd:double"&gt;1.1627913&lt;/D&gt;&lt;D xsi:type="xsd:double"&gt;-4.708159&lt;/D&gt;&lt;D xsi:type="xsd:double"&gt;4.0377855&lt;/D&gt;&lt;D xsi:type="xsd:double"&gt;-3.5937786&lt;/D&gt;&lt;D xsi:type="xsd:double"&gt;-7.497388&lt;/D&gt;&lt;D xsi:type="xsd:double"&gt;1.4942408&lt;/D&gt;&lt;D xsi:type="xsd:double"&gt;-2.4537206&lt;/D&gt;&lt;D xsi:type="xsd:double"&gt;7.1118236&lt;/D&gt;&lt;D xsi:type="xsd:double"&gt;4.6308517&lt;/D&gt;&lt;D xsi:type="xsd:double"&gt;-3.041029&lt;/D&gt;&lt;D xsi:type="xsd:double"&gt;-0.75187683&lt;/D&gt;&lt;D xsi:type="xsd:double"&gt;-1.31948&lt;/D&gt;&lt;D xsi:type="xsd:double"&gt;-0.68085194&lt;/D&gt;&lt;/FQL&gt;&lt;FQL&gt;&lt;Q&gt;BRENT-FDS^FG_PRICE(0)&lt;/Q&gt;&lt;R&gt;1&lt;/R&gt;&lt;C&gt;1&lt;/C&gt;&lt;D xsi:type="xsd:double"&gt;85.86&lt;/D&gt;&lt;/FQL&gt;&lt;FQL&gt;&lt;Q&gt;SPY^FG_PRICE_MAVG(0,,,,30)&lt;/Q&gt;&lt;R&gt;1&lt;/R&gt;&lt;C&gt;1&lt;/C&gt;&lt;D xsi:type="xsd:double"&gt;510.717&lt;/D&gt;&lt;/FQL&gt;&lt;FQL&gt;&lt;Q&gt;ENZL^FG_PRICE_MAVG(0,,,,60)&lt;/Q&gt;&lt;R&gt;1&lt;/R&gt;&lt;C&gt;1&lt;/C&gt;&lt;D xsi:type="xsd:double"&gt;45.143295&lt;/D&gt;&lt;/FQL&gt;&lt;FQL&gt;&lt;Q&gt;URTH^P_PRICE(0)/P_PRICE_LOW_PR(0,,,,,,"PRICE","INTRA","52W")-1&lt;/Q&gt;&lt;R&gt;1&lt;/R&gt;&lt;C&gt;1&lt;/C&gt;&lt;D xsi:type="xsd:double"&gt;0.25666964&lt;/D&gt;&lt;/FQL&gt;&lt;FQL&gt;&lt;Q&gt;EWI^FG_TOTAL_RETURNC(0,-6AM)&lt;/Q&gt;&lt;R&gt;1&lt;/R&gt;&lt;C&gt;1&lt;/C&gt;&lt;D xsi:type="xsd:double"&gt;23.927725&lt;/D&gt;&lt;/FQL&gt;&lt;FQL&gt;&lt;Q&gt;EWA^PERCENT_CHANGE(FMA_EPS(+1,0,,,,"PORTAGG","MEAN"),FMA_EPS(+1,-1AM,,,,"PORTAGG","MEAN"))&lt;/Q&gt;&lt;R&gt;1&lt;/R&gt;&lt;C&gt;1&lt;/C&gt;&lt;D xsi:type="xsd:double"&gt;-0.750898280094505&lt;/D&gt;&lt;/FQL&gt;&lt;FQL&gt;&lt;Q&gt;EWL^FMA_COS_DOWN("EPS","1M",+1,0,,,"PORTAGG","MEANR")&lt;/Q&gt;&lt;R&gt;1&lt;/R&gt;&lt;C&gt;1&lt;/C&gt;&lt;D xsi:type="xsd:double"&gt;21&lt;/D&gt;&lt;/FQL&gt;&lt;FQL&gt;&lt;Q&gt;EWL^FG_ROE(0)&lt;/Q&gt;&lt;R&gt;1&lt;/R&gt;&lt;C&gt;1&lt;/C&gt;&lt;D xsi:type="xsd:double"&gt;24.1458867523275&lt;/D&gt;&lt;/FQL&gt;&lt;FQL&gt;&lt;Q&gt;TRYNZ10Y-FDS^PCTCHG(FG_YIELD(0,,,,"YTM"),FG_YIELD(-3AM,,,,"YTM"))&lt;/Q&gt;&lt;R&gt;1&lt;/R&gt;&lt;C&gt;1&lt;/C&gt;&lt;D xsi:type="xsd:double"&gt;-2.124936&lt;/D&gt;&lt;/FQL&gt;&lt;FQL&gt;&lt;Q&gt;VWO^FMA_DIV_YLD(NTMA,NOW,NOW,M,"PORTAGG","MEANR")&lt;/Q&gt;&lt;R&gt;1&lt;/R&gt;&lt;C&gt;1&lt;/C&gt;&lt;D xsi:type="xsd:double"&gt;3.07520820528364&lt;/D&gt;&lt;/FQL&gt;&lt;FQL&gt;&lt;Q&gt;EWA^FMA_PE(NTMA,0,,,"PORTAGG","MEANR")&lt;/Q&gt;&lt;R&gt;1&lt;/R&gt;&lt;C&gt;1&lt;/C&gt;&lt;D xsi:type="xsd:double"&gt;16.5960932435882&lt;/D&gt;&lt;/FQL&gt;&lt;FQL&gt;&lt;Q&gt;EWN^FMA_PCT_ABOVE_MAVG(200,0,,,,"PORTAGG")&lt;/Q&gt;&lt;R&gt;1&lt;/R&gt;&lt;C&gt;1&lt;/C&gt;&lt;D xsi:type="xsd:double"&gt;70.3703703703704&lt;/D&gt;&lt;/FQL&gt;&lt;FQL&gt;&lt;Q&gt;EWU^P_PRICE(0)/P_PRICE_LOW_PR(0,,,,,,"PRICE","INTRA","52W")-1&lt;/Q&gt;&lt;R&gt;1&lt;/R&gt;&lt;C&gt;1&lt;/C&gt;&lt;D xsi:type="xsd:double"&gt;0.19641674&lt;/D&gt;&lt;/FQL&gt;&lt;FQL&gt;&lt;Q&gt;VWO^FG_PE_NTM(0,,,90,0)&lt;/Q&gt;&lt;R&gt;1&lt;/R&gt;&lt;C&gt;1&lt;/C&gt;&lt;D xsi:type="xsd:double"&gt;12.4768273841028&lt;/D&gt;&lt;/FQL&gt;&lt;FQL&gt;&lt;Q&gt;EWN^FMA_EVAL_EBITDA(NTMA,0,,,"PORTAGG","MEANR")&lt;/Q&gt;&lt;R&gt;1&lt;/R&gt;&lt;C&gt;1&lt;/C&gt;&lt;D xsi:type="xsd:double"&gt;12.4836610848719&lt;/D&gt;&lt;/FQL&gt;&lt;FQL&gt;&lt;Q&gt;QQQ^FMA_EVAL_EBITDA(NTMA,0,,,"PORTAGG","MEANR")&lt;/Q&gt;&lt;R&gt;1&lt;/R&gt;&lt;C&gt;1&lt;/C&gt;&lt;D xsi:type="xsd:double"&gt;15.9856884848&lt;/D&gt;&lt;/FQL&gt;&lt;FQL&gt;&lt;Q&gt;EWJ^FMA_PE(LTM,0,,,"PORTAGG","MEANR")&lt;/Q&gt;&lt;R&gt;1&lt;/R&gt;&lt;C&gt;1&lt;/C&gt;&lt;D xsi:type="xsd:double"&gt;16.2585223680551&lt;/D&gt;&lt;/FQL&gt;&lt;FQL&gt;&lt;Q&gt;QQQ^P_PRICE(0)/P_PRICE_HIGH_PR(0,,,USD,,,"PRICE","INTRA","52W")&lt;/Q&gt;&lt;R&gt;1&lt;/R&gt;&lt;C&gt;1&lt;/C&gt;&lt;D xsi:type="xsd:double"&gt;0.98148394&lt;/D&gt;&lt;/FQL&gt;&lt;FQL&gt;&lt;Q&gt;VWO^FG_TOTAL_RETURNC(0,-1AM)&lt;/Q&gt;&lt;R&gt;1&lt;/R&gt;&lt;C&gt;1&lt;/C&gt;&lt;D xsi:type="xsd:double"&gt;1.4502883&lt;/D&gt;&lt;/FQL&gt;&lt;FQL&gt;&lt;Q&gt;EWI^FMA_ROE(NTMA,-20AY,NOW,FY,"PORTAGG","MEANR")&lt;/Q&gt;&lt;R&gt;20&lt;/R&gt;&lt;C&gt;1&lt;/C&gt;&lt;D xsi:type="xsd:double"&gt;12.7201174133668&lt;/D&gt;&lt;D xsi:type="xsd:double"&gt;14.3538872460945&lt;/D&gt;&lt;D xsi:type="xsd:double"&gt;15.0689086026843&lt;/D&gt;&lt;D xsi:type="xsd:double"&gt;13.8</t>
        </r>
      </text>
    </comment>
    <comment ref="A13" authorId="0" shapeId="0" xr:uid="{682D236B-B864-4F7B-8B72-B4FED9BF7338}">
      <text>
        <r>
          <rPr>
            <b/>
            <sz val="9"/>
            <color indexed="81"/>
            <rFont val="Tahoma"/>
            <charset val="1"/>
          </rPr>
          <t>121430445963&lt;/D&gt;&lt;D xsi:type="xsd:double"&gt;10.7897502226351&lt;/D&gt;&lt;D xsi:type="xsd:double"&gt;8.0585564947071&lt;/D&gt;&lt;D xsi:type="xsd:double"&gt;8.81990423698703&lt;/D&gt;&lt;D xsi:type="xsd:double"&gt;8.11660136585425&lt;/D&gt;&lt;D xsi:type="xsd:double"&gt;7.83939542493847&lt;/D&gt;&lt;D xsi:type="xsd:double"&gt;7.34575996709421&lt;/D&gt;&lt;D xsi:type="xsd:double"&gt;7.29870487123998&lt;/D&gt;&lt;D xsi:type="xsd:double"&gt;7.28937842659948&lt;/D&gt;&lt;D xsi:type="xsd:double"&gt;7.64480507807432&lt;/D&gt;&lt;D xsi:type="xsd:double"&gt;9.05384965064241&lt;/D&gt;&lt;D xsi:type="xsd:double"&gt;10.3909656073461&lt;/D&gt;&lt;D xsi:type="xsd:double"&gt;10.2353053584578&lt;/D&gt;&lt;D xsi:type="xsd:double"&gt;8.27578853786002&lt;/D&gt;&lt;D xsi:type="xsd:double"&gt;11.7277999998841&lt;/D&gt;&lt;D xsi:type="xsd:double"&gt;13.3202789860828&lt;/D&gt;&lt;D xsi:type="xsd:double"&gt;13.3572162055666&lt;/D&gt;&lt;/FQL&gt;&lt;FQL&gt;&lt;Q&gt;EWG^FMA_COS_DOWN("EPS","1M",+1,0,,,"PORTAGG","MEANR")&lt;/Q&gt;&lt;R&gt;1&lt;/R&gt;&lt;C&gt;1&lt;/C&gt;&lt;D xsi:type="xsd:double"&gt;31&lt;/D&gt;&lt;/FQL&gt;&lt;FQL&gt;&lt;Q&gt;VWO^JULIAN(FMA_DIV_YLD(NTMA,NOW,NOW,M,"PORTAGG","MEANR").DATES)&lt;/Q&gt;&lt;R&gt;1&lt;/R&gt;&lt;C&gt;1&lt;/C&gt;&lt;D xsi:type="xsd:long"&gt;45379&lt;/D&gt;&lt;/FQL&gt;&lt;FQL&gt;&lt;Q&gt;PLATI-FDS^MAX(FG_PRICE(0,-5AY))&lt;/Q&gt;&lt;R&gt;1&lt;/R&gt;&lt;C&gt;1&lt;/C&gt;&lt;D xsi:type="xsd:double"&gt;1272.59&lt;/D&gt;&lt;/FQL&gt;&lt;FQL&gt;&lt;Q&gt;URTH^FG_TOTAL_RETURNC(0,-6AM)&lt;/Q&gt;&lt;R&gt;1&lt;/R&gt;&lt;C&gt;1&lt;/C&gt;&lt;D xsi:type="xsd:double"&gt;19.810413&lt;/D&gt;&lt;/FQL&gt;&lt;FQL&gt;&lt;Q&gt;EWQ^FMA_PCT_ABOVE_MAVG(200,0,,,,"PORTAGG")&lt;/Q&gt;&lt;R&gt;1&lt;/R&gt;&lt;C&gt;1&lt;/C&gt;&lt;D xsi:type="xsd:double"&gt;77.7777777777778&lt;/D&gt;&lt;/FQL&gt;&lt;FQL&gt;&lt;Q&gt;EWU^FG_TOTAL_RETURNC(0,-3AM)&lt;/Q&gt;&lt;R&gt;1&lt;/R&gt;&lt;C&gt;1&lt;/C&gt;&lt;D xsi:type="xsd:double"&gt;11.813963&lt;/D&gt;&lt;/FQL&gt;&lt;FQL&gt;&lt;Q&gt;TRYSE10Y-FDS^FG_YIELD_NAME&lt;/Q&gt;&lt;R&gt;1&lt;/R&gt;&lt;C&gt;1&lt;/C&gt;&lt;D xsi:type="xsd:string"&gt;Sweden Benchmark Bond - 10 Year&lt;/D&gt;&lt;/FQL&gt;&lt;FQL&gt;&lt;Q&gt;CAGDPY@CH^EE_ACTUAL_ANNUAL(MED,+1)&lt;/Q&gt;&lt;R&gt;1&lt;/R&gt;&lt;C&gt;1&lt;/C&gt;&lt;D xsi:type="xsd:double"&gt;8.2&lt;/D&gt;&lt;/FQL&gt;&lt;FQL&gt;&lt;Q&gt;USDSEK^FG_PRICE_CHANGE(0,-1AM)&lt;/Q&gt;&lt;R&gt;1&lt;/R&gt;&lt;C&gt;1&lt;/C&gt;&lt;D xsi:type="xsd:double"&gt;2.799368&lt;/D&gt;&lt;/FQL&gt;&lt;FQL&gt;&lt;Q&gt;SPY^FMA_PE(LTMA,-10AY,0,AM,"PORTAGG","MEANR")&lt;/Q&gt;&lt;R&gt;121&lt;/R&gt;&lt;C&gt;1&lt;/C&gt;&lt;D xsi:type="xsd:double"&gt;16.2035090824088&lt;/D&gt;&lt;D xsi:type="xsd:double"&gt;16.3745120042523&lt;/D&gt;&lt;D xsi:type="xsd:double"&gt;16.4345313963655&lt;/D&gt;&lt;D xsi:type="xsd:double"&gt;16.1588884981917&lt;/D&gt;&lt;D xsi:type="xsd:double"&gt;16.4722466791186&lt;/D&gt;&lt;D xsi:type="xsd:double"&gt;16.1180992278732&lt;/D&gt;&lt;D xsi:type="xsd:double"&gt;16.8358960199901&lt;/D&gt;&lt;D xsi:type="xsd:double"&gt;17.1169146324283&lt;/D&gt;&lt;D xsi:type="xsd:double"&gt;17.1803597250845&lt;/D&gt;&lt;D xsi:type="xsd:double"&gt;17.1323502599503&lt;/D&gt;&lt;D xsi:type="xsd:double"&gt;17.5435641282324&lt;/D&gt;&lt;D xsi:type="xsd:double"&gt;17.5339422229993&lt;/D&gt;&lt;D xsi:type="xsd:double"&gt;17.5654631512171&lt;/D&gt;&lt;D xsi:type="xsd:double"&gt;17.4127108704631&lt;/D&gt;&lt;D xsi:type="xsd:double"&gt;17.2692937679653&lt;/D&gt;&lt;D xsi:type="xsd:double"&gt;17.3898161187288&lt;/D&gt;&lt;D xsi:type="xsd:double"&gt;16.6295015813537&lt;/D&gt;&lt;D xsi:type="xsd:double"&gt;17.0854389424927&lt;/D&gt;&lt;D xsi:type="xsd:double"&gt;17.4171677421137&lt;/D&gt;&lt;D xsi:type="xsd:double"&gt;17.1489676805519&lt;/D&gt;&lt;D xsi:type="xsd:double"&gt;16.1338699993641&lt;/D&gt;&lt;D xsi:type="xsd:double"&gt;16.2966838906097&lt;/D&gt;&lt;D xsi:type="xsd:double"&gt;16.18819342752&lt;/D&gt;&lt;D xsi:type="xsd:double"&gt;16.4452153070474&lt;/D&gt;&lt;D xsi:type="xsd:double"&gt;16.565182572191&lt;/D&gt;&lt;D xsi:type="xsd:double"&gt;16.8573424109251&lt;/D&gt;&lt;D xsi:type="xsd:double"&gt;17.0754004946733&lt;/D&gt;&lt;D xsi:type="xsd:double"&gt;17.4938779953714&lt;/D&gt;&lt;D xsi:type="xsd:double"&gt;17.3883673167525&lt;/D&gt;&lt;D xsi:type="xsd:double"&gt;17.6973522215849&lt;/D&gt;&lt;D xsi:type="xsd:double"&gt;17.8816976859527&lt;/D&gt;&lt;D xsi:type="xsd:double"&gt;18.7907440942411&lt;/D&gt;&lt;D xsi:type="xsd:double"&gt;19.0172588040366&lt;/D&gt;&lt;D xsi:type="xsd:double"&gt;19.123947353073&lt;/D&gt;&lt;D xsi:type="xsd:double"&gt;19.4553928856824&lt;/D&gt;&lt;D xsi:type="xsd:double"&gt;19.2941438071779&lt;/D&gt;&lt;D xsi:type="xsd:double"&gt;19.2152803689096&lt;/D&gt;&lt;D xsi:type="xsd:double"&gt;19.1942620012913&lt;/D&gt;&lt;D xsi:type="xsd:double"&gt;19.0653626246731&lt;/D&gt;&lt;D xsi:type="xsd:double"&gt;19.1573960878382&lt;/D&gt;&lt;D xsi:type="xsd:double"&gt;19.0000841852226&lt;/D&gt;&lt;D xsi:type="xsd:double"&gt;19.5030439488734&lt;/D&gt;&lt;D xsi:type="xsd:double"&gt;19.6206784550303&lt;/D&gt;&lt;D xsi:type="xsd:double"&gt;20.0643361478258&lt;/D&gt;&lt;D xsi:type="xsd:double"&gt;20.7628696387786&lt;/D&gt;&lt;D xsi:type="xsd:double"&gt;19.2822126347187&lt;/D&gt;&lt;D xsi:type="xsd:double"&gt;19.8054180333876&lt;/D&gt;&lt;D xsi:type="xsd:double"&gt;19.2802161958653&lt;/D&gt;&lt;D xsi:type="xsd:double"&gt;19.0835794586757&lt;/D&gt;&lt;D xsi:type="xsd:double"&gt;18.9802195687485&lt;/D&gt;&lt;D xsi:type="xsd:double"&gt;18.7314119029784&lt;/D&gt;&lt;D xsi:type="xsd:double"&gt;18.6642041074892&lt;/D&gt;&lt;D xsi:type="xsd:double"&gt;18.524229379318&lt;/D&gt;&lt;D xsi:type="xsd:double"&gt;18.3754719780897&lt;/D&gt;&lt;D xsi:type="xsd:double"&gt;17.5514468335417&lt;/D&gt;&lt;D xsi:type="xsd:double"&gt;16.4748098865252&lt;/D&gt;&lt;D xsi:type="xsd:double"&gt;15.9910311883268&lt;/D&gt;&lt;D xsi:type="xsd:double"&gt;16.6675667574381&lt;/D&gt;&lt;D xsi:type="xsd:double"&gt;17.0500356757658&lt;/D&gt;&lt;D xsi:type="xsd:double"&gt;17.2097877862931&lt;/D&gt;&lt;D xsi:type="xsd:double"&gt;17.170905073395&lt;/D&gt;&lt;D xsi:type="xsd:double"&gt;17.1751293206162&lt;/D&gt;&lt;D xsi:type="xsd:double"&gt;17.5575599966629&lt;/D&gt;&lt;D xsi:type="xsd:double"&gt;17.4686743739485&lt;/D&gt;&lt;D xsi:type="xsd:double"&gt;17.7691739715824&lt;/D&gt;&lt;D xsi:type="xsd:double"&gt;17.6714173167884&lt;/D&gt;&lt;D xsi:type="xsd:double"&gt;18.6644310448097&lt;/D&gt;&lt;D xsi:type="xsd:double"&gt;19.1252816308553&lt;/D&gt;&lt;D xsi:type="xsd:double"&gt;20.1244567447436&lt;/D&gt;&lt;D xsi:type="xsd:double"&gt;20.2390239542798&lt;/D&gt;&lt;D xsi:type="xsd:double"&gt;17.6685029952493&lt;/D&gt;&lt;D xsi:type="xsd:double"&gt;18.2826226586481&lt;/D&gt;&lt;D xsi:type="xsd:double"&gt;19.6658029851759&lt;/D&gt;&lt;D xsi:type="xsd:double"&gt;21.1763403167371&lt;/D&gt;&lt;D xsi:type="xsd:double"&gt;21.6346336567401&lt;/D&gt;&lt;D xsi:type="xsd:double"&gt;22.5270808944957&lt;/D&gt;&lt;D xsi:type="xsd:double"&gt;23.3445678160538&lt;/D&gt;&lt;D xsi:type="xsd:double"&gt;24.3471163733192&lt;/D&gt;&lt;D xsi:type="xsd:double"&gt;24.5941707480153&lt;/D&gt;&lt;D xsi:type="xsd:double"&gt;25.8326060020322&lt;/D&gt;&lt;D xsi:type="xsd:double"&gt;27.7678602947484&lt;/D&gt;&lt;D xsi:type="xsd:double"&gt;27.3402569551521&lt;/D&gt;&lt;D xsi:type="xsd:double"&gt;26.1905215384282&lt;/D&gt;&lt;D xsi:type="xsd:double"&gt;26.0871490373605&lt;/D&gt;&lt;D xsi:type="xsd:double"&gt;25.5266018633195&lt;/D&gt;&lt;D xsi:type="xsd:double"&gt;24.9626764423967&lt;/D&gt;&lt;D xsi:type="xsd:double"&gt;24.8770154527832&lt;/D&gt;&lt;D xsi:type="xsd:double"&gt;24.0715354634872&lt;/D&gt;&lt;D xsi:type="xsd:double"&gt;23.7974928267974&lt;/D&gt;&lt;D xsi:type="xsd:double"&gt;23.0863923470711&lt;/D&gt;&lt;D xsi:type="xsd:double"&gt;23.4664074017901&lt;/D&gt;&lt;D xsi:type="xsd:double"&gt;22.9735251624987&lt;/D&gt;&lt;D xsi:type="xsd:double"&gt;22.7532125121386&lt;/D&gt;&lt;D xsi:type="xsd:double"&gt;21.8855851670313&lt;/D&gt;&lt;D xsi:type="xsd:double"&gt;20.5888841297415&lt;/D&gt;&lt;D xsi:type="xsd:double"&gt;20.6197082899235&lt;/D&gt;&lt;D xsi:type="xsd:double"&gt;19.7159652822658&lt;/D&gt;&lt;D xsi:type="xsd:double"&gt;19.4290548694025&lt;/D&gt;&lt;D xsi:type="xsd:double"&gt;18.8970114137826&lt;/D&gt;&lt;D xsi:type="xsd:double"&gt;19.2929659946573&lt;/D&gt;&lt;D xsi:type="xsd:double"&gt;18.9155022460629&lt;/D&gt;&lt;D xsi:type="xsd:double"&gt;17.378981127499&lt;/D&gt;&lt;D xsi:type="xsd:double"&gt;17.5307283395927&lt;/D&gt;&lt;D xsi:type="xsd:double"&gt;17.9937709342638&lt;/D&gt;&lt;D xsi:type="xsd:double"&gt;17.6608696101923&lt;/D&gt;&lt;D xsi:type="xsd:double"&gt;18.5440965935685&lt;/D&gt;&lt;D xsi:type="xsd:double"&gt;18.001849142708&lt;/D&gt;&lt;D xsi:type="xsd:double"&gt;18.2308694176573&lt;/D&gt;&lt;D xsi:type="xsd:double"&gt;18.2829463814642&lt;/D&gt;&lt;D xsi:type="xsd:double"&gt;18.6650708685008&lt;/D&gt;&lt;D xsi:type="xsd:double"&gt;19.0733738128977&lt;/D&gt;&lt;D xsi:type="xsd:double"&gt;19.3587651535216&lt;/D&gt;&lt;D xsi:type="xsd:double"&gt;19.4501064987214&lt;/D&gt;&lt;D xsi:type="xsd:double"&gt;19.2672722258406&lt;/D&gt;&lt;D xsi:type="xsd:double"&gt;19.4700201468729&lt;/D&gt;&lt;D xsi:type="xsd:double"&gt;20.6808851033883&lt;/D&gt;&lt;D xsi:type="xsd:double"&gt;21.6519159993813&lt;/D&gt;&lt;D xsi:type="xsd:double"&gt;22.5947541128153&lt;/D&gt;&lt;D xsi:type="xsd:double"&gt;22.742913632918&lt;/D&gt;&lt;D xsi:type="xsd:double"&gt;22.6611551431976&lt;/D&gt;&lt;D xsi:type="xsd:double"&gt;22.4826268406049&lt;/D&gt;&lt;/FQL&gt;&lt;FQL&gt;&lt;Q&gt;EWG^FG_TOTAL_RETURNC(0,-6AM)&lt;/Q&gt;&lt;R&gt;1&lt;/R&gt;&lt;C&gt;1&lt;/C&gt;&lt;D xsi:type="xsd:double"&gt;22.18628&lt;/D&gt;&lt;/FQL&gt;&lt;FQL&gt;&lt;Q&gt;EWI^SIZE(FG_CONSTITUENTS)&lt;/Q&gt;&lt;R&gt;1&lt;/R&gt;&lt;C&gt;1&lt;/C&gt;&lt;D xsi:type="xsd:long"&gt;26&lt;/D&gt;&lt;/FQL&gt;&lt;FQL&gt;&lt;Q&gt;REFGBBANK-FDS^PROPER_NAME(0,,,"SECURITY","NAME")&lt;/Q&gt;&lt;R&gt;1&lt;/R&gt;&lt;C&gt;1&lt;/C&gt;&lt;D xsi:type="xsd:string"&gt;UK Bank Rate&lt;/D&gt;&lt;/FQL&gt;&lt;FQL&gt;&lt;Q&gt;TRYSE10Y-FDS^PCTCHG(FG_YIELD(0,,,,"YTM"),FG_YIELD(-3AM,,,,"YTM"))&lt;/Q&gt;&lt;R&gt;1&lt;/R&gt;&lt;C&gt;1&lt;/C&gt;&lt;D xsi:type="xsd:double"&gt;-1.7916659&lt;/D&gt;&lt;/FQL&gt;&lt;FQL&gt;&lt;Q&gt;TRYNZ10Y-FDS^PCTCHG(FG_YIELD(0,,,,"YTM"),FG_YIELD(-1AM,,,,"YTM"))&lt;/Q&gt;&lt;R&gt;1&lt;/R&gt;&lt;C&gt;1&lt;/C&gt;&lt;D xsi:type="xsd:double"&gt;-0.589383&lt;/D&gt;&lt;/FQL&gt;&lt;FQL&gt;&lt;Q&gt;EWI^FMA_DIV_YLD(NTMA,-10AY,0,AM,"PORTAGG","MEANR")&lt;/Q&gt;&lt;R&gt;121&lt;/R&gt;&lt;C&gt;1&lt;/C&gt;&lt;D xsi:type="xsd:double"&gt;3.48484039049091&lt;/D&gt;&lt;D xsi:type="xsd:double"&gt;3.34900876445769&lt;/D&gt;&lt;D xsi:type="xsd:double"&gt;3.45897607074103&lt;/D&gt;&lt;D xsi:type="xsd:double"&gt;3.80203903797006&lt;/D&gt;&lt;D xsi:type="xsd:double"&gt;3.48060438149663&lt;/D&gt;&lt;D xsi:type="xsd:double"&gt;3.93864484878653&lt;/D&gt;&lt;D xsi:type="xsd:double"&gt;4.00863793115032&lt;/D&gt;&lt;D xsi:type="xsd:double"&gt;3.93772893408189&lt;/D&gt;&lt;D xsi:type="xsd:double"&gt;4.27218270378016&lt;/D&gt;&lt;D xsi:type="xsd:double"&gt;3.79809664364196&lt;/D&gt;&lt;D xsi:type="xsd:double"&gt;3.43147213209223&lt;/D&gt;&lt;D xsi:type="xsd:double"&gt;3.07678050142357&lt;/D&gt;&lt;D xsi:type="xsd:double"&gt;3.16911240226874&lt;/D&gt;&lt;D xsi:type="xsd:double"&gt;3.34934573603659&lt;/D&gt;&lt;D xsi:type="xsd:double"&gt;3.38413915937242&lt;/D&gt;&lt;D xsi:type="xsd:double"&gt;3.10293140791529&lt;/D&gt;&lt;D xsi:type="xsd:double"&gt;3.35159973731473&lt;/D&gt;&lt;D xsi:type="xsd:double"&gt;3.55995799370087&lt;/D&gt;&lt;D xsi:type="xsd:double"&gt;3.63598478599755&lt;/D&gt;&lt;D xsi:type="xsd:double"&gt;3.75647122171923&lt;/D&gt;&lt;D xsi:type="xsd:double"&gt;4.14061568249448&lt;/D&gt;&lt;D xsi:type="xsd:double"&gt;5.07079912207996&lt;/D&gt;&lt;D xsi:type="xsd:double"&gt;4.35065855877327&lt;/D&gt;&lt;D xsi:type="xsd:double"&gt;4.58294043507197&lt;/D&gt;&lt;D xsi:type="xsd:double"&gt;4.56114515818456&lt;/D&gt;&lt;D xsi:type="xsd:double"&gt;4.6184645917847&lt;/D&gt;&lt;D xsi:type="xsd:double"&gt;5.02362999610765&lt;/D&gt;&lt;D xsi:type="xsd:double"&gt;4.7428369720101&lt;/D&gt;&lt;D xsi:type="xsd:double"&gt;4.71948698640769&lt;/D&gt;&lt;D xsi:type="xsd:double"&gt;4.98370628434609&lt;/D&gt;&lt;D xsi:type="xsd:double"&gt;4.79917236177667&lt;/D&gt;&lt;D xsi:type="xsd:double"&gt;4.53550667294587&lt;/D&gt;&lt;D xsi:type="xsd:double"&gt;4.3232462884426&lt;/D&gt;&lt;D xsi:type="xsd:double"&gt;4.42498494381846&lt;/D&gt;&lt;D xsi:type="xsd:double"&gt;4.08284532637557&lt;/D&gt;&lt;D xsi:type="xsd:double"&gt;3.9448732002126&lt;/D&gt;&lt;D xsi:type="xsd:double"&gt;3.76318331336915&lt;/D&gt;&lt;D xsi:type="xsd:double"&gt;3.75897859432636&lt;/D&gt;&lt;D xsi:type="xsd:double"&gt;3.83074211280276&lt;/D&gt;&lt;D xsi:type="xsd:double"&gt;3.74140385178963&lt;/D&gt;&lt;D xsi:type="xsd:double"&gt;3.78081091724328&lt;/D&gt;&lt;D xsi:type="xsd:double"&gt;3.7897701325389&lt;/D&gt;&lt;D xsi:type="xsd:double"&gt;3.80181785362934&lt;/D&gt;&lt;D xsi:type="xsd:double"&gt;3.81493364075625&lt;/D&gt;&lt;D xsi:type="xsd:double"&gt;3.82497114814691&lt;/D&gt;&lt;D xsi:type="xsd:double"&gt;4.0296985547953&lt;/D&gt;&lt;D xsi:type="xsd:double"&gt;4.00243749414389&lt;/D&gt;&lt;D xsi:type="xsd:double"&gt;3.99884762557184&lt;/D&gt;&lt;D xsi:type="xsd:double"&gt;3.87163440692801&lt;/D&gt;&lt;D xsi:type="xsd:double"&gt;4.52327630867995&lt;/D&gt;&lt;D xsi:type="xsd:double"&gt;4.42170718755545&lt;/D&gt;&lt;D xsi:type="xsd:double"&gt;4.46426613052356&lt;/D&gt;&lt;D xsi:type="xsd:double"&gt;4.73704531619247&lt;/D&gt;&lt;D xsi:type="xsd:double"&gt;4.84778104354599&lt;/D&gt;&lt;D xsi:type="xsd:double"&gt;5.07712974022427&lt;/D&gt;&lt;D xsi:type="xsd:double"&gt;5.32369361868214&lt;/D&gt;&lt;D xsi:type="xsd:double"&gt;5.21347962637347&lt;/D&gt;&lt;D xsi:type="xsd:double"&gt;5.1215540130128&lt;/D&gt;&lt;D xsi:type="xsd:double"&gt;4.83078534964413&lt;/D&gt;&lt;D xsi:type="xsd:double"&gt;4.6325274391815&lt;/D&gt;&lt;D xsi:type="xsd:double"&gt;4.8815066463821&lt;/D&gt;&lt;D xsi:type="xsd:double"&gt;5.02716359448981&lt;/D&gt;&lt;D xsi:type="xsd:double"&gt;4.68730744362568&lt;/D&gt;&lt;D xsi:type="xsd:double"&gt;5.09412920189894&lt;/D&gt;&lt;D xsi:type="xsd:double"&gt;4.75610552221586&lt;/D&gt;&lt;D xsi:type="xsd:double"&gt;4.86257330958145&lt;/D&gt;&lt;D xsi:type="xsd:double"&gt;4.52456206324014&lt;/D&gt;&lt;D xsi:type="xsd:double"&gt;4.61366976409558&lt;/D&gt;&lt;D xsi:type="xsd:double"&gt;4.43676694238617&lt;/D&gt;&lt;D xsi:type="xsd:double"&gt;4.45088929682682&lt;/D&gt;&lt;D xsi:type="xsd:double"&gt;5.87419985195954&lt;/D&gt;&lt;D xsi:type="xsd:double"&gt;5.87672825081317&lt;/D&gt;&lt;D xsi:type="xsd:double"&gt;5.04973448764846&lt;/D&gt;&lt;D xsi:type="xsd:double"&gt;4.16133370752378&lt;/D&gt;&lt;D xsi:type="xsd:double"&gt;4.36120103392263&lt;/D&gt;&lt;D xsi:type="xsd:double"&gt;4.01100273461485&lt;/D&gt;&lt;D xsi:type="xsd:double"&gt;4.02677667732514&lt;/D&gt;&lt;D xsi:type="xsd:double"&gt;4.11721819137055&lt;/D&gt;&lt;D xsi:type="xsd:double"&gt;4.02998718411157&lt;/D&gt;&lt;D xsi:type="xsd:double"&gt;3.95046419203303&lt;/D&gt;&lt;D xsi:type="xsd:double"&gt;3.8740387365484&lt;/D&gt;&lt;D xsi:type="xsd:double"&gt;3.91673632840801&lt;/D&gt;&lt;D xsi:type="xsd:double"&gt;4.0995100975406&lt;/D&gt;&lt;D xsi:type="xsd:double"&gt;4.06191685254827&lt;/D&gt;&lt;D xsi:type="xsd:double"&gt;4.18406035438253&lt;/D&gt;&lt;D xsi:type="xsd:double"&gt;4.02801525661611&lt;/D&gt;&lt;D xsi:type="xsd:double"&gt;4.19602155604014&lt;/D&gt;&lt;D xsi:type="xsd:double"&gt;4.30047094077861&lt;/D&gt;&lt;D xsi:type="xsd:double"&gt;4.45359581067823&lt;/D&gt;&lt;D xsi:type="xsd:double"&gt;4.43673380659429&lt;/D&gt;&lt;D xsi:type="xsd:double"&gt;4.35730926189796&lt;/D&gt;&lt;D xsi:type="xsd:double"&gt;4.62422942578313&lt;/D&gt;&lt;D xsi:type="xsd:double"&gt;4.58557055139011&lt;/D&gt;&lt;D xsi:type="xsd:double"&gt;4.76324902433606&lt;/D&gt;&lt;D xsi:type="xsd:double"&gt;5.32889370984152&lt;/D&gt;&lt;D xsi:type="xsd:double"&gt;5.03436826455756&lt;/D&gt;&lt;D xsi:type="xsd:double"&gt;5.42131559107317&lt;/D&gt;&lt;D xsi:type="xsd:double"&gt;5.36069331642839&lt;/D&gt;&lt;D xsi:type="xsd:double"&gt;5.8266097635308&lt;/D&gt;&lt;D xsi:type="xsd:double"&gt;5.79571073713267&lt;/D&gt;&lt;D xsi:type="xsd:double"&gt;5.64700883993288&lt;/D&gt;&lt;D xsi:type="xsd:double"&gt;6.16206664921536&lt;/D&gt;&lt;D xsi:type="xsd:double"&gt;5.49844805550222&lt;/D&gt;&lt;D xsi:type="xsd:double"&gt;5.78300982870232&lt;/D&gt;&lt;D xsi:type="xsd:double"&gt;5.54555391059605&lt;/D&gt;&lt;D xsi:type="xsd:double"&gt;5.38595609475431&lt;/D&gt;&lt;D xsi:type="xsd:double"&gt;5.2740502077634&lt;/D&gt;&lt;D xsi:type="xsd:double"&gt;5.40993204345518&lt;/D&gt;&lt;D xsi:type="xsd:double"&gt;5.49111023858704&lt;/D&gt;&lt;D xsi:type="xsd:double"&gt;5.44352507918498&lt;/D&gt;&lt;D xsi:type="xsd:double"&gt;5.38662945789562&lt;/D&gt;&lt;D xsi:type="xsd:double"&gt;5.51531578866843&lt;/D&gt;&lt;D xsi:type="xsd:double"&gt;5.46531581909823&lt;/D&gt;&lt;D xsi:type="xsd:double"&gt;5.6683006674974&lt;/D&gt;&lt;D xsi:type="xsd:double"&gt;5.60412699626102&lt;/D&gt;&lt;D xsi:type="xsd:double"&gt;5.36980689362065&lt;/D&gt;&lt;D xsi:type="xsd:double"&gt;5.44428567580658&lt;/D&gt;&lt;D xsi:type="xsd:double"&gt;5.51298909926196&lt;/D&gt;&lt;D xsi:type="xsd:double"&gt;5.21153499433207&lt;/D&gt;&lt;D xsi:type="xsd:double"&gt;5.24337232947434&lt;/D&gt;&lt;D xsi:type="xsd:double"&gt;5.24365476541222&lt;/D&gt;&lt;/FQL&gt;&lt;FQL&gt;&lt;Q&gt;EWG^FG_TOTAL_RETURNC(0,-3AM)&lt;/Q&gt;&lt;R&gt;1&lt;/R&gt;&lt;C&gt;1&lt;/C&gt;&lt;D xsi:type="xsd:double"&gt;9.531951&lt;/D&gt;&lt;/FQL&gt;&lt;FQL&gt;&lt;Q&gt;FXI^FG_TOTAL_RETURNC(0,-12AM)&lt;/Q&gt;&lt;R&gt;1&lt;/R&gt;&lt;C&gt;1&lt;/C&gt;&lt;D xsi:type="xsd:double"&gt;-0.5471945&lt;/D&gt;&lt;/FQL&gt;&lt;FQL&gt;&lt;Q&gt;EWA^JULIAN(FMA_DIV_YLD(NTMA,NOW,NOW,M,"PORTAGG","MEANR").DATES)&lt;/Q&gt;&lt;R&gt;1&lt;/R&gt;&lt;C&gt;1&lt;/C&gt;&lt;D xsi:type="xsd:long"&gt;45412&lt;/D&gt;&lt;/FQL&gt;&lt;FQL&gt;&lt;Q&gt;TRYCH10Y-FDS^FG_YIELD(-10AY,0,Y,,"YTM")&lt;/Q&gt;&lt;R&gt;10&lt;/R&gt;&lt;C&gt;1&lt;/C&gt;&lt;D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xsi:type="xsd:double"&gt;0.703&lt;/D&gt;&lt;/FQL&gt;&lt;FQL&gt;&lt;Q&gt;USDEUR^FG_COMPANY_NAME&lt;/Q&gt;&lt;R&gt;1&lt;/R&gt;&lt;C&gt;1&lt;/C&gt;&lt;D xsi:type="xsd:string"&gt;Euro per U.S. Dollar&lt;/D&gt;&lt;/FQL&gt;&lt;FQL&gt;&lt;Q&gt;EWJ^FMA_EPS(NTMA,-20AY,0,CY,,"PORTAGG","MEANR")&lt;/Q&gt;&lt;R&gt;20&lt;/R&gt;&lt;C&gt;1&lt;/C&gt;&lt;D xsi:type="xsd:double"&gt;2.83572005832403&lt;/D&gt;&lt;D xsi:type="xsd:double"&gt;2.84830335934349&lt;/D&gt;&lt;D xsi:type="xsd:double"&gt;3.29156932486821&lt;/D&gt;&lt;D xsi:type="xsd:double"&gt;3.66778515674736&lt;/D&gt;&lt;D xsi:type="xsd:double"&gt;2.74393009109397&lt;/D&gt;&lt;D xsi:type="xsd:double"&gt;1.93733358061505&lt;/D&gt;&lt;D xsi:type="xsd:double"&gt;3.17729322550467&lt;/D&gt;&lt;D xsi:type="xsd:double"&gt;3.09458124193192&lt;/D&gt;&lt;D xsi:type="xsd:double"&gt;2.8747287105461&lt;/D&gt;&lt;D xsi:type="xsd:double"&gt;3.27496071085416&lt;/D&gt;&lt;D xsi:type="xsd:double"&gt;3.14456301788536&lt;/D&gt;&lt;D xsi:type="xsd:double"&gt;3.44827515089069&lt;/D&gt;&lt;D xsi:type="xsd:double"&gt;3.33160709427031&lt;/D&gt;&lt;D xsi:type="xsd:double"&gt;4.07233312791291&lt;/D&gt;&lt;D xsi:type="xsd:double"&gt;4.56488250158257&lt;/D&gt;&lt;D xsi:type="xsd:double"&gt;4.07638230861392&lt;/D&gt;&lt;D xsi:type="xsd:double"&gt;3.67789542177964&lt;/D&gt;&lt;D xsi:type="xsd:double"&gt;4.61613856769821&lt;/D&gt;&lt;D xsi:type="xsd:double"&gt;4.46089543101883&lt;/D&gt;&lt;D xsi:type="xsd:double"&gt;4.56547559046599&lt;/D&gt;&lt;/FQL&gt;&lt;FQL&gt;&lt;Q&gt;NI-FDS^FG_PRICE(0)&lt;/Q&gt;&lt;R&gt;1&lt;/R&gt;&lt;C&gt;1&lt;/C&gt;&lt;D xsi:type="xsd:double"&gt;18625&lt;/D&gt;&lt;/FQL&gt;&lt;FQL&gt;&lt;Q&gt;COPP-FDS^MAX(FG_PRICE(0,-5AY))&lt;/Q&gt;&lt;R&gt;1&lt;/R&gt;&lt;C&gt;1&lt;/C&gt;&lt;D xsi:type="xsd:double"&gt;4.929&lt;/D&gt;&lt;/FQL&gt;&lt;FQL&gt;&lt;Q&gt;QQQ^FG_PRICE_MAVG(0,,,,60)&lt;/Q&gt;&lt;R&gt;1&lt;/R&gt;&lt;C&gt;1&lt;/C&gt;&lt;D xsi:type="xsd:double"&gt;436.17334&lt;/D&gt;&lt;/FQL&gt;&lt;FQL&gt;&lt;Q&gt;ENZL^FG_PRICE_MAVG(0,,,,30)&lt;/Q&gt;&lt;R&gt;1&lt;/R&gt;&lt;C&gt;1&lt;/C&gt;&lt;D xsi:type="xsd:double"&gt;44.88376&lt;/D&gt;&lt;/FQL&gt;&lt;FQL&gt;&lt;Q&gt;URTH^P_PRICE(0)/P_PRICE_HIGH_PR(0,,,,,,"PRICE","INTRA","52W")&lt;/Q&gt;&lt;R&gt;1&lt;/R&gt;&lt;C&gt;1&lt;/C&gt;&lt;D xsi:type="xsd:double"&gt;0.99276805&lt;/D&gt;&lt;/FQL&gt;&lt;FQL&gt;&lt;Q&gt;EWI^FG_TOTAL_RETURNC(0,-3AM)&lt;/Q&gt;&lt;R&gt;1&lt;/R&gt;&lt;C&gt;1&lt;/C&gt;&lt;D xsi:type="xsd:double"&gt;11.638188&lt;/D&gt;&lt;/FQL&gt;&lt;FQL&gt;&lt;Q&gt;EWA^FMA_PCT_ABOVE_MAVG(200,0,,,,"PORTAGG")&lt;/Q&gt;&lt;R&gt;1&lt;/R&gt;&lt;C&gt;1&lt;/C&gt;&lt;D xsi:type="xsd:double"&gt;64.4067796610169&lt;/D&gt;&lt;/FQL&gt;&lt;FQL&gt;&lt;Q&gt;EWA^FG_ROE(0)&lt;/Q&gt;&lt;R&gt;1&lt;/R&gt;&lt;C&gt;1&lt;/C&gt;&lt;D xsi:type="xsd:double"&gt;12.8360337781145&lt;/D&gt;&lt;/FQL&gt;&lt;FQL&gt;&lt;Q&gt;VWO^FG_PE(0)&lt;/Q&gt;&lt;R&gt;1&lt;/R&gt;&lt;C&gt;1&lt;/C&gt;&lt;D xsi:type="xsd:double"&gt;14.0678810588695&lt;/D&gt;&lt;/FQL&gt;&lt;FQL&gt;&lt;Q&gt;QQQ^FG_FCF_YIELD_NTM(0)&lt;/Q&gt;&lt;R&gt;1&lt;/R&gt;&lt;C&gt;1&lt;/C&gt;&lt;D xsi:type="xsd:double"&gt;3.69587423259897&lt;/D&gt;&lt;/FQL&gt;&lt;FQL&gt;&lt;Q&gt;EWA^FMA_PE(LTM,0,,,"PORTAGG","MEANR")&lt;/Q&gt;&lt;R&gt;1&lt;/R&gt;&lt;C&gt;1&lt;/C&gt;&lt;D xsi:type="xsd:double"&gt;18.5053902355655&lt;/D&gt;&lt;/FQL&gt;&lt;FQL&gt;&lt;Q&gt;EWU^P_PRICE(0)/P_PRICE_HIGH_PR(0,,,,,,"PRICE","INTRA","52W")&lt;/Q&gt;&lt;R&gt;1&lt;/R&gt;&lt;C&gt;1&lt;/C&gt;&lt;D xsi:type="xsd:double"&gt;0.9997228&lt;/D&gt;&lt;/FQL&gt;&lt;FQL&gt;&lt;Q&gt;EWI^FMA_COS_DOWN("EPS","1M",+1,0,,,"PORTAGG","MEANR")&lt;/Q&gt;&lt;R&gt;1&lt;/R&gt;&lt;C&gt;1&lt;/C&gt;&lt;D xsi:type="xsd:double"&gt;9&lt;/D&gt;&lt;/FQL&gt;&lt;FQL&gt;&lt;Q&gt;REFCHMPR-FDS^(SUBARRAY(NOT_NA(NO_REPEAT_F(FG_YIELD(NOW,-10AY,D))),0,1)-SUBARRAY(NOT_NA(NO_REPEAT_F(FG_YIELD(NOW,-10AY,D))),1,1))*100&lt;/Q&gt;&lt;R&gt;1&lt;/R&gt;&lt;C&gt;1&lt;/C&gt;&lt;D xsi:type="xsd:double"&gt;-25&lt;/D&gt;&lt;/FQL&gt;&lt;FQL&gt;&lt;Q&gt;QQQ^FMA_DIV_YLD(NTMA,NOW,NOW,M,"PORTAGG","MEANR")&lt;/Q&gt;&lt;R&gt;1&lt;/R&gt;&lt;C&gt;1&lt;/C&gt;&lt;D xsi:type="xsd:double"&gt;0.943896880301974&lt;/D&gt;&lt;/FQL&gt;&lt;FQL&gt;&lt;Q&gt;TRYEU10Y-FDS^FG_YIELD(-10AY,0,Y,,"YTM")&lt;/Q&gt;&lt;R&gt;10&lt;/R&gt;&lt;C&gt;1&lt;/C&gt;&lt;D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xsi:type="xsd:double"&gt;2.004&lt;/D&gt;&lt;/FQL&gt;&lt;FQL&gt;&lt;Q&gt;ENZL^FG_ROE(0)&lt;/Q&gt;&lt;R&gt;1&lt;/R&gt;&lt;C&gt;1&lt;/C&gt;&lt;D xsi:type="xsd:double"&gt;5.61436108958569&lt;/D&gt;&lt;/FQL&gt;&lt;FQL&gt;&lt;Q&gt;TIPSCL10Y-FDS^FG_YIELD(-10AY,0,Y,,"YTM")&lt;/Q&gt;&lt;R&gt;10&lt;/R&gt;&lt;C&gt;1&lt;/C&gt;&lt;D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xsi:type="xsd:string"&gt;@NA&lt;/D&gt;&lt;/FQL&gt;&lt;FQL&gt;&lt;Q&gt;EWL^FG_PRICE_MAVG(0,,,,200)&lt;/Q&gt;&lt;R&gt;1&lt;/R&gt;&lt;C&gt;1&lt;/C&gt;&lt;D xsi:type="xsd:double"&gt;45.9181&lt;/D&gt;&lt;/FQL&gt;&lt;FQL&gt;&lt;Q&gt;USDANG^STD(FG_PRICE_CHANGE(0,-3AY,M))&lt;/Q&gt;&lt;R&gt;1&lt;/R&gt;&lt;C&gt;1&lt;/C&gt;&lt;D xsi:type="xsd:double"&gt;0.0594600681310969&lt;/D&gt;&lt;/FQL&gt;&lt;FQL&gt;&lt;Q&gt;USDSEK^FG_COMPANY_NAME&lt;/Q&gt;&lt;R&gt;1&lt;/R&gt;&lt;C&gt;1&lt;/C&gt;&lt;D xsi:type="xsd:string"&gt;Swedish Krona per U.S. Dollar&lt;/D&gt;&lt;/FQL&gt;&lt;FQL&gt;&lt;Q&gt;EWU^FMA_EVAL_EBITDA(NTMA,0,,,"PORTAGG","MEANR")&lt;/Q&gt;&lt;R&gt;1&lt;/R&gt;&lt;C&gt;1&lt;/C&gt;&lt;D xsi:type="xsd:double"&gt;7.53101010305153&lt;/D&gt;&lt;/FQL&gt;&lt;FQL&gt;&lt;Q&gt;USDCAD^FG_PRICE_CHANGE(0,-6AM)&lt;/Q&gt;&lt;R&gt;1&lt;/R&gt;&lt;C&gt;1&lt;/C&gt;&lt;D xsi:type="xsd:double"&gt;-0.4254222&lt;/D&gt;&lt;/FQL&gt;&lt;FQL&gt;&lt;Q&gt;EWD^SIZE(FG_CONSTITUENTS)&lt;/Q&gt;&lt;R&gt;1&lt;/R&gt;&lt;C&gt;1&lt;/C&gt;&lt;D xsi:type="xsd:long"&gt;44&lt;/D&gt;&lt;/FQL&gt;&lt;FQL&gt;&lt;Q&gt;EWI^PERCENT_CHANGE(FMA_EPS(+1,0,,,,"PORTAGG","MEAN"),FMA_EPS(+1,-1AM,,,,"PORTAGG","MEAN"))&lt;/Q&gt;&lt;R&gt;1&lt;/R&gt;&lt;C&gt;1&lt;/C&gt;&lt;D xsi:type="xsd:double"&gt;-1.0436592839626&lt;/D&gt;&lt;/FQL&gt;&lt;FQL&gt;&lt;Q&gt;EWC^FMA_EPS(NTMA,-20AY,0,CY,,"PORTAGG","MEANR")&lt;/Q&gt;&lt;R&gt;20&lt;/R&gt;&lt;C&gt;1&lt;/C&gt;&lt;D xsi:type="xsd:double"&gt;1.20309203563583&lt;/D&gt;&lt;D xsi:type="xsd:double"&gt;1.51116357259943&lt;/D&gt;&lt;D xsi:type="xsd:double"&gt;1.75142389864603&lt;/D&gt;&lt;D xsi:type="xsd:double"&gt;2.13167450038286&lt;/D&gt;&lt;D xsi:type="xsd:double"&gt;1.71974218387406&lt;/D&gt;&lt;D xsi:type="xsd:double"&gt;1.79551827424964&lt;/D&gt;&lt;D xsi:type="xsd:double"&gt;2.09754276006241&lt;/D&gt;&lt;D xsi:type="xsd:double"&gt;2.2894893869441&lt;/D&gt;&lt;D xsi:type="xsd:double"&gt;2.21761530023934&lt;/D&gt;&lt;D xsi:type="xsd:double"&gt;2.02017545762442&lt;/D&gt;&lt;D xsi:type="xsd:double"&gt;1.86130476812284&lt;/D&gt;&lt;D xsi:type="xsd:double"&gt;1.52246252495242&lt;/D&gt;&lt;D xsi:type="xsd:double"&gt;1.66157074539786&lt;/D&gt;&lt;D xsi:type="xsd:double"&gt;1.86172454535832&lt;/D&gt;&lt;D xsi:type="xsd:double"&gt;1.97740509819126&lt;/D&gt;&lt;D xsi:type="xsd:double"&gt;2.07393921799229&lt;/D&gt;&lt;D xsi:type="xsd:double"&gt;1.95784087398727&lt;/D&gt;&lt;D xsi:type="xsd:double"&gt;2.66448337817763&lt;/D&gt;&lt;D xsi:type="xsd:double"&gt;2.74920456102042&lt;/D&gt;&lt;D xsi:type="xsd:double"&gt;2.68263358415049&lt;/D&gt;&lt;/FQL&gt;&lt;FQL&gt;&lt;Q&gt;COPP-FDS^FG_PRICE_CHANGE(0,-1AY)&lt;/Q&gt;&lt;R&gt;1&lt;/R&gt;&lt;C&gt;1&lt;/C&gt;&lt;D xsi:type="xsd:double"&gt;18.4751864232451&lt;/D&gt;&lt;/FQL&gt;&lt;FQL&gt;&lt;Q&gt;EWU^FG_TOTAL_RETURNC(0,-6AM)&lt;/Q&gt;&lt;R&gt;1&lt;/R&gt;&lt;C&gt;1&lt;/C&gt;&lt;D xsi:type="xsd:double"&gt;18.541645&lt;/D&gt;&lt;/FQL&gt;&lt;FQL&gt;&lt;Q&gt;EWG^FG_TOTAL_RETURNC(0,-1AM)&lt;/Q&gt;&lt;R&gt;1&lt;/R&gt;&lt;C&gt;1&lt;/C&gt;&lt;D xsi:type="xsd:double"&gt;2.2321463&lt;/D&gt;&lt;/FQL&gt;&lt;FQL&gt;&lt;Q&gt;ENZL^PERCENT_CHANGE(FMA_EPS(+1,0,,,,"PORTAGG","MEAN"),FMA_EPS(+1,-1AM,,,,"PORTAGG","MEAN"))&lt;/Q&gt;&lt;R&gt;1&lt;/R&gt;&lt;C&gt;1&lt;/C&gt;&lt;D xsi:type="xsd:double"&gt;-2.05321933911157&lt;/D&gt;&lt;/FQL&gt;&lt;FQL&gt;&lt;Q&gt;EWI^FMA_COS_UP("EPS","1M",+1,0,,,"PORTAGG","MEANR")&lt;/Q&gt;&lt;R&gt;1&lt;/R&gt;&lt;C&gt;1&lt;/C&gt;&lt;D xsi:type="xsd:double"&gt;11&lt;/D&gt;&lt;/FQL&gt;&lt;FQL&gt;&lt;Q&gt;EWG^FMA_COS_UP("EPS","1M",+1,0,,,"PORTAGG","MEANR")&lt;/Q&gt;&lt;R&gt;1&lt;/R&gt;&lt;C&gt;1&lt;/C&gt;&lt;D xsi:type="xsd:double"&gt;24&lt;/D&gt;&lt;/FQL&gt;&lt;FQL&gt;&lt;Q&gt;REFCHMPR-FDS^FG_YIELD(NOW,,,0)&lt;/Q&gt;&lt;R&gt;1&lt;/R&gt;&lt;C&gt;1&lt;/C&gt;&lt;D xsi:type="xsd:double"&gt;1.5&lt;/D&gt;&lt;/FQL&gt;&lt;FQL&gt;&lt;Q&gt;TRYNL10Y-FDS^PCTCHG(FG_YIELD(0,,,,"YTM"),FG_YIELD(-3AM,,,,"YTM"))&lt;/Q&gt;&lt;R&gt;1&lt;/R&gt;&lt;C&gt;1&lt;/C&gt;&lt;D xsi:type="xsd:double"&gt;2.9455054&lt;/D&gt;&lt;/FQL&gt;&lt;FQL&gt;&lt;Q&gt;TRYSE10Y-FDS^FG_YIELD(0,,,,"YTM")&lt;/Q&gt;&lt;R&gt;1&lt;/R&gt;&lt;C&gt;1&lt;/C&gt;&lt;D xsi:type="xsd:double"&gt;2.357&lt;/D&gt;&lt;/FQL&gt;&lt;FQL&gt;&lt;Q&gt;VGK^FMA_DIV_YLD(NTMA,NOW,NOW,M,"PORTAGG","MEANR")&lt;/Q&gt;&lt;R&gt;1&lt;/R&gt;&lt;C&gt;1&lt;/C&gt;&lt;D xsi:type="xsd:double"&gt;3.44734513782547&lt;/D&gt;&lt;/FQL&gt;&lt;FQL&gt;&lt;Q&gt;EWN^FMA_DIV_YLD(NTMA,NOW,NOW,M,"PORTAGG","MEANR")&lt;/Q&gt;&lt;R&gt;1&lt;/R&gt;&lt;C&gt;1&lt;/C&gt;&lt;D xsi:type="xsd:double"&gt;2.59161898079771&lt;/D&gt;&lt;/FQL&gt;&lt;FQL&gt;&lt;Q&gt;QQQ^FMA_PE(LTM,0,,,"PORTAGG","MEANR")&lt;/Q&gt;&lt;R&gt;1&lt;/R&gt;&lt;C&gt;1&lt;/C&gt;&lt;D xsi:type="xsd:double"&gt;33.5496240865458&lt;/D&gt;&lt;/FQL&gt;&lt;FQL&gt;&lt;Q&gt;EWG^FMA_EVAL_EBIT(LTMA,NOW,NOW,M,"PORTAGG","MEANR")&lt;/Q&gt;&lt;R&gt;1&lt;/R&gt;&lt;C&gt;1&lt;/C&gt;&lt;D xsi:type="xsd:double"&gt;13.2775669216229&lt;/D&gt;&lt;/FQL&gt;&lt;FQL&gt;&lt;Q&gt;USDGBP^STD(FG_PRICE_CHANGE(0,-3AY,M))&lt;/Q&gt;&lt;R&gt;1&lt;/R&gt;&lt;C&gt;1&lt;/C&gt;&lt;D xsi:type="xsd:double"&gt;2.40581568682052&lt;/D&gt;&lt;/FQL&gt;&lt;FQL&gt;&lt;Q&gt;EWI^PERCENT_CHANGE(FMA_EPS(+1,0,,,,"PORTAGG","MEAN"),FMA_EPS(+1,-3AM,,,,"PORTAGG","MEAN"))&lt;/Q&gt;&lt;R&gt;1&lt;/R&gt;&lt;C&gt;1&lt;/C&gt;&lt;D xsi:type="xsd:double"&gt;1.51614796863384&lt;/D&gt;&lt;/FQL&gt;&lt;FQL&gt;&lt;Q&gt;ENZL^FMA_EVAL_EBIT(LTMA,NOW,NOW,M,"PORTAGG","MEANR")&lt;/Q&gt;&lt;R&gt;1&lt;/R&gt;&lt;C&gt;1&lt;/C&gt;&lt;D xsi:type="xsd:double"&gt;20.6132684814457&lt;/D&gt;&lt;/FQL&gt;&lt;FQL&gt;&lt;Q&gt;EWG^PERCENT_CHANGE(FMA_EPS(+1,0,,,,"PORTAGG","MEAN"),FMA_EPS(+1,-3AM,,,,"PORTAGG","MEAN"))&lt;/Q&gt;&lt;R&gt;1&lt;/R&gt;&lt;C&gt;1&lt;/C&gt;&lt;D xsi:type="xsd:double"&gt;-0.339268789229326&lt;/D&gt;&lt;/FQL&gt;&lt;FQL&gt;&lt;Q&gt;REFCHMPR-FDS^PROPER_NAME(0,,,"SECURITY","NAME")&lt;/Q&gt;&lt;R&gt;1&lt;/R&gt;&lt;C&gt;1&lt;/C&gt;&lt;D xsi:type="xsd:string"&gt;Swiss Policy Rate - Sight Deposit Rate&lt;/D&gt;&lt;/FQL&gt;&lt;FQL&gt;&lt;Q&gt;ENZL^FMA_EVAL_EBITDA(NTMA,0,,,"PORTAGG","MEANR")&lt;/Q&gt;&lt;R&gt;1&lt;/R&gt;&lt;C&gt;1&lt;/C&gt;&lt;D xsi:type="xsd:double"&gt;12.2839801917931&lt;/D&gt;&lt;/FQL&gt;&lt;FQL&gt;&lt;Q&gt;CAGDPY@DE^EE_ACTUAL_ANNUAL(MED,+1)&lt;/Q&gt;&lt;R&gt;1&lt;/R&gt;&lt;C&gt;1&lt;/C&gt;&lt;D xsi:type="xsd:double"&gt;6.5&lt;/D&gt;&lt;/FQL&gt;&lt;FQL&gt;&lt;Q&gt;EWA^FMA_ROE(NTMA,-20AY,NOW,FY,"PORTAGG","MEANR")&lt;/Q&gt;&lt;R&gt;20&lt;/R&gt;&lt;C&gt;1&lt;/C&gt;&lt;D xsi:type="xsd:double"&gt;15.4970825561621&lt;/D&gt;&lt;D xsi:type="xsd:double"&gt;16.532509518014&lt;/D&gt;&lt;D xsi:type="xsd:double"&gt;17.0193996486167&lt;/D&gt;&lt;D xsi:type="xsd:double"&gt;15.5609914058652&lt;/D&gt;&lt;D xsi:type="xsd:double"&gt;13.5690116283254&lt;/D&gt;&lt;D xsi:type="xsd:double"&gt;12.8492110125335&lt;/D&gt;&lt;D xsi:type="xsd:double"&gt;14.2386354612725&lt;/D&gt;&lt;D xsi:type="xsd:double"&gt;14.168071267681&lt;/D&gt;&lt;D xsi:type="xsd:double"&gt;12.6921652881541&lt;/D&gt;&lt;D xsi:type="xsd:double"&gt;13.1922555858139&lt;/D&gt;&lt;D xsi:type="xsd:double"&gt;12.5644042089263&lt;/D&gt;&lt;D xsi:type="xsd:double"&gt;10.7321365234713&lt;/D&gt;&lt;D xsi:type="xsd:double"&gt;11.5035211675747&lt;/D&gt;&lt;D xsi:type="xsd:double"&gt;11.9072990069878&lt;/D&gt;&lt;D xsi:type="xsd:double"&gt;12.4009311752812&lt;/D&gt;&lt;D xsi:type="xsd:double"&gt;11.7272453218097&lt;/D&gt;&lt;D xsi:type="xsd:double"&gt;11.0508592064609&lt;/D&gt;&lt;D xsi:type="xsd:double"&gt;12.8471719199911&lt;/D&gt;&lt;D xsi:type="xsd:double"&gt;14.6580605840091&lt;/D&gt;&lt;D xsi:type="xsd:double"&gt;13.2261379950135&lt;/D&gt;&lt;/FQL&gt;&lt;FQL&gt;&lt;Q&gt;USDGBP^FG_PRICE_CHANGE(0,-6AM)&lt;/Q&gt;&lt;R&gt;1&lt;/R&gt;&lt;C&gt;1&lt;/C&gt;&lt;D xsi:type="xsd:double"&gt;-1.802206&lt;/D&gt;&lt;/FQL&gt;&lt;FQL&gt;&lt;Q&gt;DDR3512M-FDS^FG_PRICE_CHANGE(0,-1AY)&lt;/Q&gt;&lt;R&gt;1&lt;/R&gt;&lt;C&gt;1&lt;/C&gt;&lt;D xsi:type="xsd:double"&gt;-8.732660745568&lt;/D&gt;&lt;/FQL&gt;&lt;FQL&gt;&lt;Q&gt;PLATI-FDS^FG_PRICE_CHANGE(0,-6AM)&lt;/Q&gt;&lt;R&gt;1&lt;/R&gt;&lt;C&gt;1&lt;/C&gt;&lt;D xsi:type="xsd:double"&gt;11.340206185567&lt;/D&gt;&lt;/FQL&gt;&lt;FQL&gt;&lt;Q&gt;COPP-FDS^FG_PRICE_CHANGE(0,-3AM)&lt;/Q&gt;&lt;R&gt;1&lt;/R&gt;&lt;C&gt;1&lt;/C&gt;&lt;D xsi:type="xsd:double"&gt;25&lt;/D&gt;&lt;/FQL&gt;&lt;FQL&gt;&lt;Q&gt;EWL^FG_PRICE_MAVG(0,,,,30)&lt;/Q&gt;&lt;R&gt;1&lt;/R&gt;&lt;C&gt;1&lt;/C&gt;&lt;D xsi:type="xsd:double"&gt;46.245667&lt;/D&gt;&lt;/FQL&gt;&lt;FQL&gt;&lt;Q&gt;EWU^FG_TOTAL_RETURNC(0,-1AM)&lt;/Q&gt;&lt;R&gt;1&lt;/R&gt;&lt;C&gt;1&lt;/C&gt;&lt;D xsi:type="xsd:double"&gt;5.008745&lt;/D&gt;&lt;/FQL&gt;&lt;FQL&gt;&lt;Q&gt;EWG^PERCENT_CHANGE(FMA_EPS(+1,0,,,,"PORTAGG","MEAN"),FMA_EPS(+1,-1AM,,,,"PORTAGG","MEAN"))&lt;/Q&gt;&lt;R&gt;1&lt;/R&gt;&lt;C&gt;1&lt;/C&gt;&lt;D xsi:type="xsd:double"&gt;-0.270619652094114&lt;/D&gt;&lt;/FQL&gt;&lt;FQL&gt;&lt;Q&gt;FXI^SIZE(FG_CONSTITUENTS)&lt;/Q&gt;&lt;R&gt;1&lt;/R&gt;&lt;C&gt;1&lt;/C&gt;&lt;D xsi:type="xsd:long"&gt;53&lt;/D&gt;&lt;/FQL&gt;&lt;FQL&gt;&lt;Q&gt;EWD^FMA_COS_DOWN("EPS","1M",+1,0,,,"PORTAGG","MEANR")&lt;/Q&gt;&lt;R&gt;1&lt;/R&gt;&lt;C&gt;1&lt;/C&gt;&lt;D xsi:type="xsd:double"&gt;13&lt;/D&gt;&lt;/FQL&gt;&lt;FQL&gt;&lt;Q&gt;EWC^FMA_COS_DOWN("EPS","1M",+1,0,,,"PORTAGG","MEANR")&lt;/Q&gt;&lt;R&gt;1&lt;/R&gt;&lt;C&gt;1&lt;/C&gt;&lt;D xsi:type="xsd:double"&gt;35&lt;/D&gt;&lt;/FQL&gt;&lt;FQL&gt;&lt;Q&gt;EWD^FMA_RBICS_REV_CURRENT(30, LOC, "PORTAGG")&lt;/Q&gt;&lt;R&gt;1&lt;/R&gt;&lt;C&gt;1&lt;/C&gt;&lt;D xsi:type="xsd:double"&gt;25.9129717795788&lt;/D&gt;&lt;/FQL&gt;&lt;FQL&gt;&lt;Q&gt;REFJPTON-FDS^(SUBARRAY(NOT_NA(NO_REPEAT_F(FG_YIELD(NOW,-10AY,D))),0,1)-SUBARRAY(NOT_NA(NO_REPEAT_F(FG_YIELD(NOW,-10AY,D))),1,1))*100&lt;/Q&gt;&lt;R&gt;1&lt;/R&gt;&lt;C&gt;1&lt;/C&gt;&lt;D xsi:type="xsd:double"&gt;10&lt;/D&gt;&lt;/FQL&gt;&lt;FQL&gt;&lt;Q&gt;TRYFR10Y-FDS^PCTCHG(FG_YIELD(0,,,,"YTM"),FG_YIELD(-1AM,,,,"YTM"))&lt;/Q&gt;&lt;R&gt;1&lt;/R&gt;&lt;C&gt;1&lt;/C&gt;&lt;D xsi:type="xsd:double"&gt;4.122992&lt;/D&gt;&lt;/FQL&gt;&lt;FQL&gt;&lt;Q&gt;TRYNL10Y-FDS^FG_YIELD(0,,,,"YTM")&lt;/Q&gt;&lt;R&gt;1&lt;/R&gt;&lt;C&gt;1&lt;/C&gt;&lt;D xsi:type="xsd:double"&gt;2.796&lt;/D&gt;&lt;/FQL&gt;&lt;FQL&gt;&lt;Q&gt;VGK^FG_PE(0)&lt;/Q&gt;&lt;R&gt;1&lt;/R&gt;&lt;C&gt;1&lt;/C&gt;&lt;D xsi:type="xsd:double"&gt;13.1545701705313&lt;/D&gt;&lt;/FQL&gt;&lt;FQL&gt;&lt;Q&gt;EWN^FMA_PE(LTM,0,,,"PORTAGG","MEANR")&lt;/Q&gt;&lt;R&gt;1&lt;/R&gt;&lt;C&gt;1&lt;/C&gt;&lt;D xsi:type="xsd:double"&gt;19.6260144322557&lt;/D&gt;&lt;/FQL&gt;&lt;FQL&gt;&lt;Q&gt;EWG^FG_FCF_YIELD_NTM(0)&lt;/Q&gt;&lt;R&gt;1&lt;/R&gt;&lt;C&gt;1&lt;/C&gt;&lt;D xsi:type="xsd:double"&gt;6.01165204010795&lt;/D&gt;&lt;/FQL&gt;&lt;FQL&gt;&lt;Q&gt;ENZL^FMA_DIV_YLD(NTMA,NOW,NOW,M,"PORTAGG","MEANR")&lt;/Q&gt;&lt;R&gt;1&lt;/R&gt;&lt;C&gt;1&lt;/C&gt;&lt;D xsi:type="xsd:double"&gt;2.74642951253722&lt;/D&gt;&lt;/FQL&gt;&lt;FQL&gt;&lt;Q&gt;UUP^FG_TOTAL_RETURNC(0,-3AM)&lt;/Q&gt;&lt;R&gt;1&lt;/R&gt;&lt;C&gt;1&lt;/C&gt;&lt;D xsi:type="xsd:double"&gt;2.5366187&lt;/D&gt;&lt;/FQL&gt;&lt;FQL&gt;&lt;Q&gt;SPY^P_PRICE(0)/P_PRICE_LOW_PR(0,,,,,,"PRICE","INTRA","52W")-1&lt;/Q&gt;&lt;R&gt;1&lt;/R&gt;&lt;C&gt;1&lt;/C&gt;&lt;D xsi:type="xsd:double"&gt;0.27221358&lt;/D&gt;&lt;/FQL&gt;&lt;FQL&gt;&lt;Q&gt;URTH^PERCENT_CHANGE(FMA_EPS(+1,0,,,,"PORTAGG","MEAN"),FMA_EPS(+1,-3AM,,,,"PORTAGG","MEAN"))&lt;/Q&gt;&lt;R&gt;1&lt;/R&gt;&lt;C&gt;1&lt;/C&gt;&lt;D xsi:type="xsd:double"&gt;0.41710746825456&lt;/D&gt;&lt;/FQL&gt;&lt;FQL&gt;&lt;Q&gt;EWU^PERCENT_CHANGE(FMA_EPS(+1,0,,,,"PORTAGG","MEAN"),FMA_EPS(+1,-1AM,,,,"PORTAGG","MEAN"))&lt;/Q&gt;&lt;R&gt;1&lt;/R&gt;&lt;C&gt;1&lt;/C&gt;&lt;D xsi:type="xsd:double"&gt;2.0358367917146&lt;/D&gt;&lt;/FQL&gt;&lt;FQL&gt;&lt;Q&gt;EWD^FMA_COS_UP("EPS","1M",+1,0,,,"PORTAGG","MEANR")&lt;/Q&gt;&lt;R&gt;1&lt;/R&gt;&lt;C&gt;1&lt;/C&gt;&lt;D xsi:type="xsd:double"&gt;21&lt;/D&gt;&lt;/FQL&gt;&lt;FQL&gt;&lt;Q&gt;GLD^P_PRICE(0)/P_PRICE_HIGH_PR(0,,,USD,,,"PRICE","INTRA","52W")&lt;/Q&gt;&lt;R&gt;1&lt;/R&gt;&lt;C&gt;1&lt;/C&gt;&lt;D xsi:type="xsd:double"&gt;0.96383667&lt;/D&gt;&lt;/FQL&gt;&lt;FQL&gt;&lt;Q&gt;CAGDPY@CA^EE_ACTUAL_ANNUAL(MED,0)&lt;/Q&gt;&lt;R&gt;1&lt;/R&gt;&lt;C&gt;1&lt;/C&gt;&lt;D xsi:type="xsd:double"&gt;-0.614727995236974&lt;/D&gt;&lt;/FQL&gt;&lt;FQL&gt;&lt;Q&gt;EWJ^FG_PRICE_MAVG(0,,,,200)&lt;/Q&gt;&lt;R&gt;1&lt;/R&gt;&lt;C&gt;1&lt;/C&gt;&lt;D xsi:type="xsd:double"&gt;64.3315&lt;/D&gt;&lt;/FQL&gt;&lt;FQL&gt;&lt;Q&gt;EWC^FG_TOTAL_RETURNC(0,-12AM)&lt;/Q&gt;&lt;R&gt;1&lt;/R&gt;&lt;C&gt;1&lt;/C&gt;&lt;D xsi:type="xsd:double"&gt;10.376537&lt;/D&gt;&lt;/FQL&gt;&lt;FQL&gt;&lt;Q&gt;FXI^FMA_COS_UP("EPS","1M",+1,0,,,"PORTAGG","MEANR")&lt;/Q&gt;&lt;R&gt;1&lt;/R&gt;&lt;C&gt;1&lt;/C&gt;&lt;D xsi:type="xsd:double"&gt;17&lt;/D&gt;&lt;/FQL&gt;&lt;FQL&gt;&lt;Q&gt;EWJ^FMA_RBICS_REV_CURRENT(30, LOC, "PORTAGG")&lt;/Q&gt;&lt;R&gt;1&lt;/R&gt;&lt;C&gt;1&lt;/C&gt;&lt;D xsi:type="xsd:double"&gt;18.3501830656637&lt;/D&gt;&lt;/FQL&gt;&lt;FQL&gt;&lt;Q&gt;CAGDPY@DE^EE_ACTUAL_ANNUAL(MED,0)&lt;/Q&gt;&lt;R&gt;1&lt;/R&gt;&lt;C&gt;1&lt;/C&gt;&lt;D xsi:type="xsd:double"&gt;6.11650885437241&lt;/D&gt;&lt;/FQL&gt;&lt;FQL&gt;&lt;Q&gt;USDAUD^FG_PRICE_CHANGE(0,-3AM)&lt;/Q&gt;&lt;R&gt;1&lt;/R&gt;&lt;C&gt;1&lt;/C&gt;&lt;D xsi:type="xsd:double"&gt;-1.309222&lt;/D&gt;&lt;/FQL&gt;&lt;FQL&gt;&lt;Q&gt;EWU^P_PRICE_RETURNS_PR('52W',2,-10AY,0,AM)&lt;/Q&gt;&lt;R&gt;121&lt;/R&gt;&lt;C&gt;1&lt;/C&gt;&lt;D xsi:type="xsd:double"&gt;16.00603&lt;/D&gt;&lt;D xsi:type="xsd:double"&gt;19.04341&lt;/D&gt;&lt;D xsi:type="xsd:double"&gt;22.33553&lt;/D&gt;&lt;D xsi:type="xsd:double"&gt;11.453676&lt;/D&gt;&lt;D xsi:type="xsd:double"&gt;9.337306&lt;/D&gt;&lt;D xsi:type="xsd:double"&gt;3.8674355&lt;/D&gt;&lt;D xsi:type="xsd:double"&gt;-0.010025501&lt;/D&gt;&lt;D xsi:type="xsd:double"&gt;-2.2665143&lt;/D&gt;&lt;D xsi:type="xsd:double"&gt;-8.599299&lt;/D&gt;&lt;D xsi:type="xsd:double"&gt;-2.058822&lt;/D&gt;&lt;D xsi:type="xsd:double"&gt;-5.175585&lt;/D&gt;&lt;D xsi:type="xsd:double"&gt;-4.887086&lt;/D&gt;&lt;D xsi:type="xsd:double"&gt;-3.4295738&lt;/D&gt;&lt;D xsi:type="xsd:double"&gt;-8.161867&lt;/D&gt;&lt;D xsi:type="xsd:double"&gt;-10.993833&lt;/D&gt;&lt;D xsi:type="xsd:double"&gt;-3.747505&lt;/D&gt;&lt;D xsi:type="xsd:double"&gt;-12.258106&lt;/D&gt;&lt;D xsi:type="xsd:double"&gt;-1.8617809&lt;/D&gt;&lt;D xsi:type="xsd:double"&gt;-6.7315936&lt;/D&gt;&lt;D xsi:type="xsd:double"&gt;-8.118463&lt;/D&gt;&lt;D xsi:type="xsd:double"&gt;-11.719709&lt;/D&gt;&lt;D xsi:type="xsd:double"&gt;-19.20464&lt;/D&gt;&lt;D xsi:type="xsd:double"&gt;-13.648689&lt;/D&gt;&lt;D xsi:type="xsd:double"&gt;-13.239426&lt;/D&gt;&lt;D xsi:type="xsd:double"&gt;-16.91544&lt;/D&gt;&lt;D xsi:type="xsd:double"&gt;-10.061961&lt;/D&gt;&lt;D xsi:type="xsd:double"&gt;-11.255246&lt;/D&gt;&lt;D xsi:type="xsd:double"&gt;-11.946946&lt;/D&gt;&lt;D xsi:type="xsd:double"&gt;-1.9370139&lt;/D&gt;&lt;D xsi:type="xsd:double"&gt;-7.0258675&lt;/D&gt;&lt;D xsi:type="xsd:double"&gt;-6.8025055&lt;/D&gt;&lt;D xsi:type="xsd:double"&gt;-1.4296293&lt;/D&gt;&lt;D xsi:type="xsd:double"&gt;6.7569137&lt;/D&gt;&lt;D xsi:type="xsd:double"&gt;14.49163&lt;/D&gt;&lt;D xsi:type="xsd:double"&gt;5.6302905&lt;/D&gt;&lt;D xsi:type="xsd:double"&gt;9.945464&lt;/D&gt;&lt;D xsi:type="xsd:double"&gt;11.5194435&lt;/D&gt;&lt;D xsi:type="xsd:double"&gt;9.490776&lt;/D&gt;&lt;D xsi:type="xsd:double"&gt;16.230988&lt;/D&gt;&lt;D xsi:type="xsd:double"&gt;13.64646&lt;/D&gt;&lt;D xsi:type="xsd:double"&gt;10.157633&lt;/D&gt;&lt;D xsi:type="xsd:double"&gt;15.757931&lt;/D&gt;&lt;D xsi:type="xsd:double"&gt;18.394161&lt;/D&gt;&lt;D xsi:type="xsd:double"&gt;17.088055&lt;/D&gt;&lt;D xsi:type="xsd:double"&gt;22.769176&lt;/D&gt;&lt;D xsi:type="xsd:double"&gt;12.511563&lt;/D&gt;&lt;D xsi:type="xsd:double"&gt;15.981436&lt;/D&gt;&lt;D xsi:type="xsd:double"&gt;14.560186&lt;/D&gt;&lt;D xsi:type="xsd:double"&gt;13.1262665&lt;/D&gt;&lt;D xsi:type="xsd:double"&gt;9.875309&lt;/D&gt;&lt;D xsi:type="xsd:double"&gt;10.787451&lt;/D&gt;&lt;D xsi:type="xsd:double"&gt;5.1049232&lt;/D&gt;&lt;D xsi:type="xsd:double"&gt;0.1588583&lt;/D&gt;&lt;D xsi:type="xsd:double"&gt;-0.16222&lt;/D&gt;&lt;D xsi:type="xsd:double"&gt;-2.6892304&lt;/D&gt;&lt;D xsi:type="xsd:double"&gt;-9.175706&lt;/D&gt;&lt;D xsi:type="xsd:double"&gt;-12.493526&lt;/D&gt;&lt;D xsi:type="xsd:double"&gt;-3.3157647&lt;/D&gt;&lt;D xsi:type="xsd:double"&gt;-2.9847085&lt;/D&gt;&lt;D xsi:type="xsd:double"&gt;-0.83212256&lt;/D&gt;&lt;D xsi:type="xsd:double"&gt;-6.1447086&lt;/D&gt;&lt;D xsi:type="xsd:double"&gt;-5.821991&lt;/D&gt;&lt;D xsi:type="xsd:double"&gt;-4.3789983&lt;/D&gt;&lt;D xsi:type="xsd:double"&gt;-8.615273&lt;/D&gt;&lt;D xsi:type="xsd:double"&gt;-1.2326539&lt;/D&gt;&lt;D xsi:type="xsd:double"&gt;-4.493141&lt;/D&gt;&lt;D xsi:type="xsd:double"&gt;4.6800256&lt;/D&gt;&lt;D xsi:type="xsd:double"&gt;13.871098&lt;/D&gt;&lt;D xsi:type="xsd:double"&gt;16.194021&lt;/D&gt;&lt;D xsi:type="xsd:double"&gt;7.3898435&lt;/D&gt;&lt;D xsi:type="xsd:double"&gt;-15.288711&lt;/D&gt;&lt;D xsi:type="xsd:double"&gt;-22.542137&lt;/D&gt;&lt;D xsi:type="xsd:double"&gt;-19.709366&lt;/D&gt;&lt;D xsi:type="xsd:double"&gt;-12.335926&lt;/D&gt;&lt;D xsi:type="xsd:double"&gt;-17.294825&lt;/D&gt;&lt;D xsi:type="xsd:double"&gt;-8.90547&lt;/D&gt;&lt;D xsi:type="xsd:double"&gt;-11.849827&lt;/D&gt;&lt;D xsi:type="xsd:double"&gt;-10.074597&lt;/D&gt;&lt;D xsi:type="xsd:double"&gt;-13.404858&lt;/D&gt;&lt;D xsi:type="xsd:double"&gt;-6.4964714&lt;/D&gt;&lt;D xsi:type="xsd:double"&gt;-5.2054462&lt;/D&gt;&lt;D xsi:type="xsd:double"&gt;-5.062115&lt;/D&gt;&lt;D xsi:type="xsd:double"&gt;23.167717&lt;/D&gt;&lt;D xsi:type="xsd:double"&gt;31.933605&lt;/D&gt;&lt;D xsi:type="xsd:double"&gt;39.694466&lt;/D&gt;&lt;D xsi:type="xsd:double"&gt;26.715744&lt;/D&gt;&lt;D xsi:type="xsd:double"&gt;32.492935&lt;/D&gt;&lt;D xsi:type="xsd:double"&gt;28.84977&lt;/D&gt;&lt;D xsi:type="xsd:double"&gt;27.622627&lt;/D&gt;&lt;D xsi:type="xsd:double"&gt;29.070377&lt;/D&gt;&lt;D xsi:type="xsd:double"&gt;26.18811&lt;/D&gt;&lt;D xsi:type="xsd:double"&gt;13.968635&lt;/D&gt;&lt;D xsi:type="xsd:double"&gt;14.349103&lt;/D&gt;&lt;D xsi:type="xsd:double"&gt;20.385849&lt;/D&gt;&lt;D xsi:type="xsd:double"&gt;6.815493&lt;/D&gt;&lt;D xsi:type="xsd:double"&gt;10.944664&lt;/D&gt;&lt;D xsi:type="xsd:double"&gt;-5.3154287&lt;/D&gt;&lt;D xsi:type="xsd:double"&gt;-0.9266496&lt;/D&gt;&lt;D xsi:type="xsd:double"&gt;-5.110204&lt;/D&gt;&lt;D xsi:type="xsd:double"&gt;-3.0486405&lt;/D&gt;&lt;D xsi:type="xsd:double"&gt;-6.233883&lt;/D&gt;&lt;D xsi:type="xsd:double"&gt;-14.595777&lt;/D&gt;&lt;D xsi:type="xsd:double"&gt;-11.463756&lt;/D&gt;&lt;D xsi:type="xsd:double"&gt;-0.14573336&lt;/D&gt;&lt;D xsi:type="xsd:double"&gt;-3.3017814&lt;/D&gt;&lt;D xsi:type="xsd:double"&gt;-3.390181&lt;/D&gt;&lt;D xsi:type="xsd:double"&gt;2.234149&lt;/D&gt;&lt;D xsi:type="xsd:double"&gt;0.53168535&lt;/D&gt;&lt;D xsi:type="xsd:double"&gt;13.221121&lt;/D&gt;&lt;D xsi:type="xsd:double"&gt;5.2681923&lt;/D&gt;&lt;D xsi:type="xsd:double"&gt;9.899688&lt;/D&gt;&lt;D xsi:type="xsd:double"&gt;9.789621&lt;/D&gt;&lt;D xsi:type="xsd:double"&gt;14.823687&lt;/D&gt;&lt;D xsi:type="xsd:double"&gt;22.421478&lt;/D&gt;&lt;D xsi:type="xsd:double"&gt;13.497389&lt;/D&gt;&lt;D xsi:type="xsd:double"&gt;6.8457723&lt;/D&gt;&lt;D xsi:type="xsd:double"&gt;7.602811&lt;/D&gt;&lt;D xsi:type="xsd:double"&gt;3.5190463&lt;/D&gt;&lt;D xsi:type="xsd:double"&gt;8.454502&lt;/D&gt;&lt;D xsi:type="xsd:double"&gt;8.327246&lt;/D&gt;&lt;D xsi:type="xsd:double"&gt;11.791825&lt;/D&gt;&lt;/FQL&gt;&lt;FQL&gt;&lt;Q&gt;EWI^FMA_PCT_ABOVE_MAVG(200,0,,,,"PORTAGG")&lt;/Q&gt;&lt;R&gt;1&lt;/R&gt;&lt;C&gt;1&lt;/C&gt;&lt;D xsi:type="xsd:double"&gt;72&lt;/D&gt;&lt;/FQL&gt;&lt;FQL&gt;&lt;Q&gt;EWN^FMA_RBICS_REV_CURRENT(30, LOC, "PORTAGG")&lt;/Q&gt;&lt;R&gt;1&lt;/R&gt;&lt;C&gt;1&lt;/C&gt;&lt;D xsi:type="xsd:double"&gt;25.1822237253435&lt;/D&gt;&lt;/FQL&gt;&lt;FQL&gt;&lt;Q&gt;TRYNL10Y-FDS^FG_YIELD_NAME&lt;/Q&gt;&lt;R&gt;1&lt;/R&gt;&lt;C&gt;1&lt;/C&gt;&lt;D xsi:type="xsd:string"&gt;Netherlands Benchmark Bond - 10 Year&lt;/D&gt;&lt;/FQL&gt;&lt;FQL&gt;&lt;Q&gt;CC_IT^IMF_IFS_RCPI_Q(0)&lt;/Q&gt;&lt;R&gt;1&lt;/R&gt;&lt;C&gt;1&lt;/C&gt;&lt;D xsi:type="xsd:double"&gt;0.92385906&lt;/D&gt;&lt;/FQL&gt;&lt;FQL&gt;&lt;Q&gt;EWU^FMA_DIV_YLD(NTMA,NOW,NOW,M,"PORTAGG","MEANR")&lt;/Q&gt;&lt;R&gt;1&lt;/R&gt;&lt;C&gt;1&lt;/C&gt;&lt;D xsi:type="xsd:double"&gt;3.93577457183112&lt;/D&gt;&lt;/FQL&gt;&lt;FQL&gt;&lt;Q&gt;ENZL^FMA_PE(NTMA,0,,,"PORTAGG","MEANR")&lt;/Q&gt;&lt;R&gt;1&lt;/R&gt;&lt;C&gt;1&lt;/C&gt;&lt;D xsi:type="xsd:double"&gt;25.1300265940594&lt;/D&gt;&lt;/FQL&gt;&lt;FQL&gt;&lt;Q&gt;UUP^FG_TOTAL_RETURNC(0,-1AM)&lt;/Q&gt;&lt;R&gt;1&lt;/R&gt;&lt;C&gt;1&lt;/C&gt;&lt;D xsi:type="xsd:double"&gt;1.449275&lt;/D&gt;&lt;/FQL&gt;&lt;FQL&gt;&lt;Q&gt;EWA^JULIAN(FMA_ROE(NTMA,-20AY,NOW,FY,"PORTAGG","MEANR").DATES)&lt;/Q&gt;&lt;R&gt;20&lt;/R&gt;&lt;C&gt;1&lt;/C&gt;&lt;D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</t>
        </r>
      </text>
    </comment>
    <comment ref="A14" authorId="0" shapeId="0" xr:uid="{24AE5434-F847-4BBF-943E-2EC919FAE320}">
      <text>
        <r>
          <rPr>
            <b/>
            <sz val="9"/>
            <color indexed="81"/>
            <rFont val="Tahoma"/>
            <charset val="1"/>
          </rPr>
          <t>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xsi:type="xsd:long"&gt;45289&lt;/D&gt;&lt;/FQL&gt;&lt;FQL&gt;&lt;Q&gt;EWJ^P_PRICE_RETURNS_PR('52W',2,-10AY,0,AM)&lt;/Q&gt;&lt;R&gt;121&lt;/R&gt;&lt;C&gt;1&lt;/C&gt;&lt;D xsi:type="xsd:double"&gt;-4.166913&lt;/D&gt;&lt;D xsi:type="xsd:double"&gt;8.524275&lt;/D&gt;&lt;D xsi:type="xsd:double"&gt;6.245959&lt;/D&gt;&lt;D xsi:type="xsd:double"&gt;3.7708998&lt;/D&gt;&lt;D xsi:type="xsd:double"&gt;2.4768949&lt;/D&gt;&lt;D xsi:type="xsd:double"&gt;-3.491819&lt;/D&gt;&lt;D xsi:type="xsd:double"&gt;0.9052634&lt;/D&gt;&lt;D xsi:type="xsd:double"&gt;-1.2898028&lt;/D&gt;&lt;D xsi:type="xsd:double"&gt;-6.065649&lt;/D&gt;&lt;D xsi:type="xsd:double"&gt;2.162218&lt;/D&gt;&lt;D xsi:type="xsd:double"&gt;6.7584157&lt;/D&gt;&lt;D xsi:type="xsd:double"&gt;17.248905&lt;/D&gt;&lt;D xsi:type="xsd:double"&gt;20.43246&lt;/D&gt;&lt;D xsi:type="xsd:double"&gt;9.516406&lt;/D&gt;&lt;D xsi:type="xsd:double"&gt;3.8463116&lt;/D&gt;&lt;D xsi:type="xsd:double"&gt;11.619604&lt;/D&gt;&lt;D xsi:type="xsd:double"&gt;1.1821508&lt;/D&gt;&lt;D xsi:type="xsd:double"&gt;9.415138&lt;/D&gt;&lt;D xsi:type="xsd:double"&gt;7.911432&lt;/D&gt;&lt;D xsi:type="xsd:double"&gt;5.185044&lt;/D&gt;&lt;D xsi:type="xsd:double"&gt;2.991736&lt;/D&gt;&lt;D xsi:type="xsd:double"&gt;-5.9573593&lt;/D&gt;&lt;D xsi:type="xsd:double"&gt;-6.9320145&lt;/D&gt;&lt;D xsi:type="xsd:double"&gt;-11.222434&lt;/D&gt;&lt;D xsi:type="xsd:double"&gt;-11.167937&lt;/D&gt;&lt;D xsi:type="xsd:double"&gt;-5.904293&lt;/D&gt;&lt;D xsi:type="xsd:double"&gt;-4.575908&lt;/D&gt;&lt;D xsi:type="xsd:double"&gt;-3.8079917&lt;/D&gt;&lt;D xsi:type="xsd:double"&gt;6.629598&lt;/D&gt;&lt;D xsi:type="xsd:double"&gt;5.0718665&lt;/D&gt;&lt;D xsi:type="xsd:double"&gt;1.5067339&lt;/D&gt;&lt;D xsi:type="xsd:double"&gt;7.5945616&lt;/D&gt;&lt;D xsi:type="xsd:double"&gt;12.560999&lt;/D&gt;&lt;D xsi:type="xsd:double"&gt;21.333933&lt;/D&gt;&lt;D xsi:type="xsd:double"&gt;15.197277&lt;/D&gt;&lt;D xsi:type="xsd:double"&gt;18.253815&lt;/D&gt;&lt;D xsi:type="xsd:double"&gt;16.347813&lt;/D&gt;&lt;D xsi:type="xsd:double"&gt;16.27034&lt;/D&gt;&lt;D xsi:type="xsd:double"&gt;17.377472&lt;/D&gt;&lt;D xsi:type="xsd:double"&gt;13.61835&lt;/D&gt;&lt;D xsi:type="xsd:double"&gt;11.677969&lt;/D&gt;&lt;D xsi:type="xsd:double"&gt;14.624262&lt;/D&gt;&lt;D xsi:type="xsd:double"&gt;22.709084&lt;/D&gt;&lt;D xsi:type="xsd:double"&gt;18.762184&lt;/D&gt;&lt;D xsi:type="xsd:double"&gt;25.249063&lt;/D&gt;&lt;D xsi:type="xsd:double"&gt;17.304718&lt;/D&gt;&lt;D xsi:type="xsd:double"&gt;20.500887&lt;/D&gt;&lt;D xsi:type="xsd:double"&gt;19.332516&lt;/D&gt;&lt;D xsi:type="xsd:double"&gt;16.433537&lt;/D&gt;&lt;D xsi:type="xsd:double"&gt;12.939178&lt;/D&gt;&lt;D xsi:type="xsd:double"&gt;11.052763&lt;/D&gt;&lt;D xsi:type="xsd:double"&gt;8.170425&lt;/D&gt;&lt;D xsi:type="xsd:double"&gt;4.9206257&lt;/D&gt;&lt;D xsi:type="xsd:double"&gt;6.9422007&lt;/D&gt;&lt;D xsi:type="xsd:double"&gt;-6.0759487&lt;/D&gt;&lt;D xsi:type="xsd:double"&gt;-8.427418&lt;/D&gt;&lt;D xsi:type="xsd:double"&gt;-13.562548&lt;/D&gt;&lt;D xsi:type="xsd:double"&gt;-8.421463&lt;/D&gt;&lt;D xsi:type="xsd:double"&gt;-10.393876&lt;/D&gt;&lt;D xsi:type="xsd:double"&gt;-7.2324095&lt;/D&gt;&lt;D xsi:type="xsd:double"&gt;-9.806013&lt;/D&gt;&lt;D xsi:type="xsd:double"&gt;-8.9499655&lt;/D&gt;&lt;D xsi:type="xsd:double"&gt;-4.18396&lt;/D&gt;&lt;D xsi:type="xsd:double"&gt;-6.623864&lt;/D&gt;&lt;D xsi:type="xsd:double"&gt;-0.96518993&lt;/D&gt;&lt;D xsi:type="xsd:double"&gt;-2.732259&lt;/D&gt;&lt;D xsi:type="xsd:double"&gt;9.491837&lt;/D&gt;&lt;D xsi:type="xsd:double"&gt;14.568079&lt;/D&gt;&lt;D xsi:type="xsd:double"&gt;15.172219&lt;/D&gt;&lt;D xsi:type="xsd:double"&gt;14.140248&lt;/D&gt;&lt;D xsi:type="xsd:double"&gt;-4.458356&lt;/D&gt;&lt;D xsi:type="xsd:double"&gt;-6.368482&lt;/D&gt;&lt;D xsi:type="xsd:double"&gt;-1.124078&lt;/D&gt;&lt;D xsi:type="xsd:double"&gt;8.152306&lt;/D&gt;&lt;D xsi:type="xsd:double"&gt;2.8015256&lt;/D&gt;&lt;D xsi:type="xsd:double"&gt;6.248784&lt;/D&gt;&lt;D xsi:type="xsd:double"&gt;6.7670226&lt;/D&gt;&lt;D xsi:type="xsd:double"&gt;7.3044896&lt;/D&gt;&lt;D xsi:type="xsd:double"&gt;7.785511&lt;/D&gt;&lt;D xsi:type="xsd:double"&gt;11.096191&lt;/D&gt;&lt;D xsi:type="xsd:double"&gt;17.807806&lt;/D&gt;&lt;D xsi:type="xsd:double"&gt;20.595444&lt;/D&gt;&lt;D xsi:type="xsd:double"&gt;38.131905&lt;/D&gt;&lt;D xsi:type="xsd:double"&gt;39.94392&lt;/D&gt;&lt;D xsi:type="xsd:double"&gt;35.807323&lt;/D&gt;&lt;D xsi:type="xsd:double"&gt;21.207666&lt;/D&gt;&lt;D xsi:type="xsd:double"&gt;25.662601&lt;/D&gt;&lt;D xsi:type="xsd:double"&gt;22.401905&lt;/D&gt;&lt;D xsi:type="xsd:double"&gt;27.596928&lt;/D&gt;&lt;D xsi:type="xsd:double"&gt;15.395951&lt;/D&gt;&lt;D xsi:type="xsd:double"&gt;11.4124775&lt;/D&gt;&lt;D xsi:type="xsd:double"&gt;5.1769853&lt;/D&gt;&lt;D xsi:type="xsd:double"&gt;0.016283989&lt;/D&gt;&lt;D xsi:type="xsd:double"&gt;-5.6339083&lt;/D&gt;&lt;D xsi:type="xsd:double"&gt;-10.496437&lt;/D&gt;&lt;D xsi:type="xsd:double"&gt;-12.326789&lt;/D&gt;&lt;D xsi:type="xsd:double"&gt;-18.576313&lt;/D&gt;&lt;D xsi:type="xsd:double"&gt;-16.635586&lt;/D&gt;&lt;D xsi:type="xsd:double"&gt;-17.518312&lt;/D&gt;&lt;D xsi:type="xsd:double"&gt;-17.365814&lt;/D&gt;&lt;D xsi:type="xsd:double"&gt;-25.503195&lt;/D&gt;&lt;D xsi:type="xsd:double"&gt;-25.238192&lt;/D&gt;&lt;D xsi:type="xsd:double"&gt;-25.178177&lt;/D&gt;&lt;D xsi:type="xsd:double"&gt;-17.25229&lt;/D&gt;&lt;D xsi:type="xsd:double"&gt;-16.678888&lt;/D&gt;&lt;D xsi:type="xsd:double"&gt;-10.737074&lt;/D&gt;&lt;D xsi:type="xsd:double"&gt;-2.6590586&lt;/D&gt;&lt;D xsi:type="xsd:double"&gt;-2.3120582&lt;/D&gt;&lt;D xsi:type="xsd:double"&gt;10.296106&lt;/D&gt;&lt;D xsi:type="xsd:double"&gt;12.542152&lt;/D&gt;&lt;D xsi:type="xsd:double"&gt;16.394997&lt;/D&gt;&lt;D xsi:type="xsd:double"&gt;12.859201&lt;/D&gt;&lt;D xsi:type="xsd:double"&gt;19.375778&lt;/D&gt;&lt;D xsi:type="xsd:double"&gt;20.66592&lt;/D&gt;&lt;D xsi:type="xsd:double"&gt;18.476784&lt;/D&gt;&lt;D xsi:type="xsd:double"&gt;15.0185585&lt;/D&gt;&lt;D xsi:type="xsd:double"&gt;19.205248&lt;/D&gt;&lt;D xsi:type="xsd:double"&gt;17.747295&lt;/D&gt;&lt;D xsi:type="xsd:double"&gt;26.268673&lt;/D&gt;&lt;D xsi:type="xsd:double"&gt;24.507881&lt;/D&gt;&lt;D xsi:type="xsd:double"&gt;16.243351&lt;/D&gt;&lt;/FQL&gt;&lt;FQL&gt;&lt;Q&gt;DDR3512M-FDS^FG_PRICE_CHANGE(0,-3AM)&lt;/Q&gt;&lt;R&gt;1&lt;/R&gt;&lt;C&gt;1&lt;/C&gt;&lt;D xsi:type="xsd:double"&gt;-0.348426236115396&lt;/D&gt;&lt;/FQL&gt;&lt;FQL&gt;&lt;Q&gt;EWI^FG_PRICE_MAVG(0,,,,60)&lt;/Q&gt;&lt;R&gt;1&lt;/R&gt;&lt;C&gt;1&lt;/C&gt;&lt;D xsi:type="xsd:double"&gt;36.6505&lt;/D&gt;&lt;/FQL&gt;&lt;FQL&gt;&lt;Q&gt;EWA^SIZE(FG_CONSTITUENTS)&lt;/Q&gt;&lt;R&gt;1&lt;/R&gt;&lt;C&gt;1&lt;/C&gt;&lt;D xsi:type="xsd:long"&gt;59&lt;/D&gt;&lt;/FQL&gt;&lt;FQL&gt;&lt;Q&gt;REFJPTON-FDS^PROPER_NAME(0,,,"SECURITY","NAME")&lt;/Q&gt;&lt;R&gt;1&lt;/R&gt;&lt;C&gt;1&lt;/C&gt;&lt;D xsi:type="xsd:string"&gt;Japan Policy Rate&lt;/D&gt;&lt;/FQL&gt;&lt;FQL&gt;&lt;Q&gt;TRYGB10Y-FDS^PCTCHG(FG_YIELD(0,,,,"YTM"),FG_YIELD(-1AM,,,,"YTM"))&lt;/Q&gt;&lt;R&gt;1&lt;/R&gt;&lt;C&gt;1&lt;/C&gt;&lt;D xsi:type="xsd:double"&gt;2.702708&lt;/D&gt;&lt;/FQL&gt;&lt;FQL&gt;&lt;Q&gt;TRYFR10Y-FDS^FG_YIELD(0,,,,"YTM")&lt;/Q&gt;&lt;R&gt;1&lt;/R&gt;&lt;C&gt;1&lt;/C&gt;&lt;D xsi:type="xsd:double"&gt;2.98&lt;/D&gt;&lt;/FQL&gt;&lt;FQL&gt;&lt;Q&gt;ENZL^FMA_ROE(NTMA,-20AY,NOW,FY,"PORTAGG","MEANR")&lt;/Q&gt;&lt;R&gt;20&lt;/R&gt;&lt;C&gt;1&lt;/C&gt;&lt;D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xsi:type="xsd:double"&gt;10.8532267295878&lt;/D&gt;&lt;D xsi:type="xsd:double"&gt;10.9048734413645&lt;/D&gt;&lt;D xsi:type="xsd:double"&gt;11.45876758647&lt;/D&gt;&lt;D xsi:type="xsd:double"&gt;11.0832589152415&lt;/D&gt;&lt;D xsi:type="xsd:double"&gt;9.94517431688139&lt;/D&gt;&lt;D xsi:type="xsd:double"&gt;9.90242652659034&lt;/D&gt;&lt;D xsi:type="xsd:double"&gt;9.79986582903071&lt;/D&gt;&lt;D xsi:type="xsd:double"&gt;9.84792896856594&lt;/D&gt;&lt;D xsi:type="xsd:double"&gt;9.52177142619013&lt;/D&gt;&lt;D xsi:type="xsd:double"&gt;9.00388708752031&lt;/D&gt;&lt;D xsi:type="xsd:double"&gt;7.53226389198691&lt;/D&gt;&lt;D xsi:type="xsd:double"&gt;6.44400181202057&lt;/D&gt;&lt;D xsi:type="xsd:double"&gt;7.7689690341127&lt;/D&gt;&lt;D xsi:type="xsd:double"&gt;6.57910753918315&lt;/D&gt;&lt;/FQL&gt;&lt;FQL&gt;&lt;Q&gt;TRYTR7Y-FDS^FG_YIELD(-10AY,0,Y,,"YTM")&lt;/Q&gt;&lt;R&gt;10&lt;/R&gt;&lt;C&gt;1&lt;/C&gt;&lt;D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xsi:type="xsd:double"&gt;21.984322&lt;/D&gt;&lt;/FQL&gt;&lt;FQL&gt;&lt;Q&gt;USDANG^FG_PRICE_CHANGE(0,-6AM)&lt;/Q&gt;&lt;R&gt;1&lt;/R&gt;&lt;C&gt;1&lt;/C&gt;&lt;D xsi:type="xsd:double"&gt;0&lt;/D&gt;&lt;/FQL&gt;&lt;FQL&gt;&lt;Q&gt;ENZL^FMA_DIV_YLD(NTMA,-10AY,0,AM,"PORTAGG","MEANR")&lt;/Q&gt;&lt;R&gt;121&lt;/R&gt;&lt;C&gt;1&lt;/C&gt;&lt;D xsi:type="xsd:double"&gt;4.10001185353113&lt;/D&gt;&lt;D xsi:type="xsd:double"&gt;4.19783017158493&lt;/D&gt;&lt;D xsi:type="xsd:double"&gt;4.45036787318237&lt;/D&gt;&lt;D xsi:type="xsd:double"&gt;4.56349952961583&lt;/D&gt;&lt;D xsi:type="xsd:double"&gt;4.53194451669706&lt;/D&gt;&lt;D xsi:type="xsd:double"&gt;4.58392000089391&lt;/D&gt;&lt;D xsi:type="xsd:double"&gt;4.50258716189195&lt;/D&gt;&lt;D xsi:type="xsd:double"&gt;4.47137866783475&lt;/D&gt;&lt;D xsi:type="xsd:double"&gt;4.42916115987728&lt;/D&gt;&lt;D xsi:type="xsd:double"&gt;4.28555034638637&lt;/D&gt;&lt;D xsi:type="xsd:double"&gt;4.26578648361726&lt;/D&gt;&lt;D xsi:type="xsd:double"&gt;4.43050894565&lt;/D&gt;&lt;D xsi:type="xsd:double"&gt;4.49794976265339&lt;/D&gt;&lt;D xsi:type="xsd:double"&gt;4.44621698958069&lt;/D&gt;&lt;D xsi:type="xsd:double"&gt;4.69034783871248&lt;/D&gt;&lt;D xsi:type="xsd:double"&gt;4.59616167148414&lt;/D&gt;&lt;D xsi:type="xsd:double"&gt;5.11729329939929&lt;/D&gt;&lt;D xsi:type="xsd:double"&gt;5.25610306562709&lt;/D&gt;&lt;D xsi:type="xsd:double"&gt;4.86828692560416&lt;/D&gt;&lt;D xsi:type="xsd:double"&gt;4.83775455211941&lt;/D&gt;&lt;D xsi:type="xsd:double"&gt;4.86879400199452&lt;/D&gt;&lt;D xsi:type="xsd:double"&gt;4.91992448943625&lt;/D&gt;&lt;D xsi:type="xsd:double"&gt;4.71570220766025&lt;/D&gt;&lt;D xsi:type="xsd:double"&gt;4.56786187682055&lt;/D&gt;&lt;D xsi:type="xsd:double"&gt;4.52531344654555&lt;/D&gt;&lt;D xsi:type="xsd:double"&gt;4.36529195748161&lt;/D&gt;&lt;D xsi:type="xsd:double"&gt;4.34831305239146&lt;/D&gt;&lt;D xsi:type="xsd:double"&gt;4.14225889765758&lt;/D&gt;&lt;D xsi:type="xsd:double"&gt;4.15035892748783&lt;/D&gt;&lt;D xsi:type="xsd:double"&gt;4.43716396903991&lt;/D&gt;&lt;D xsi:type="xsd:double"&gt;4.78744177804916&lt;/D&gt;&lt;D xsi:type="xsd:double"&gt;4.6078893654269&lt;/D&gt;&lt;D xsi:type="xsd:double"&gt;4.53409832658467&lt;/D&gt;&lt;D xsi:type="xsd:double"&gt;4.50404074664621&lt;/D&gt;&lt;D xsi:type="xsd:double"&gt;4.58425600207468&lt;/D&gt;&lt;D xsi:type="xsd:double"&gt;4.54281659734017&lt;/D&gt;&lt;D xsi:type="xsd:double"&gt;4.46810353066029&lt;/D&gt;&lt;D xsi:type="xsd:double"&gt;4.45983933935568&lt;/D&gt;&lt;D xsi:type="xsd:double"&gt;4.40215726005308&lt;/D&gt;&lt;D xsi:type="xsd:double"&gt;4.33677862170753&lt;/D&gt;&lt;D xsi:type="xsd:double"&gt;4.3716332364446&lt;/D&gt;&lt;D xsi:type="xsd:double"&gt;4.39488124950446&lt;/D&gt;&lt;D xsi:type="xsd:double"&gt;4.4253964732249&lt;/D&gt;&lt;D xsi:type="xsd:double"&gt;4.323959131258&lt;/D&gt;&lt;D xsi:type="xsd:double"&gt;4.20236873280198&lt;/D&gt;&lt;D xsi:type="xsd:double"&gt;4.56959119117219&lt;/D&gt;&lt;D xsi:type="xsd:double"&gt;4.21231062148988&lt;/D&gt;&lt;D xsi:type="xsd:double"&gt;4.2352521465622&lt;/D&gt;&lt;D xsi:type="xsd:double"&gt;4.18984563940306&lt;/D&gt;&lt;D xsi:type="xsd:double"&gt;4.02876136001886&lt;/D&gt;&lt;D xsi:type="xsd:double"&gt;4.02482480256441&lt;/D&gt;&lt;D xsi:type="xsd:double"&gt;4.09627984052209&lt;/D&gt;&lt;D xsi:type="xsd:double"&gt;4.021996323051&lt;/D&gt;&lt;D xsi:type="xsd:double"&gt;4.12372457487063&lt;/D&gt;&lt;D xsi:type="xsd:double"&gt;4.16232154472356&lt;/D&gt;&lt;D xsi:type="xsd:double"&gt;4.17051908353773&lt;/D&gt;&lt;D xsi:type="xsd:double"&gt;4.09719836514283&lt;/D&gt;&lt;D xsi:type="xsd:double"&gt;4.01629781746386&lt;/D&gt;&lt;D xsi:type="xsd:double"&gt;3.87700978697509&lt;/D&gt;&lt;D xsi:type="xsd:double"&gt;3.78343671824237&lt;/D&gt;&lt;D xsi:type="xsd:double"&gt;3.68563406328289&lt;/D&gt;&lt;D xsi:type="xsd:double"&gt;3.72619864533562&lt;/D&gt;&lt;D xsi:type="xsd:double"&gt;3.50868962980807&lt;/D&gt;&lt;D xsi:type="xsd:double"&gt;3.39516552295264&lt;/D&gt;&lt;D xsi:type="xsd:double"&gt;3.23515852960393&lt;/D&gt;&lt;D xsi:type="xsd:double"&gt;3.33245972286687&lt;/D&gt;&lt;D xsi:type="xsd:double"&gt;3.34170438760951&lt;/D&gt;&lt;D xsi:type="xsd:double"&gt;3.28041264509229&lt;/D&gt;&lt;D xsi:type="xsd:double"&gt;3.16131555258009&lt;/D&gt;&lt;D xsi:type="xsd:double"&gt;3.08129138464494&lt;/D&gt;&lt;D xsi:type="xsd:double"&gt;3.2142859828907&lt;/D&gt;&lt;D xsi:type="xsd:double"&gt;2.99315351601391&lt;/D&gt;&lt;D xsi:type="xsd:double"&gt;2.6432540745606&lt;/D&gt;&lt;D xsi:type="xsd:double"&gt;2.52954343441719&lt;/D&gt;&lt;D xsi:type="xsd:double"&gt;2.47502374970396&lt;/D&gt;&lt;D xsi:type="xsd:double"&gt;2.37594814544945&lt;/D&gt;&lt;D xsi:type="xsd:double"&gt;2.42454047178817&lt;/D&gt;&lt;D xsi:type="xsd:double"&gt;2.35745165006595&lt;/D&gt;&lt;D xsi:type="xsd:double"&gt;2.33334746795158&lt;/D&gt;&lt;D xsi:type="xsd:double"&gt;2.3751655639287&lt;/D&gt;&lt;D xsi:type="xsd:double"&gt;2.33709415002113&lt;/D&gt;&lt;D xsi:type="xsd:double"&gt;2.51402723727727&lt;/D&gt;&lt;D xsi:type="xsd:double"&gt;2.63674946246748&lt;/D&gt;&lt;D xsi:type="xsd:double"&gt;2.58053083612425&lt;/D&gt;&lt;D xsi:type="xsd:double"&gt;2.58203278454923&lt;/D&gt;&lt;D xsi:type="xsd:double"&gt;2.67663547015879&lt;/D&gt;&lt;D xsi:type="xsd:double"&gt;2.61377342419419&lt;/D&gt;&lt;D xsi:type="xsd:double"&gt;2.66749543235012&lt;/D&gt;&lt;D xsi:type="xsd:double"&gt;2.59519144782032&lt;/D&gt;&lt;D xsi:type="xsd:double"&gt;2.66338141612097&lt;/D&gt;&lt;D xsi:type="xsd:double"&gt;2.65977096341009&lt;/D&gt;&lt;D xsi:type="xsd:double"&gt;2.80161637315131&lt;/D&gt;&lt;D xsi:type="xsd:double"&gt;2.78205004239065&lt;/D&gt;&lt;D xsi:type="xsd:double"&gt;2.90620761186793&lt;/D&gt;&lt;D xsi:type="xsd:double"&gt;3.08361088307855&lt;/D&gt;&lt;D xsi:type="xsd:double"&gt;3.08951802359859&lt;/D&gt;&lt;D xsi:type="xsd:double"&gt;3.19072411146284&lt;/D&gt;&lt;D xsi:type="xsd:double"&gt;3.25394100528575&lt;/D&gt;&lt;D xsi:type="xsd:double"&gt;3.28893937800007&lt;/D&gt;&lt;D xsi:type="xsd:double"&gt;3.19580613277406&lt;/D&gt;&lt;D xsi:type="xsd:double"&gt;3.18309613799441&lt;/D&gt;&lt;D xsi:type="xsd:double"&gt;3.40668262859181&lt;/D&gt;&lt;D xsi:type="xsd:double"&gt;3.43858652900513&lt;/D&gt;&lt;D xsi:type="xsd:double"&gt;3.42404910768495&lt;/D&gt;&lt;D xsi:type="xsd:double"&gt;3.40253739472906&lt;/D&gt;&lt;D xsi:type="xsd:double"&gt;3.29741430606587&lt;/D&gt;&lt;D xsi:type="xsd:double"&gt;3.42162340301021&lt;/D&gt;&lt;D xsi:type="xsd:double"&gt;3.39777525684039&lt;/D&gt;&lt;D xsi:type="xsd:double"&gt;3.42665902735213&lt;/D&gt;&lt;D xsi:type="xsd:double"&gt;3.49598244824903&lt;/D&gt;&lt;D xsi:type="xsd:double"&gt;3.40969173718295&lt;/D&gt;&lt;D xsi:type="xsd:double"&gt;3.450181508281&lt;/D&gt;&lt;D xsi:type="xsd:double"&gt;3.3841718614513&lt;/D&gt;&lt;D xsi:type="xsd:double"&gt;3.45641546585239&lt;/D&gt;&lt;D xsi:type="xsd:double"&gt;3.45375118948054&lt;/D&gt;&lt;D xsi:type="xsd:double"&gt;3.08733886647825&lt;/D&gt;&lt;D xsi:type="xsd:double"&gt;2.96489201440288&lt;/D&gt;&lt;D xsi:type="xsd:double"&gt;2.9897573073423&lt;/D&gt;&lt;D xsi:type="xsd:double"&gt;2.7437311859745&lt;/D&gt;&lt;D xsi:type="xsd:double"&gt;2.78257236367156&lt;/D&gt;&lt;D xsi:type="xsd:double"&gt;2.77260620037488&lt;/D&gt;&lt;/FQL&gt;&lt;FQL&gt;&lt;Q&gt;DDR3512M-FDS^FG_PRICE_CHANGE(0,-6AM)&lt;/Q&gt;&lt;R&gt;1&lt;/R&gt;&lt;C&gt;1&lt;/C&gt;&lt;D xsi:type="xsd:double"&gt;-6.74848625096613&lt;/D&gt;&lt;/FQL&gt;&lt;FQL&gt;&lt;Q&gt;PLATI-FDS^FG_PRICE_CHANGE(0,-3AM)&lt;/Q&gt;&lt;R&gt;1&lt;/R&gt;&lt;C&gt;1&lt;/C&gt;&lt;D xsi:type="xsd:double"&gt;9.83050847457627&lt;/D&gt;&lt;/FQL&gt;&lt;FQL&gt;&lt;Q&gt;EWI^FG_PRICE_MAVG(0,,,,200)&lt;/Q&gt;&lt;R&gt;1&lt;/R&gt;&lt;C&gt;1&lt;/C&gt;&lt;D xsi:type="xsd:double"&gt;33.4741&lt;/D&gt;&lt;/FQL&gt;&lt;FQL&gt;&lt;Q&gt;EWL^FG_PRICE(0)&lt;/Q&gt;&lt;R&gt;1&lt;/R&gt;&lt;C&gt;1&lt;/C&gt;&lt;D xsi:type="xsd:double"&gt;47.62&lt;/D&gt;&lt;/FQL&gt;&lt;FQL&gt;&lt;Q&gt;URTH^FMA_PCT_ABOVE_MAVG(200,0,,,,"PORTAGG")&lt;/Q&gt;&lt;R&gt;1&lt;/R&gt;&lt;C&gt;1&lt;/C&gt;&lt;D xsi:type="xsd:double"&gt;71.2525667351129&lt;/D&gt;&lt;/FQL&gt;&lt;FQL&gt;&lt;Q&gt;EWG^FMA_PCT_ABOVE_MAVG(200,0,,,,"PORTAGG")&lt;/Q&gt;&lt;R&gt;1&lt;/R&gt;&lt;C&gt;1&lt;/C&gt;&lt;D xsi:type="xsd:double"&gt;73.6842105263158&lt;/D&gt;&lt;/FQL&gt;&lt;FQL&gt;&lt;Q&gt;FXI^FMA_COS_DOWN("EPS","1M",+1,0,,,"PORTAGG","MEANR")&lt;/Q&gt;&lt;R&gt;1&lt;/R&gt;&lt;C&gt;1&lt;/C&gt;&lt;D xsi:type="xsd:double"&gt;25&lt;/D&gt;&lt;/FQL&gt;&lt;FQL&gt;&lt;Q&gt;EWN^SIZE(FG_CONSTITUENTS)&lt;/Q&gt;&lt;R&gt;1&lt;/R&gt;&lt;C&gt;1&lt;/C&gt;&lt;D xsi:type="xsd:long"&gt;55&lt;/D&gt;&lt;/FQL&gt;&lt;FQL&gt;&lt;Q&gt;EWC^FMA_COS_UP("EPS","1M",+1,0,,,"PORTAGG","MEANR")&lt;/Q&gt;&lt;R&gt;1&lt;/R&gt;&lt;C&gt;1&lt;/C&gt;&lt;D xsi:type="xsd:double"&gt;38&lt;/D&gt;&lt;/FQL&gt;&lt;FQL&gt;&lt;Q&gt;SPY^FMA_RBICS_REV_CURRENT(30, LOC, "PORTAGG")&lt;/Q&gt;&lt;R&gt;1&lt;/R&gt;&lt;C&gt;1&lt;/C&gt;&lt;D xsi:type="xsd:double"&gt;12.6373564575532&lt;/D&gt;&lt;/FQL&gt;&lt;FQL&gt;&lt;Q&gt;REFJPTON-FDS^FG_YIELD(NOW,,,0)&lt;/Q&gt;&lt;R&gt;1&lt;/R&gt;&lt;C&gt;1&lt;/C&gt;&lt;D xsi:type="xsd:double"&gt;0.1&lt;/D&gt;&lt;/FQL&gt;&lt;FQL&gt;&lt;Q&gt;CC_SE^IMF_IFS_RCPI_Q(0)&lt;/Q&gt;&lt;R&gt;1&lt;/R&gt;&lt;C&gt;1&lt;/C&gt;&lt;D xsi:type="xsd:double"&gt;4.6701536&lt;/D&gt;&lt;/FQL&gt;&lt;FQL&gt;&lt;Q&gt;VGK^JULIAN(FMA_DIV_YLD(NTMA,NOW,NOW,M,"PORTAGG","MEANR").DATES)&lt;/Q&gt;&lt;R&gt;1&lt;/R&gt;&lt;C&gt;1&lt;/C&gt;&lt;D xsi:type="xsd:long"&gt;45379&lt;/D&gt;&lt;/FQL&gt;&lt;FQL&gt;&lt;Q&gt;EWN^JULIAN(FMA_DIV_YLD(NTMA,NOW,NOW,M,"PORTAGG","MEANR").DATES)&lt;/Q&gt;&lt;R&gt;1&lt;/R&gt;&lt;C&gt;1&lt;/C&gt;&lt;D xsi:type="xsd:long"&gt;45412&lt;/D&gt;&lt;/FQL&gt;&lt;FQL&gt;&lt;Q&gt;EWG^FMA_DIV_YLD(NTMA,NOW,NOW,M,"PORTAGG","MEANR")&lt;/Q&gt;&lt;R&gt;1&lt;/R&gt;&lt;C&gt;1&lt;/C&gt;&lt;D xsi:type="xsd:double"&gt;3.3906448019887&lt;/D&gt;&lt;/FQL&gt;&lt;FQL&gt;&lt;Q&gt;ENZL^JULIAN(FMA_DIV_YLD(NTMA,NOW,NOW,M,"PORTAGG","MEANR").DATES)&lt;/Q&gt;&lt;R&gt;1&lt;/R&gt;&lt;C&gt;1&lt;/C&gt;&lt;D xsi:type="xsd:long"&gt;45412&lt;/D&gt;&lt;/FQL&gt;&lt;FQL&gt;&lt;Q&gt;USDCHF^FG_PRICE_CHANGE(0,-3AM)&lt;/Q&gt;&lt;R&gt;1&lt;/R&gt;&lt;C&gt;1&lt;/C&gt;&lt;D xsi:type="xsd:double"&gt;3.6285758&lt;/D&gt;&lt;/FQL&gt;&lt;FQL&gt;&lt;Q&gt;USDAUD^FG_PRICE_CHANGE(0,-1AM)&lt;/Q&gt;&lt;R&gt;1&lt;/R&gt;&lt;C&gt;1&lt;/C&gt;&lt;D xsi:type="xsd:double"&gt;0.24217367&lt;/D&gt;&lt;/FQL&gt;&lt;FQL&gt;&lt;Q&gt;COPP-FDS^FG_PRICE_MAVG(0,,,,30)&lt;/Q&gt;&lt;R&gt;1&lt;/R&gt;&lt;C&gt;1&lt;/C&gt;&lt;D xsi:type="xsd:double"&gt;4.3997664&lt;/D&gt;&lt;/FQL&gt;&lt;FQL&gt;&lt;Q&gt;SPY^P_PRICE(0)/P_PRICE_HIGH_PR(0,,,,,,"PRICE","INTRA","52W")&lt;/Q&gt;&lt;R&gt;1&lt;/R&gt;&lt;C&gt;1&lt;/C&gt;&lt;D xsi:type="xsd:double"&gt;0.99153656&lt;/D&gt;&lt;/FQL&gt;&lt;FQL&gt;&lt;Q&gt;EWD^FG_TOTAL_RETURNC(0,-12AM)&lt;/Q&gt;&lt;R&gt;1&lt;/R&gt;&lt;C&gt;1&lt;/C&gt;&lt;D xsi:type="xsd:double"&gt;13.19524&lt;/D&gt;&lt;/FQL&gt;&lt;FQL&gt;&lt;Q&gt;EWL^FG_TOTAL_RETURNC(0,-3AM)&lt;/Q&gt;&lt;R&gt;1&lt;/R&gt;&lt;C&gt;1&lt;/C&gt;&lt;D xsi:type="xsd:double"&gt;2.6735663&lt;/D&gt;&lt;/FQL&gt;&lt;FQL&gt;&lt;Q&gt;EWN^FMA_COS_UP("EPS","1M",+1,0,,,"PORTAGG","MEANR")&lt;/Q&gt;&lt;R&gt;1&lt;/R&gt;&lt;C&gt;1&lt;/C&gt;&lt;D xsi:type="xsd:double"&gt;21&lt;/D&gt;&lt;/FQL&gt;&lt;FQL&gt;&lt;Q&gt;TRYFR10Y-FDS^FG_YIELD_NAME&lt;/Q&gt;&lt;R&gt;1&lt;/R&gt;&lt;C&gt;1&lt;/C&gt;&lt;D xsi:type="xsd:string"&gt;France Benchmark Bond - 10 Year&lt;/D&gt;&lt;/FQL&gt;&lt;FQL&gt;&lt;Q&gt;REFSEREPO-FDS^FG_YIELD(NOW,,,0)&lt;/Q&gt;&lt;R&gt;1&lt;/R&gt;&lt;C&gt;1&lt;/C&gt;&lt;D xsi:type="xsd:double"&gt;4&lt;/D&gt;&lt;/FQL&gt;&lt;FQL&gt;&lt;Q&gt;CC_NL^IMF_IFS_RCPI_Q(0)&lt;/Q&gt;&lt;R&gt;1&lt;/R&gt;&lt;C&gt;1&lt;/C&gt;&lt;D xsi:type="xsd:double"&gt;3.0237906&lt;/D&gt;&lt;/FQL&gt;&lt;FQL&gt;&lt;Q&gt;EWQ^FMA_EVAL_EBIT(LTMA,NOW,NOW,M,"PORTAGG","MEANR")&lt;/Q&gt;&lt;R&gt;1&lt;/R&gt;&lt;C&gt;1&lt;/C&gt;&lt;D xsi:type="xsd:double"&gt;13.2382433903233&lt;/D&gt;&lt;/FQL&gt;&lt;FQL&gt;&lt;Q&gt;EWU^FMA_PE(NTMA,0,,,"PORTAGG","MEANR")&lt;/Q&gt;&lt;R&gt;1&lt;/R&gt;&lt;C&gt;1&lt;/C&gt;&lt;D xsi:type="xsd:double"&gt;11.6361163090036&lt;/D&gt;&lt;/FQL&gt;&lt;FQL&gt;&lt;Q&gt;TLT^P_PRICE(0)/P_PRICE_HIGH_PR(0,,,USD,,,"PRICE","INTRA","52W")&lt;/Q&gt;&lt;R&gt;1&lt;/R&gt;&lt;C&gt;1&lt;/C&gt;&lt;D xsi:type="xsd:double"&gt;0.8588893&lt;/D&gt;&lt;/FQL&gt;&lt;FQL&gt;&lt;Q&gt;TRYVN10Y-FDS^FG_YIELD(-10AY,0,Y,,"YTM")&lt;/Q&gt;&lt;R&gt;10&lt;/R&gt;&lt;C&gt;1&lt;/C&gt;&lt;D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xsi:type="xsd:double"&gt;2.9473283&lt;/D&gt;&lt;/FQL&gt;&lt;FQL&gt;&lt;Q&gt;EWI^FMA_EVAL_EBIT(LTMA,NOW,NOW,M,"PORTAGG","MEANR")&lt;/Q&gt;&lt;R&gt;1&lt;/R&gt;&lt;C&gt;1&lt;/C&gt;&lt;D xsi:type="xsd:double"&gt;10.8145323962168&lt;/D&gt;&lt;/FQL&gt;&lt;FQL&gt;&lt;Q&gt;EWG^JULIAN(FMA_DIV_YLD(NTMA,NOW,NOW,M,"PORTAGG","MEANR").DATES)&lt;/Q&gt;&lt;R&gt;1&lt;/R&gt;&lt;C&gt;1&lt;/C&gt;&lt;D xsi:type="xsd:long"&gt;45412&lt;/D&gt;&lt;/FQL&gt;&lt;FQL&gt;&lt;Q&gt;EWA^FMA_COS_UP("EPS","1M",+1,0,,,"PORTAGG","MEANR")&lt;/Q&gt;&lt;R&gt;1&lt;/R&gt;&lt;C&gt;1&lt;/C&gt;&lt;D xsi:type="xsd:double"&gt;19&lt;/D&gt;&lt;/FQL&gt;&lt;FQL&gt;&lt;Q&gt;EWI^FMA_EVAL_EBITDA(NTMA,0,,,"PORTAGG","MEANR")&lt;/Q&gt;&lt;R&gt;1&lt;/R&gt;&lt;C&gt;1&lt;/C&gt;&lt;D xsi:type="xsd:double"&gt;6.98680668459556&lt;/D&gt;&lt;/FQL&gt;&lt;FQL&gt;&lt;Q&gt;TRYCH10Y-FDS^PCTCHG(FG_YIELD(0,,,,"YTM"),FG_YIELD(-3AM,,,,"YTM"))&lt;/Q&gt;&lt;R&gt;1&lt;/R&gt;&lt;C&gt;1&lt;/C&gt;&lt;D xsi:type="xsd:double"&gt;-21.917809&lt;/D&gt;&lt;/FQL&gt;&lt;FQL&gt;&lt;Q&gt;CPALM-FDS^FG_PRICE(0)&lt;/Q&gt;&lt;R&gt;1&lt;/R&gt;&lt;C&gt;1&lt;/C&gt;&lt;D xsi:type="xsd:double"&gt;3923&lt;/D&gt;&lt;/FQL&gt;&lt;FQL&gt;&lt;Q&gt;EWA^FMA_COS_DOWN("EPS","1M",+1,0,,,"PORTAGG","MEANR")&lt;/Q&gt;&lt;R&gt;1&lt;/R&gt;&lt;C&gt;1&lt;/C&gt;&lt;D xsi:type="xsd:double"&gt;24&lt;/D&gt;&lt;/FQL&gt;&lt;FQL&gt;&lt;Q&gt;EWG^FMA_PE(LTM,0,,,"PORTAGG","MEANR")&lt;/Q&gt;&lt;R&gt;1&lt;/R&gt;&lt;C&gt;1&lt;/C&gt;&lt;D xsi:type="xsd:double"&gt;12.6311221512668&lt;/D&gt;&lt;/FQL&gt;&lt;FQL&gt;&lt;Q&gt;USO^P_PRICE(0)/P_PRICE_HIGH_PR(0,,,USD,,,"PRICE","INTRA","52W")&lt;/Q&gt;&lt;R&gt;1&lt;/R&gt;&lt;C&gt;1&lt;/C&gt;&lt;D xsi:type="xsd:double"&gt;0.9173959&lt;/D&gt;&lt;/FQL&gt;&lt;FQL&gt;&lt;Q&gt;CC_DE^IMF_IFS_RCPI_Q(0)&lt;/Q&gt;&lt;R&gt;1&lt;/R&gt;&lt;C&gt;1&lt;/C&gt;&lt;D xsi:type="xsd:double"&gt;2.5173564&lt;/D&gt;&lt;/FQL&gt;&lt;FQL&gt;&lt;Q&gt;TRYBR10Y-FDS^FG_YIELD(-10AY,0,Y,,"YTM")&lt;/Q&gt;&lt;R&gt;10&lt;/R&gt;&lt;C&gt;1&lt;/C&gt;&lt;D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xsi:type="xsd:double"&gt;10.455909&lt;/D&gt;&lt;/FQL&gt;&lt;FQL&gt;&lt;Q&gt;SPY^PERCENT_CHANGE(FMA_EPS(+1,0,,,,"PORTAGG","MEAN"),FMA_EPS(+1,-3AM,,,,"PORTAGG","MEAN"))&lt;/Q&gt;&lt;R&gt;1&lt;/R&gt;&lt;C&gt;1&lt;/C&gt;&lt;D xsi:type="xsd:double"&gt;0.296160018389339&lt;/D&gt;&lt;/FQL&gt;&lt;FQL&gt;&lt;Q&gt;EWA^P_PRICE(0)/P_PRICE_LOW_PR(0,,,,,,"PRICE","INTRA","52W")-1&lt;/Q&gt;&lt;R&gt;1&lt;/R&gt;&lt;C&gt;1&lt;/C&gt;&lt;D xsi:type="xsd:double"&gt;0.19696975&lt;/D&gt;&lt;/FQL&gt;&lt;FQL&gt;&lt;Q&gt;GLD^FG_TOTAL_RETURNC(0,-3AM)&lt;/Q&gt;&lt;R&gt;1&lt;/R&gt;&lt;C&gt;1&lt;/C&gt;&lt;D xsi:type="xsd:double"&gt;15.6449795&lt;/D&gt;&lt;/FQL&gt;&lt;FQL&gt;&lt;Q&gt;EWL^FMA_EVAL_EBITDA(NTMA,0,,,"PORTAGG","MEANR")&lt;/Q&gt;&lt;R&gt;1&lt;/R&gt;&lt;C&gt;1&lt;/C&gt;&lt;D xsi:type="xsd:double"&gt;12.4309993510474&lt;/D&gt;&lt;/FQL&gt;&lt;FQL&gt;&lt;Q&gt;USDCHF^FG_PRICE(0)&lt;/Q&gt;&lt;R&gt;1&lt;/R&gt;&lt;C&gt;1&lt;/C&gt;&lt;D xsi:type="xsd:double"&gt;0.90675&lt;/D&gt;&lt;/FQL&gt;&lt;FQL&gt;&lt;Q&gt;EWG^FMA_PE(NTMA,0,,,"PORTAGG","MEANR")&lt;/Q&gt;&lt;R&gt;1&lt;/R&gt;&lt;C&gt;1&lt;/C&gt;&lt;D xsi:type="xsd:double"&gt;12.0209711320232&lt;/D&gt;&lt;/FQL&gt;&lt;FQL&gt;&lt;Q&gt;USDAUD^FG_PRICE(0)&lt;/Q&gt;&lt;R&gt;1&lt;/R&gt;&lt;C&gt;1&lt;/C&gt;&lt;D xsi:type="xsd:double"&gt;1.5135462&lt;/D&gt;&lt;/FQL&gt;&lt;FQL&gt;&lt;Q&gt;W-FDS^MAX(FG_PRICE(0,-5AY))&lt;/Q&gt;&lt;R&gt;1&lt;/R&gt;&lt;C&gt;1&lt;/C&gt;&lt;D xsi:type="xsd:double"&gt;14.2525&lt;/D&gt;&lt;/FQL&gt;&lt;FQL&gt;&lt;Q&gt;EWC^FMA_EVAL_EBIT(LTMA,NOW,NOW,M,"PORTAGG","MEANR")&lt;/Q&gt;&lt;R&gt;1&lt;/R&gt;&lt;C&gt;1&lt;/C&gt;&lt;D xsi:type="xsd:double"&gt;16.2288624663003&lt;/D&gt;&lt;/FQL&gt;&lt;FQL&gt;&lt;Q&gt;TRYQA10Y-FDS^FG_YIELD(-10AY,0,Y,,"YTM")&lt;/Q&gt;&lt;R&gt;10&lt;/R&gt;&lt;C&gt;1&lt;/C&gt;&lt;D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xsi:type="xsd:string"&gt;@NA&lt;/D&gt;&lt;/FQL&gt;&lt;FQL&gt;&lt;Q&gt;EWL^FG_TOTAL_RETURNC(0,-1AM)&lt;/Q&gt;&lt;R&gt;1&lt;/R&gt;&lt;C&gt;1&lt;/C&gt;&lt;D xsi:type="xsd:double"&gt;1.9918561&lt;/D&gt;&lt;/FQL&gt;&lt;FQL&gt;&lt;Q&gt;REFCATARG-FDS^(SUBARRAY(NOT_NA(NO_REPEAT_F(FG_YIELD(NOW,-10AY,D))),0,1)-SUBARRAY(NOT_NA(NO_REPEAT_F(FG_YIELD(NOW,-10AY,D))),1,1))*100&lt;/Q&gt;&lt;R&gt;1&lt;/R&gt;&lt;C&gt;1&lt;/C&gt;&lt;D xsi:type="xsd:double"&gt;25&lt;/D&gt;&lt;/FQL&gt;&lt;FQL&gt;&lt;Q&gt;EWC^FMA_EVAL_EBITDA(NTMA,0,,,"PORTAGG","MEANR")&lt;/Q&gt;&lt;R&gt;1&lt;/R&gt;&lt;C&gt;1&lt;/C&gt;&lt;D xsi:type="xsd:double"&gt;9.91909028265862&lt;/D&gt;&lt;/FQL&gt;&lt;FQL&gt;&lt;Q&gt;EWA^FMA_RBICS_REV_CURRENT(30, LOC, "PORTAGG")&lt;/Q&gt;&lt;R&gt;1&lt;/R&gt;&lt;C&gt;1&lt;/C&gt;&lt;D xsi:type="xsd:double"&gt;40.9994250737971&lt;/D&gt;&lt;/FQL&gt;&lt;FQL&gt;&lt;Q&gt;EWD^P_PRICE(0)/P_PRICE_LOW_PR(0,,,,,,"PRICE","INTRA","52W")-1&lt;/Q&gt;&lt;R&gt;1&lt;/R&gt;&lt;C&gt;1&lt;/C&gt;&lt;D xsi:type="xsd:double"&gt;0.31725597&lt;/D&gt;&lt;/FQL&gt;&lt;FQL&gt;&lt;Q&gt;CC_CH^IMF_IFS_RCPI_Q(0)&lt;/Q&gt;&lt;R&gt;1&lt;/R&gt;&lt;C&gt;1&lt;/C&gt;&lt;D xsi:type="xsd:double"&gt;1.1636324&lt;/D&gt;&lt;/FQL&gt;&lt;FQL&gt;&lt;Q&gt;EWN^P_PRICE(0)/P_PRICE_LOW_PR(0,,,,,,"PRICE","INTRA","52W")-1&lt;/Q&gt;&lt;R&gt;1&lt;/R&gt;&lt;C&gt;1&lt;/C&gt;&lt;D xsi:type="xsd:double"&gt;0.3879856&lt;/D&gt;&lt;/FQL&gt;&lt;FQL&gt;&lt;Q&gt;CC_JP^IMF_IFS_RCPI_Q(0)&lt;/Q&gt;&lt;R&gt;1&lt;/R&gt;&lt;C&gt;1&lt;/C&gt;&lt;D xsi:type="xsd:double"&gt;2.5231562&lt;/D&gt;&lt;/FQL&gt;&lt;FQL&gt;&lt;Q&gt;USDAUD^FG_COMPANY_NAME&lt;/Q&gt;&lt;R&gt;1&lt;/R&gt;&lt;C&gt;1&lt;/C&gt;&lt;D xsi:type="xsd:string"&gt;Australian Dollar per U.S. Dollar&lt;/D&gt;&lt;/FQL&gt;&lt;FQL&gt;&lt;Q&gt;ENZL^SIZE(FG_CONSTITUENTS)&lt;/Q&gt;&lt;R&gt;1&lt;/R&gt;&lt;C&gt;1&lt;/C&gt;&lt;D xsi:type="xsd:long"&gt;14&lt;/D&gt;&lt;/FQL&gt;&lt;FQL&gt;&lt;Q&gt;REFCATARG-FDS^FG_YIELD(NOW,,,0)&lt;/Q&gt;&lt;R&gt;1&lt;/R&gt;&lt;C&gt;1&lt;/C&gt;&lt;D xsi:type="xsd:double"&gt;5&lt;/D&gt;&lt;/FQL&gt;&lt;FQL&gt;&lt;Q&gt;EWI^FG_FCF_YIELD_NTM(0)&lt;/Q&gt;&lt;R&gt;1&lt;/R&gt;&lt;C&gt;1&lt;/C&gt;&lt;D xsi:type="xsd:double"&gt;6.29337302316826&lt;/D&gt;&lt;/FQL&gt;&lt;FQL&gt;&lt;Q&gt;EWC^FG_FCF_YIELD_NTM(0)&lt;/Q&gt;&lt;R&gt;1&lt;/R&gt;&lt;C&gt;1&lt;/C&gt;&lt;D xsi:type="xsd:double"&gt;5.0960220827684&lt;/D&gt;&lt;/FQL&gt;&lt;FQL&gt;&lt;Q&gt;ENZL^FG_FCF_YIELD_NTM(0)&lt;/Q&gt;&lt;R&gt;1&lt;/R&gt;&lt;C&gt;1&lt;/C&gt;&lt;D xsi:type="xsd:double"&gt;0.341647670437009&lt;/D&gt;&lt;/FQL&gt;&lt;FQL&gt;&lt;Q&gt;REFSEREPO-FDS^PROPER_NAME(0,,,"SECURITY","NAME")&lt;/Q&gt;&lt;R&gt;1&lt;/R&gt;&lt;C&gt;1&lt;/C&gt;&lt;D xsi:type="xsd:string"&gt;Sweden Repo Rate&lt;/D&gt;&lt;/FQL&gt;&lt;FQL&gt;&lt;Q&gt;SPY^SIZE(FG_CONSTITUENTS)&lt;/Q&gt;&lt;R&gt;1&lt;/R&gt;&lt;C&gt;1&lt;/C&gt;&lt;D xsi:type="xsd:long"&gt;504&lt;/D&gt;&lt;/FQL&gt;&lt;FQL&gt;&lt;Q&gt;TIOS-FDS^FG_PRICE(0)&lt;/Q&gt;&lt;R&gt;1&lt;/R&gt;&lt;C&gt;1&lt;/C&gt;&lt;D xsi:type="xsd:double"&gt;116.59&lt;/D&gt;&lt;/FQL&gt;&lt;FQL&gt;&lt;Q&gt;EWL^PERCENT_CHANGE(FMA_EPS(+1,0,,,,"PORTAGG","MEAN"),FMA_EPS(+1,-3AM,,,,"PORTAGG","MEAN"))&lt;/Q&gt;&lt;R&gt;1&lt;/R&gt;&lt;C&gt;1&lt;/C&gt;&lt;D xsi:type="xsd:double"&gt;-1.00776288527608&lt;/D&gt;&lt;/FQL&gt;&lt;FQL&gt;&lt;Q&gt;ENZL^FMA_COS_DOWN("EPS","1M",+1,0,,,"PORTAGG","MEANR")&lt;/Q&gt;&lt;R&gt;1&lt;/R&gt;&lt;C&gt;1&lt;/C&gt;&lt;D xsi:type="xsd:double"&gt;4&lt;/D&gt;&lt;/FQL&gt;&lt;FQL&gt;&lt;Q&gt;TRYFR10Y-FDS^PCTCHG(FG_YIELD(0,,,,"YTM"),FG_YIELD(-3AM,,,,"YTM"))&lt;/Q&gt;&lt;R&gt;1&lt;/R&gt;&lt;C&gt;1&lt;/C&gt;&lt;D xsi:type="xsd:double"&gt;3.2213347&lt;/D&gt;&lt;/FQL&gt;&lt;FQL&gt;&lt;Q&gt;EWC^FMA_PE(LTM,0,,,"PORTAGG","MEANR")&lt;/Q&gt;&lt;R&gt;1&lt;/R&gt;&lt;C&gt;1&lt;/C&gt;&lt;D xsi:type="xsd:double"&gt;16.9981243289954&lt;/D&gt;&lt;/FQL&gt;&lt;FQL&gt;&lt;Q&gt;TLT^FG_TOTAL_RETURNC(0,-6AM)&lt;/Q&gt;&lt;R&gt;1&lt;/R&gt;&lt;C&gt;1&lt;/C&gt;&lt;D xsi:type="xsd:double"&gt;5.600214&lt;/D&gt;&lt;/FQL&gt;&lt;FQL&gt;&lt;Q&gt;EWL^PERCENT_CHANGE(FMA_EPS(+1,0,,,,"PORTAGG","MEAN"),FMA_EPS(+1,-1AM,,,,"PORTAGG","MEAN"))&lt;/Q&gt;&lt;R&gt;1&lt;/R&gt;&lt;C&gt;1&lt;/C&gt;&lt;D xsi:type="xsd:double"&gt;1.60142324714848&lt;/D&gt;&lt;/FQL&gt;&lt;FQL&gt;&lt;Q&gt;TLT^FG_TOTAL_RETURNC(0,-3AM)&lt;/Q&gt;&lt;R&gt;1&lt;/R&gt;&lt;C&gt;1&lt;/C&gt;&lt;D xsi:type="xsd:double"&gt;-2.4644375&lt;/D&gt;&lt;/FQL&gt;&lt;FQL&gt;&lt;Q&gt;VWO^PERCENT_CHANGE(FMA_EPS(+1,0,,,,"PORTAGG","MEAN"),FMA_EPS(+1,-1AM,,,,"PORTAGG","MEAN"))&lt;/Q&gt;&lt;R&gt;1&lt;/R&gt;&lt;C&gt;1&lt;/C&gt;&lt;D xsi:type="xsd:double"&gt;0&lt;/D&gt;&lt;/FQL&gt;&lt;FQL&gt;&lt;Q&gt;USDNZD^STD(FG_PRICE_CHANGE(0,-3AY,M))&lt;/Q&gt;&lt;R&gt;1&lt;/R&gt;&lt;C&gt;1&lt;/C&gt;&lt;D xsi:type="xsd:double"&gt;3.46010374894999&lt;/D&gt;&lt;/FQL&gt;&lt;FQL&gt;&lt;Q&gt;EWI^FMA_DIV_YLD(NTMA,NOW,NOW,M,"PORTAGG","MEANR")&lt;/Q&gt;&lt;R&gt;1&lt;/R&gt;&lt;C&gt;1&lt;/C&gt;&lt;D xsi:type="xsd:double"&gt;5.3077584436946&lt;/D&gt;&lt;/FQL&gt;&lt;FQL&gt;&lt;Q&gt;GLD^FG_TOTAL_RETURNC(0,-6AM)&lt;/Q&gt;&lt;R&gt;1&lt;/R&gt;&lt;C&gt;1&lt;/C&gt;&lt;D xsi:type="xsd:double"&gt;19.53826&lt;/D&gt;&lt;/FQL&gt;&lt;FQL&gt;&lt;Q&gt;TRYTW10Y-FDS^FG_YIELD(-10AY,0,Y,,"YTM")&lt;/Q&gt;&lt;R&gt;10&lt;/R&gt;&lt;C&gt;1&lt;/C&gt;&lt;D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xsi:type="xsd:double"&gt;1.211&lt;/D&gt;&lt;/FQL&gt;&lt;FQL&gt;&lt;Q&gt;EWG^FMA_RBICS_REV_CURRENT(30, LOC, "PORTAGG")&lt;/Q&gt;&lt;R&gt;1&lt;/R&gt;&lt;C&gt;1&lt;/C&gt;&lt;D xsi:type="xsd:double"&gt;23.0857495662059&lt;/D&gt;&lt;/FQL&gt;&lt;FQL&gt;&lt;Q&gt;EWC^P_PRICE(0)/P_PRICE_LOW_PR(0,,,,,,"PRICE","INTRA","52W")-1&lt;/Q&gt;&lt;R&gt;1&lt;/R&gt;&lt;C&gt;1&lt;/C&gt;&lt;D xsi:type="xsd:double"&gt;0.21872008&lt;/D&gt;&lt;/FQL&gt;&lt;FQL&gt;&lt;Q&gt;UUP^FG_TOTAL_RETURNC(0,-6AM)&lt;/Q&gt;&lt;R&gt;1&lt;/R&gt;&lt;C&gt;1&lt;/C&gt;&lt;D xsi:type="xsd:double"&gt;2.2517085&lt;/D&gt;&lt;/FQL&gt;&lt;FQL&gt;&lt;Q&gt;SPY^FG_FCF_YIELD_NTM(0)&lt;/Q&gt;&lt;R&gt;1&lt;/R&gt;&lt;C&gt;1&lt;/C&gt;&lt;D xsi:type="xsd:double"&gt;4.15600007531312&lt;/D&gt;&lt;/FQL&gt;&lt;FQL&gt;&lt;Q&gt;DDR3512M-FDS^FG_PRICE_MAVG(0,,,,30)&lt;/Q&gt;&lt;R&gt;1&lt;/R&gt;&lt;C&gt;1&lt;/C&gt;&lt;D xsi:type="xsd:double"&gt;0.9672711&lt;/D&gt;&lt;/FQL&gt;&lt;FQL&gt;&lt;Q&gt;EWJ^FG_PRICE_MAVG(0,,,,60)&lt;/Q&gt;&lt;R&gt;1&lt;/R&gt;&lt;C&gt;1&lt;/C&gt;&lt;D xsi:type="xsd:double"&gt;69.2125&lt;/D&gt;&lt;/FQL&gt;&lt;FQL&gt;&lt;Q&gt;SPY^FMA_COS_UP("EPS","1M",+1,0,,,"PORTAGG","MEANR")&lt;/Q&gt;&lt;R&gt;1&lt;/R&gt;&lt;C&gt;1&lt;/C&gt;&lt;D xsi:type="xsd:double"&gt;255&lt;/D&gt;&lt;/FQL&gt;&lt;FQL&gt;&lt;Q&gt;EWI^FMA_PE(NTMA,0,,,"PORTAGG","MEANR")&lt;/Q&gt;&lt;R&gt;1&lt;/R&gt;&lt;C&gt;1&lt;/C&gt;&lt;D xsi:type="xsd:double"&gt;9.68460144048413&lt;/D&gt;&lt;/FQL&gt;&lt;FQL&gt;&lt;Q&gt;TLT^FG_TOTAL_RETURNC(0,-1AM)&lt;/Q&gt;&lt;R&gt;1&lt;/R&gt;&lt;C&gt;1&lt;/C&gt;&lt;D xsi:type="xsd:double"&gt;-1.393336&lt;/D&gt;&lt;/FQL&gt;&lt;FQL&gt;&lt;Q&gt;EWG^P_PRICE_RETURNS_PR('52W',2,-10AY,0,AM)&lt;/Q&gt;&lt;R&gt;121&lt;/R&gt;&lt;C&gt;1&lt;/C&gt;&lt;D xsi:type="xsd:double"&gt;21.998035&lt;/D&gt;&lt;D xsi:type="xsd:double"&gt;23.843777&lt;/D&gt;&lt;D xsi:type="xsd:double"&gt;28.34834&lt;/D&gt;&lt;D xsi:type="xsd:double"&gt;8.395767&lt;/D&gt;&lt;D xsi:type="xsd:double"&gt;12.468219&lt;/D&gt;&lt;D xsi:type="xsd:double"&gt;-2.9726803&lt;/D&gt;&lt;D xsi:type="xsd:double"&gt;-5.274683&lt;/D&gt;&lt;D xsi:type="xsd:double"&gt;-4.1625023&lt;/D&gt;&lt;D xsi:type="xsd:double"&gt;-11.25325&lt;/D&gt;&lt;D xsi:type="xsd:double"&gt;-5.822456&lt;/D&gt;&lt;D xsi:type="xsd:double"&gt;-3.9490104&lt;/D&gt;&lt;D xsi:type="xsd:double"&gt;-1.8440485&lt;/D&gt;&lt;D xsi:type="xsd:double"&gt;-1.328069&lt;/D&gt;&lt;D xsi:type="xsd:double"&gt;-9.346098&lt;/D&gt;&lt;D xsi:type="xsd:double"&gt;-9.765064&lt;/D&gt;&lt;D xsi:type="xsd:double"&gt;4.4968486&lt;/D&gt;&lt;D xsi:type="xsd:double"&gt;-8.714188&lt;/D&gt;&lt;D xsi:type="xsd:double"&gt;1.7742157&lt;/D&gt;&lt;D xsi:type="xsd:double"&gt;0.1842618&lt;/D&gt;&lt;D xsi:type="xsd:double"&gt;-5.362362&lt;/D&gt;&lt;D xsi:type="xsd:double"&gt;-8.271927&lt;/D&gt;&lt;D xsi:type="xsd:double"&gt;-16.867191&lt;/D&gt;&lt;D xsi:type="xsd:double"&gt;-15.486651&lt;/D&gt;&lt;D xsi:type="xsd:double"&gt;-15.909445&lt;/D&gt;&lt;D xsi:type="xsd:double"&gt;-13.534904&lt;/D&gt;&lt;D xsi:type="xsd:double"&gt;-7.6068697&lt;/D&gt;&lt;D xsi:type="xsd:double"&gt;-10.312152&lt;/D&gt;&lt;D xsi:type="xsd:double"&gt;-6.438267&lt;/D&gt;&lt;D xsi:type="xsd:double"&gt;2.2338867&lt;/D&gt;&lt;D xsi:type="xsd:double"&gt;3.5014987&lt;/D&gt;&lt;D xsi:type="xsd:double"&gt;-0.7806361&lt;/D&gt;&lt;D xsi:type="xsd:double"&gt;1.2271881&lt;/D&gt;&lt;D xsi:type="xsd:double"&gt;13.179922&lt;/D&gt;&lt;D xsi:type="xsd:double"&gt;21.735943&lt;/D&gt;&lt;D xsi:type="xsd:double"&gt;16.988777&lt;/D&gt;&lt;D xsi:type="xsd:double"&gt;18.418085&lt;/D&gt;&lt;D xsi:type="xsd:double"&gt;20.481895&lt;/D&gt;&lt;D xsi:type="xsd:double"&gt;23.226082&lt;/D&gt;&lt;D xsi:type="xsd:double"&gt;33.68398&lt;/D&gt;&lt;D xsi:type="xsd:double"&gt;19.296646&lt;/D&gt;&lt;D xsi:type="xsd:double"&gt;20.886612&lt;/D&gt;&lt;D xsi:type="xsd:double"&gt;26.930714&lt;/D&gt;&lt;D xsi:type="xsd:double"&gt;30.489933&lt;/D&gt;&lt;D xsi:type="xsd:double"&gt;29.639471&lt;/D&gt;&lt;D xsi:type="xsd:double"&gt;30.355907&lt;/D&gt;&lt;D xsi:type="xsd:double"&gt;20.144033&lt;/D&gt;&lt;D xsi:type="xsd:double"&gt;20.593607&lt;/D&gt;&lt;D xsi:type="xsd:double"&gt;16.153276&lt;/D&gt;&lt;D xsi:type="xsd:double"&gt;10.755563&lt;/D&gt;&lt;D xsi:type="xsd:double"&gt;5.4806113&lt;/D&gt;&lt;D xsi:type="xsd:double"&gt;4.3661118&lt;/D&gt;&lt;D xsi:type="xsd:double"&gt;2.4056673&lt;/D&gt;&lt;D xsi:type="xsd:double"&gt;-5.442202&lt;/D&gt;&lt;D xsi:type="xsd:double"&gt;-8.998739&lt;/D&gt;&lt;D xsi:type="xsd:double"&gt;-14.032518&lt;/D&gt;&lt;D xsi:type="xsd:double"&gt;-20.212358&lt;/D&gt;&lt;D xsi:type="xsd:double"&gt;-20.98944&lt;/D&gt;&lt;D xsi:type="xsd:double"&gt;-16.685766&lt;/D&gt;&lt;D xsi:type="xsd:double"&gt;-15.73059&lt;/D&gt;&lt;D xsi:type="xsd:double"&gt;-12.356562&lt;/D&gt;&lt;D xsi:type="xsd:double"&gt;-12.402964&lt;/D&gt;&lt;D xsi:type="xsd:double"&gt;-11.053574&lt;/D&gt;&lt;D xsi:type="xsd:double"&gt;-7.3600054&lt;/D&gt;&lt;D xsi:type="xsd:double"&gt;-11.941314&lt;/D&gt;&lt;D xsi:type="xsd:double"&gt;-4.630649&lt;/D&gt;&lt;D xsi:type="xsd:double"&gt;-5.687088&lt;/D&gt;&lt;D xsi:type="xsd:double"&gt;8.458924&lt;/D&gt;&lt;D xsi:type="xsd:double"&gt;15.152895&lt;/D&gt;&lt;D xsi:type="xsd:double"&gt;16.128159&lt;/D&gt;&lt;D xsi:type="xsd:double"&gt;14.793217&lt;/D&gt;&lt;D xsi:type="xsd:double"&gt;-9.218311&lt;/D&gt;&lt;D xsi:type="xsd:double"&gt;-14.388919&lt;/D&gt;&lt;D xsi:type="xsd:double"&gt;-14.485491&lt;/D&gt;&lt;D xsi:type="xsd:double"&gt;4.1046977&lt;/D&gt;&lt;D xsi:type="xsd:double"&gt;0.9701371&lt;/D&gt;&lt;D xsi:type="xsd:double"&gt;12.526762&lt;/D&gt;&lt;D xsi:type="xsd:double"&gt;13.67321&lt;/D&gt;&lt;D xsi:type="xsd:double"&gt;15.543151&lt;/D&gt;&lt;D xsi:type="xsd:double"&gt;2.505231&lt;/D&gt;&lt;D xsi:type="xsd:double"&gt;9.439671&lt;/D&gt;&lt;D xsi:type="xsd:double"&gt;13.9072895&lt;/D&gt;&lt;D xsi:type="xsd:double"&gt;14.563&lt;/D&gt;&lt;D xsi:type="xsd:double"&gt;41.114952&lt;/D&gt;&lt;D xsi:type="xsd:double"&gt;53.65143&lt;/D&gt;&lt;D xsi:type="xsd:double"&gt;56.946266&lt;/D&gt;&lt;D xsi:type="xsd:double"&gt;30.793297&lt;/D&gt;&lt;D xsi:type="xsd:double"&gt;29.494976&lt;/D&gt;&lt;D xsi:type="xsd:double"&gt;22.201061&lt;/D&gt;&lt;D xsi:type="xsd:double"&gt;16.893923&lt;/D&gt;&lt;D xsi:type="xsd:double"&gt;12.202013&lt;/D&gt;&lt;D xsi:type="xsd:double"&gt;20.50526&lt;/D&gt;&lt;D xsi:type="xsd:double"&gt;7.5095534&lt;/D&gt;&lt;D xsi:type="xsd:double"&gt;3.6432981&lt;/D&gt;&lt;D xsi:type="xsd:double"&gt;2.2030115&lt;/D&gt;&lt;D xsi:type="xsd:double"&gt;-13.3227825&lt;/D&gt;&lt;D xsi:type="xsd:double"&gt;-17.716902&lt;/D&gt;&lt;D xsi:type="xsd:double"&gt;-27.980757&lt;/D&gt;&lt;D xsi:type="xsd:double"&gt;-24.978464&lt;/D&gt;&lt;D xsi:type="xsd:double"&gt;-31.294144&lt;/D&gt;&lt;D xsi:type="xsd:double"&gt;-29.657024&lt;/D&gt;&lt;D xsi:type="xsd:double"&gt;-32.4842&lt;/D&gt;&lt;D xsi:type="xsd:double"&gt;-36.43305&lt;/D&gt;&lt;D xsi:type="xsd:double"&gt;-31.874662&lt;/D&gt;&lt;D xsi:type="xsd:double"&gt;-19.230175&lt;/D&gt;&lt;D xsi:type="xsd:double"&gt;-16.80721&lt;/D&gt;&lt;D xsi:type="xsd:double"&gt;-11.068249&lt;/D&gt;&lt;D xsi:type="xsd:double"&gt;2.5307894&lt;/D&gt;&lt;D xsi:type="xsd:double"&gt;6.827128&lt;/D&gt;&lt;D xsi:type="xsd:double"&gt;21.052742&lt;/D&gt;&lt;D xsi:type="xsd:double"&gt;11.408985&lt;/D&gt;&lt;D xsi:type="xsd:double"&gt;26.837349&lt;/D&gt;&lt;D xsi:type="xsd:double"&gt;23.564493&lt;/D&gt;&lt;D xsi:type="xsd:double"&gt;27.932823&lt;/D&gt;&lt;D xsi:type="xsd:double"&gt;33.218636&lt;/D&gt;&lt;D xsi:type="xsd:double"&gt;19.493044&lt;/D&gt;&lt;D xsi:type="xsd:double"&gt;18.044817&lt;/D&gt;&lt;D xsi:type="xsd:double"&gt;12.176216&lt;/D&gt;&lt;D xsi:type="xsd:double"&gt;6.9153666&lt;/D&gt;&lt;D xsi:type="xsd:double"&gt;14.86361&lt;/D&gt;&lt;D xsi:type="xsd:double"&gt;12.745953&lt;/D&gt;&lt;D xsi:type="xsd:double"&gt;12.660933&lt;/D&gt;&lt;/FQL&gt;&lt;FQL&gt;&lt;Q&gt;EWC^FMA_RBICS_REV_CURRENT(30, LOC, "PORTAGG")&lt;/Q&gt;&lt;R&gt;1&lt;/R&gt;&lt;C&gt;1&lt;/C&gt;&lt;D xsi:type="xsd:double"&gt;40.0308181746704&lt;/D&gt;&lt;/FQL&gt;&lt;FQL&gt;&lt;Q&gt;EWQ^FMA_EVAL_EBITDA(NTMA,0,,,"PORTAGG","MEANR")&lt;/Q&gt;&lt;R&gt;1&lt;/R&gt;&lt;C&gt;1&lt;/C&gt;&lt;D xsi:type="xsd:double"&gt;9.29853872285852&lt;/D&gt;&lt;/FQL&gt;&lt;FQL&gt;&lt;Q&gt;EWL^FMA_PCT_ABOVE_MAVG(200,0,,,,"PORTAGG")&lt;/Q&gt;&lt;R&gt;1&lt;/R&gt;&lt;C&gt;1&lt;/C&gt;&lt;D xsi:type="xsd:double"&gt;64.4444444444444&lt;/D&gt;&lt;/FQL&gt;&lt;FQL&gt;&lt;Q&gt;TRYCH10Y-FDS^PCTCHG(FG_YIELD(0,,,,"YTM"),FG_YIELD(-1AM,,,,"YTM"))&lt;/Q&gt;&lt;R&gt;1&lt;/R&gt;&lt;C&gt;1&lt;/C&gt;&lt;D xsi:type="xsd:double"&gt;1.5068463&lt;/D&gt;&lt;/FQL&gt;&lt;FQL&gt;&lt;Q&gt;TRYJP10Y-FDS^PCTCHG(FG_YIELD(0,,,,"YTM"),FG_YIELD(-3AM,,,,"YTM"))&lt;/Q&gt;&lt;R&gt;1&lt;/R&gt;&lt;C&gt;1&lt;/C&gt;&lt;D xsi:type="xsd:double"&gt;26.063387&lt;/D&gt;&lt;/FQL&gt;&lt;FQL&gt;&lt;Q&gt;EWI^FMA_PE(NTMA,-10AY,0,AM,"PORTAGG","MEANR")&lt;/Q&gt;&lt;R&gt;121&lt;/R&gt;&lt;C&gt;1&lt;/C&gt;&lt;D xsi:type="xsd:double"&gt;13.8207677527988&lt;/D&gt;&lt;D xsi:type="xsd:double"&gt;14.7491416764669&lt;/D&gt;&lt;D xsi:type="xsd:double"&gt;14.0409008354722&lt;/D&gt;&lt;D xsi:type="xsd:double"&gt;12.8961474712774&lt;/D&gt;&lt;D xsi:type="xsd:double"&gt;14.128301473691&lt;/D&gt;&lt;D xsi:type="xsd:double"&gt;12.6419535401376&lt;/D&gt;&lt;D xsi:type="xsd:double"&gt;12.550074674507&lt;/D&gt;&lt;D xsi:type="xsd:double"&gt;12.7563812225561&lt;/D&gt;&lt;D xsi:type="xsd:double"&gt;11.756665961576&lt;/D&gt;&lt;D xsi:type="xsd:double"&gt;13.9656829470182&lt;/D&gt;&lt;D xsi:type="xsd:double"&gt;15.4828811543158&lt;/D&gt;&lt;D xsi:type="xsd:double"&gt;16.2313881006666&lt;/D&gt;&lt;D xsi:type="xsd:double"&gt;15.9223150080423&lt;/D&gt;&lt;D xsi:type="xsd:double"&gt;15.0062068657777&lt;/D&gt;&lt;D xsi:type="xsd:double"&gt;14.543691230828&lt;/D&gt;&lt;D xsi:type="xsd:double"&gt;15.6530678005056&lt;/D&gt;&lt;D xsi:type="xsd:double"&gt;14.5158077977756&lt;/D&gt;&lt;D xsi:type="xsd:double"&gt;14.5971735812116&lt;/D&gt;&lt;D xsi:type="xsd:double"&gt;14.5838673080981&lt;/D&gt;&lt;D xsi:type="xsd:double"&gt;14.180691712369&lt;/D&gt;&lt;D xsi:type="xsd:double"&gt;13.4042798846598&lt;/D&gt;&lt;D xsi:type="xsd:double"&gt;11.4228770282805&lt;/D&gt;&lt;D xsi:type="xsd:double"&gt;13.1563274897612&lt;/D&gt;&lt;D xsi:type="xsd:double"&gt;12.6813197580793&lt;/D&gt;&lt;D xsi:type="xsd:double"&gt;12.8112695881621&lt;/D&gt;&lt;D xsi:type="xsd:double"&gt;12.941046414643&lt;/D&gt;&lt;D xsi:type="xsd:double"&gt;11.7116234840266&lt;/D&gt;&lt;D xsi:type="xsd:double"&gt;12.6694917769388&lt;/D&gt;&lt;D xsi:type="xsd:double"&gt;12.4798024463263&lt;/D&gt;&lt;D xsi:type="xsd:double"&gt;11.7367410788033&lt;/D&gt;&lt;D xsi:type="xsd:double"&gt;11.8696103268999&lt;/D&gt;&lt;D xsi:type="xsd:double"&gt;12.8113917756079&lt;/D&gt;&lt;D xsi:type="xsd:double"&gt;13.4036645720723&lt;/D&gt;&lt;D xsi:type="xsd:double"&gt;13.0751844669589&lt;/D&gt;&lt;D xsi:type="xsd:double"&gt;13.2669536707895&lt;/D&gt;&lt;D xsi:type="xsd:double"&gt;13.3504444820847&lt;/D&gt;&lt;D xsi:type="xsd:double"&gt;13.9116157020935&lt;/D&gt;&lt;D xsi:type="xsd:double"&gt;13.3966175320939&lt;/D&gt;&lt;D xsi:type="xsd:double"&gt;13.233758953646&lt;/D&gt;&lt;D xsi:type="xsd:double"&gt;13.4366072885185&lt;/D&gt;&lt;D xsi:type="xsd:double"&gt;13.2217932020195&lt;/D&gt;&lt;D xsi:type="xsd:double"&gt;13.6121818213464&lt;/D&gt;&lt;D xsi:type="xsd:double"&gt;13.4709543792225&lt;/D&gt;&lt;D xsi:type="xsd:double"&gt;13.6153240806097&lt;/D&gt;&lt;D xsi:type="xsd:double"&gt;13.4740827529644&lt;/D&gt;&lt;D xsi:type="xsd:double"&gt;12.426312143247&lt;/D&gt;&lt;D xsi:type="xsd:double"&gt;12.717101374817&lt;/D&gt;&lt;D xsi:type="xsd:double"&gt;12.7427094597204&lt;/D&gt;&lt;D xsi:type="xsd:double"&gt;13.1332845160564&lt;/D&gt;&lt;D xsi:type="xsd:double"&gt;11.2683715804612&lt;/D&gt;&lt;D xsi:type="xsd:double"&gt;11.5344747627783&lt;/D&gt;&lt;D xsi:type="xsd:double"&gt;11.3694915262454&lt;/D&gt;&lt;D xsi:type="xsd:double"&gt;10.5319374128334&lt;/D&gt;&lt;D xsi:type="xsd:double"&gt;10.2870121634879&lt;/D&gt;&lt;D xsi:type="xsd:double"&gt;9.83250022460173&lt;/D&gt;&lt;D xsi:type="xsd:double"&gt;9.34142601303724&lt;/D&gt;&lt;D xsi:type="xsd:double"&gt;9.62926659060815&lt;/D&gt;&lt;D xsi:type="xsd:double"&gt;9.99092706255107&lt;/D&gt;&lt;D xsi:type="xsd:double"&gt;10.3975860967619&lt;/D&gt;&lt;D xsi:type="xsd:double"&gt;10.8654866430761&lt;/D&gt;&lt;D xsi:type="xsd:double"&gt;10.3604147872284&lt;/D&gt;&lt;D xsi:type="xsd:double"&gt;10.0388855969675&lt;/D&gt;&lt;D xsi:type="xsd:double"&gt;10.78198355352&lt;/D&gt;&lt;D xsi:type="xsd:double"&gt;10.0179679863687&lt;/D&gt;&lt;D xsi:type="xsd:double"&gt;10.7489217492738&lt;/D&gt;&lt;D xsi:type="xsd:double"&gt;10.5416116332973&lt;/D&gt;&lt;D xsi:type="xsd:double"&gt;11.4298489679783&lt;/D&gt;&lt;D xsi:type="xsd:double"&gt;11.0942778542173&lt;/D&gt;&lt;D xsi:type="xsd:double"&gt;11.5754589488914&lt;/D&gt;&lt;D xsi:type="xsd:double"&gt;11.7327940946491&lt;/D&gt;&lt;D xsi:type="xsd:double"&gt;8.97525715019174&lt;/D&gt;&lt;D xsi:type="xsd:double"&gt;10.5489472602225&lt;/D&gt;&lt;D xsi:type="xsd:dou</t>
        </r>
      </text>
    </comment>
    <comment ref="A15" authorId="0" shapeId="0" xr:uid="{41513544-B889-4DB3-96C5-2944716B1EE0}">
      <text>
        <r>
          <rPr>
            <b/>
            <sz val="9"/>
            <color indexed="81"/>
            <rFont val="Tahoma"/>
            <charset val="1"/>
          </rPr>
          <t>ble"&gt;14.9309526958178&lt;/D&gt;&lt;D xsi:type="xsd:double"&gt;17.9422080845071&lt;/D&gt;&lt;D xsi:type="xsd:double"&gt;17.2672479876674&lt;/D&gt;&lt;D xsi:type="xsd:double"&gt;16.3246925335378&lt;/D&gt;&lt;D xsi:type="xsd:double"&gt;15.9222257149184&lt;/D&gt;&lt;D xsi:type="xsd:double"&gt;14.8153885346636&lt;/D&gt;&lt;D xsi:type="xsd:double"&gt;14.7773373825968&lt;/D&gt;&lt;D xsi:type="xsd:double"&gt;15.0063494994885&lt;/D&gt;&lt;D xsi:type="xsd:double"&gt;15.0167002089039&lt;/D&gt;&lt;D xsi:type="xsd:double"&gt;14.2896888811079&lt;/D&gt;&lt;D xsi:type="xsd:double"&gt;13.8498685669324&lt;/D&gt;&lt;D xsi:type="xsd:double"&gt;13.8515871782921&lt;/D&gt;&lt;D xsi:type="xsd:double"&gt;13.3803498528066&lt;/D&gt;&lt;D xsi:type="xsd:double"&gt;13.8513238981113&lt;/D&gt;&lt;D xsi:type="xsd:double"&gt;13.1343794703468&lt;/D&gt;&lt;D xsi:type="xsd:double"&gt;12.2734459652941&lt;/D&gt;&lt;D xsi:type="xsd:double"&gt;11.8398892592073&lt;/D&gt;&lt;D xsi:type="xsd:double"&gt;11.7237165099123&lt;/D&gt;&lt;D xsi:type="xsd:double"&gt;11.703516328771&lt;/D&gt;&lt;D xsi:type="xsd:double"&gt;10.9283324587654&lt;/D&gt;&lt;D xsi:type="xsd:double"&gt;11.1873737617082&lt;/D&gt;&lt;D xsi:type="xsd:double"&gt;10.7313961536277&lt;/D&gt;&lt;D xsi:type="xsd:double"&gt;9.50409119691391&lt;/D&gt;&lt;D xsi:type="xsd:double"&gt;9.73151016829227&lt;/D&gt;&lt;D xsi:type="xsd:double"&gt;8.76783481973827&lt;/D&gt;&lt;D xsi:type="xsd:double"&gt;8.6075912718397&lt;/D&gt;&lt;D xsi:type="xsd:double"&gt;7.85446561093793&lt;/D&gt;&lt;D xsi:type="xsd:double"&gt;7.69445479467889&lt;/D&gt;&lt;D xsi:type="xsd:double"&gt;7.64621193624032&lt;/D&gt;&lt;D xsi:type="xsd:double"&gt;7.25830720280263&lt;/D&gt;&lt;D xsi:type="xsd:double"&gt;8.12863971792296&lt;/D&gt;&lt;D xsi:type="xsd:double"&gt;7.79105088578293&lt;/D&gt;&lt;D xsi:type="xsd:double"&gt;8.0920053196776&lt;/D&gt;&lt;D xsi:type="xsd:double"&gt;8.47425587360542&lt;/D&gt;&lt;D xsi:type="xsd:double"&gt;8.70853300801346&lt;/D&gt;&lt;D xsi:type="xsd:double"&gt;8.57519902882603&lt;/D&gt;&lt;D xsi:type="xsd:double"&gt;8.40764090522118&lt;/D&gt;&lt;D xsi:type="xsd:double"&gt;8.5631520822216&lt;/D&gt;&lt;D xsi:type="xsd:double"&gt;8.63306043071063&lt;/D&gt;&lt;D xsi:type="xsd:double"&gt;8.28712764995848&lt;/D&gt;&lt;D xsi:type="xsd:double"&gt;8.36290335027775&lt;/D&gt;&lt;D xsi:type="xsd:double"&gt;8.04223722856704&lt;/D&gt;&lt;D xsi:type="xsd:double"&gt;8.16511563245575&lt;/D&gt;&lt;D xsi:type="xsd:double"&gt;8.82042228501614&lt;/D&gt;&lt;D xsi:type="xsd:double"&gt;8.93659768438789&lt;/D&gt;&lt;D xsi:type="xsd:double"&gt;9.00876216550793&lt;/D&gt;&lt;D xsi:type="xsd:double"&gt;9.4659170517333&lt;/D&gt;&lt;D xsi:type="xsd:double"&gt;9.56040569314505&lt;/D&gt;&lt;D xsi:type="xsd:double"&gt;9.68460144048413&lt;/D&gt;&lt;/FQL&gt;&lt;FQL&gt;&lt;Q&gt;EWD^FG_PRICE_MAVG(0,,,,60)&lt;/Q&gt;&lt;R&gt;1&lt;/R&gt;&lt;C&gt;1&lt;/C&gt;&lt;D xsi:type="xsd:double"&gt;39.659584&lt;/D&gt;&lt;/FQL&gt;&lt;FQL&gt;&lt;Q&gt;EWN^FG_PRICE(0)&lt;/Q&gt;&lt;R&gt;1&lt;/R&gt;&lt;C&gt;1&lt;/C&gt;&lt;D xsi:type="xsd:double"&gt;50.37&lt;/D&gt;&lt;/FQL&gt;&lt;FQL&gt;&lt;Q&gt;WL-FDS^FG_PRICE(0)&lt;/Q&gt;&lt;R&gt;1&lt;/R&gt;&lt;C&gt;1&lt;/C&gt;&lt;D xsi:type="xsd:double"&gt;575.6&lt;/D&gt;&lt;/FQL&gt;&lt;FQL&gt;&lt;Q&gt;EWG^FG_PRICE_MAVG(0,,,,60)&lt;/Q&gt;&lt;R&gt;1&lt;/R&gt;&lt;C&gt;1&lt;/C&gt;&lt;D xsi:type="xsd:double"&gt;30.8455&lt;/D&gt;&lt;/FQL&gt;&lt;FQL&gt;&lt;Q&gt;EWC^P_PRICE_RETURNS_PR('52W',2,-10AY,0,AM)&lt;/Q&gt;&lt;R&gt;121&lt;/R&gt;&lt;C&gt;1&lt;/C&gt;&lt;D xsi:type="xsd:double"&gt;9.929026&lt;/D&gt;&lt;D xsi:type="xsd:double"&gt;15.118241&lt;/D&gt;&lt;D xsi:type="xsd:double"&gt;24.799751&lt;/D&gt;&lt;D xsi:type="xsd:double"&gt;16.791021&lt;/D&gt;&lt;D xsi:type="xsd:double"&gt;17.450344&lt;/D&gt;&lt;D xsi:type="xsd:double"&gt;8.434844&lt;/D&gt;&lt;D xsi:type="xsd:double"&gt;4.611099&lt;/D&gt;&lt;D xsi:type="xsd:double"&gt;1.7677784&lt;/D&gt;&lt;D xsi:type="xsd:double"&gt;-1.0877728&lt;/D&gt;&lt;D xsi:type="xsd:double"&gt;0.15153885&lt;/D&gt;&lt;D xsi:type="xsd:double"&gt;-5.261904&lt;/D&gt;&lt;D xsi:type="xsd:double"&gt;-4.9013557&lt;/D&gt;&lt;D xsi:type="xsd:double"&gt;-3.4409642&lt;/D&gt;&lt;D xsi:type="xsd:double"&gt;-9.149355&lt;/D&gt;&lt;D xsi:type="xsd:double"&gt;-18.919044&lt;/D&gt;&lt;D xsi:type="xsd:double"&gt;-18.658852&lt;/D&gt;&lt;D xsi:type="xsd:double"&gt;-25.918072&lt;/D&gt;&lt;D xsi:type="xsd:double"&gt;-14.33844&lt;/D&gt;&lt;D xsi:type="xsd:double"&gt;-19.879473&lt;/D&gt;&lt;D xsi:type="xsd:double"&gt;-21.293676&lt;/D&gt;&lt;D xsi:type="xsd:double"&gt;-26.546795&lt;/D&gt;&lt;D xsi:type="xsd:double"&gt;-25.784302&lt;/D&gt;&lt;D xsi:type="xsd:double"&gt;-13.129687&lt;/D&gt;&lt;D xsi:type="xsd:double"&gt;-14.276671&lt;/D&gt;&lt;D xsi:type="xsd:double"&gt;-15.973228&lt;/D&gt;&lt;D xsi:type="xsd:double"&gt;-5.775273&lt;/D&gt;&lt;D xsi:type="xsd:double"&gt;-2.807051&lt;/D&gt;&lt;D xsi:type="xsd:double"&gt;3.46241&lt;/D&gt;&lt;D xsi:type="xsd:double"&gt;9.925008&lt;/D&gt;&lt;D xsi:type="xsd:double"&gt;4.874599&lt;/D&gt;&lt;D xsi:type="xsd:double"&gt;11.065758&lt;/D&gt;&lt;D xsi:type="xsd:double"&gt;24.650024&lt;/D&gt;&lt;D xsi:type="xsd:double"&gt;35.565723&lt;/D&gt;&lt;D xsi:type="xsd:double"&gt;37.532425&lt;/D&gt;&lt;D xsi:type="xsd:double"&gt;16.784943&lt;/D&gt;&lt;D xsi:type="xsd:double"&gt;18.827045&lt;/D&gt;&lt;D xsi:type="xsd:double"&gt;11.767459&lt;/D&gt;&lt;D xsi:type="xsd:double"&gt;5.9164166&lt;/D&gt;&lt;D xsi:type="xsd:double"&gt;11.271084&lt;/D&gt;&lt;D xsi:type="xsd:double"&gt;10.105014&lt;/D&gt;&lt;D xsi:type="xsd:double"&gt;10.67692&lt;/D&gt;&lt;D xsi:type="xsd:double"&gt;17.305458&lt;/D&gt;&lt;D xsi:type="xsd:double"&gt;17.677153&lt;/D&gt;&lt;D xsi:type="xsd:double"&gt;10.476136&lt;/D&gt;&lt;D xsi:type="xsd:double"&gt;15.349066&lt;/D&gt;&lt;D xsi:type="xsd:double"&gt;2.7895808&lt;/D&gt;&lt;D xsi:type="xsd:double"&gt;7.9732656&lt;/D&gt;&lt;D xsi:type="xsd:double"&gt;5.232358&lt;/D&gt;&lt;D xsi:type="xsd:double"&gt;12.00329&lt;/D&gt;&lt;D xsi:type="xsd:double"&gt;12.793577&lt;/D&gt;&lt;D xsi:type="xsd:double"&gt;10.363054&lt;/D&gt;&lt;D xsi:type="xsd:double"&gt;7.9024076&lt;/D&gt;&lt;D xsi:type="xsd:double"&gt;1.2935042&lt;/D&gt;&lt;D xsi:type="xsd:double"&gt;0.040340424&lt;/D&gt;&lt;D xsi:type="xsd:double"&gt;-7.0441065&lt;/D&gt;&lt;D xsi:type="xsd:double"&gt;-9.30478&lt;/D&gt;&lt;D xsi:type="xsd:double"&gt;-12.80908&lt;/D&gt;&lt;D xsi:type="xsd:double"&gt;0.72500706&lt;/D&gt;&lt;D xsi:type="xsd:double"&gt;0.92998743&lt;/D&gt;&lt;D xsi:type="xsd:double"&gt;4.332137&lt;/D&gt;&lt;D xsi:type="xsd:double"&gt;0.12161732&lt;/D&gt;&lt;D xsi:type="xsd:double"&gt;-0.24697185&lt;/D&gt;&lt;D xsi:type="xsd:double"&gt;2.4563193&lt;/D&gt;&lt;D xsi:type="xsd:double"&gt;-0.7489443&lt;/D&gt;&lt;D xsi:type="xsd:double"&gt;4.3470144&lt;/D&gt;&lt;D xsi:type="xsd:double"&gt;1.7305493&lt;/D&gt;&lt;D xsi:type="xsd:double"&gt;11.904562&lt;/D&gt;&lt;D xsi:type="xsd:double"&gt;17.232346&lt;/D&gt;&lt;D xsi:type="xsd:double"&gt;19.670105&lt;/D&gt;&lt;D xsi:type="xsd:double"&gt;14.0674&lt;/D&gt;&lt;D xsi:type="xsd:double"&gt;-10.507649&lt;/D&gt;&lt;D xsi:type="xsd:double"&gt;-16.062647&lt;/D&gt;&lt;D xsi:type="xsd:double"&gt;-10.530925&lt;/D&gt;&lt;D xsi:type="xsd:double"&gt;-1.8855035&lt;/D&gt;&lt;D xsi:type="xsd:double"&gt;-8.23847&lt;/D&gt;&lt;D xsi:type="xsd:double"&gt;2.796197&lt;/D&gt;&lt;D xsi:type="xsd:double"&gt;0.9610534&lt;/D&gt;&lt;D xsi:type="xsd:double"&gt;4.028034&lt;/D&gt;&lt;D xsi:type="xsd:double"&gt;-0.45937896&lt;/D&gt;&lt;D xsi:type="xsd:double"&gt;8.847511&lt;/D&gt;&lt;D xsi:type="xsd:double"&gt;9.536755&lt;/D&gt;&lt;D xsi:type="xsd:double"&gt;10.9261875&lt;/D&gt;&lt;D xsi:type="xsd:double"&gt;43.290173&lt;/D&gt;&lt;D xsi:type="xsd:double"&gt;54.99711&lt;/D&gt;&lt;D xsi:type="xsd:double"&gt;55.94797&lt;/D&gt;&lt;D xsi:type="xsd:double"&gt;43.88323&lt;/D&gt;&lt;D xsi:type="xsd:double"&gt;46.55806&lt;/D&gt;&lt;D xsi:type="xsd:double"&gt;36.209656&lt;/D&gt;&lt;D xsi:type="xsd:double"&gt;35.231995&lt;/D&gt;&lt;D xsi:type="xsd:double"&gt;34.98585&lt;/D&gt;&lt;D xsi:type="xsd:double"&gt;41.73572&lt;/D&gt;&lt;D xsi:type="xsd:double"&gt;23.712027&lt;/D&gt;&lt;D xsi:type="xsd:double"&gt;21.44556&lt;/D&gt;&lt;D xsi:type="xsd:double"&gt;22.501076&lt;/D&gt;&lt;D xsi:type="xsd:double"&gt;16.977406&lt;/D&gt;&lt;D xsi:type="xsd:double"&gt;16.290188&lt;/D&gt;&lt;D xsi:type="xsd:double"&gt;-2.013743&lt;/D&gt;&lt;D xsi:type="xsd:double"&gt;0.029623508&lt;/D&gt;&lt;D xsi:type="xsd:double"&gt;-6.10224&lt;/D&gt;&lt;D xsi:type="xsd:double"&gt;-4.914027&lt;/D&gt;&lt;D xsi:type="xsd:double"&gt;-5.0531683&lt;/D&gt;&lt;D xsi:type="xsd:double"&gt;-15.063227&lt;/D&gt;&lt;D xsi:type="xsd:double"&gt;-15.462279&lt;/D&gt;&lt;D xsi:type="xsd:double"&gt;-9.262556&lt;/D&gt;&lt;D xsi:type="xsd:double"&gt;-9.419316&lt;/D&gt;&lt;D xsi:type="xsd:double"&gt;-8.715695&lt;/D&gt;&lt;D xsi:type="xsd:double"&gt;-11.264383&lt;/D&gt;&lt;D xsi:type="xsd:double"&gt;-11.619967&lt;/D&gt;&lt;D xsi:type="xsd:double"&gt;2.5600076&lt;/D&gt;&lt;D xsi:type="xsd:double"&gt;-5.598557&lt;/D&gt;&lt;D xsi:type="xsd:double"&gt;4.215455&lt;/D&gt;&lt;D xsi:type="xsd:double"&gt;2.4556637&lt;/D&gt;&lt;D xsi:type="xsd:double"&gt;2.3947597&lt;/D&gt;&lt;D xsi:type="xsd:double"&gt;8.962334&lt;/D&gt;&lt;D xsi:type="xsd:double"&gt;2.9816985&lt;/D&gt;&lt;D xsi:type="xsd:double"&gt;5.401218&lt;/D&gt;&lt;D xsi:type="xsd:double"&gt;9.627652&lt;/D&gt;&lt;D xsi:type="xsd:double"&gt;6.067121&lt;/D&gt;&lt;D xsi:type="xsd:double"&gt;13.561476&lt;/D&gt;&lt;D xsi:type="xsd:double"&gt;14.320124&lt;/D&gt;&lt;D xsi:type="xsd:double"&gt;10.376537&lt;/D&gt;&lt;/FQL&gt;&lt;FQL&gt;&lt;Q&gt;EWL^FMA_EVAL_EBIT(LTMA,NOW,NOW,M,"PORTAGG","MEANR")&lt;/Q&gt;&lt;R&gt;1&lt;/R&gt;&lt;C&gt;1&lt;/C&gt;&lt;D xsi:type="xsd:double"&gt;16.4158351780209&lt;/D&gt;&lt;/FQL&gt;&lt;FQL&gt;&lt;Q&gt;TRYZA10Y-FDS^JULIAN(FG_YIELD(-10AY,0,CY,,"YTM").DATES)&lt;/Q&gt;&lt;R&gt;10&lt;/R&gt;&lt;C&gt;1&lt;/C&gt;&lt;D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xsi:type="xsd:long"&gt;45289&lt;/D&gt;&lt;/FQL&gt;&lt;FQL&gt;&lt;Q&gt;EWQ^FG_FCF_YIELD_NTM(0)&lt;/Q&gt;&lt;R&gt;1&lt;/R&gt;&lt;C&gt;1&lt;/C&gt;&lt;D xsi:type="xsd:double"&gt;5.64773424745931&lt;/D&gt;&lt;/FQL&gt;&lt;FQL&gt;&lt;Q&gt;CC_DE^FG_COMPANY_NAME&lt;/Q&gt;&lt;R&gt;1&lt;/R&gt;&lt;C&gt;1&lt;/C&gt;&lt;D xsi:type="xsd:string"&gt;Germany&lt;/D&gt;&lt;/FQL&gt;&lt;FQL&gt;&lt;Q&gt;CC_FR^IMF_IFS_RCPI_Q(0)&lt;/Q&gt;&lt;R&gt;1&lt;/R&gt;&lt;C&gt;1&lt;/C&gt;&lt;D xsi:type="xsd:double"&gt;2.79402&lt;/D&gt;&lt;/FQL&gt;&lt;FQL&gt;&lt;Q&gt;USDCHF^FG_PRICE_CHANGE(0,-1AM)&lt;/Q&gt;&lt;R&gt;1&lt;/R&gt;&lt;C&gt;1&lt;/C&gt;&lt;D xsi:type="xsd:double"&gt;0.34861565&lt;/D&gt;&lt;/FQL&gt;&lt;FQL&gt;&lt;Q&gt;EWC^FG_TOTAL_RETURNC(0,-6AM)&lt;/Q&gt;&lt;R&gt;1&lt;/R&gt;&lt;C&gt;1&lt;/C&gt;&lt;D xsi:type="xsd:double"&gt;16.942644&lt;/D&gt;&lt;/FQL&gt;&lt;FQL&gt;&lt;Q&gt;EWQ^FMA_DIV_YLD(NTMA,NOW,NOW,M,"PORTAGG","MEANR")&lt;/Q&gt;&lt;R&gt;1&lt;/R&gt;&lt;C&gt;1&lt;/C&gt;&lt;D xsi:type="xsd:double"&gt;3.14678137180395&lt;/D&gt;&lt;/FQL&gt;&lt;FQL&gt;&lt;Q&gt;USO^FG_TOTAL_RETURNC(0,-6AM)&lt;/Q&gt;&lt;R&gt;1&lt;/R&gt;&lt;C&gt;1&lt;/C&gt;&lt;D xsi:type="xsd:double"&gt;8.925259&lt;/D&gt;&lt;/FQL&gt;&lt;FQL&gt;&lt;Q&gt;CC_JP^FG_COMPANY_NAME&lt;/Q&gt;&lt;R&gt;1&lt;/R&gt;&lt;C&gt;1&lt;/C&gt;&lt;D xsi:type="xsd:string"&gt;Japan&lt;/D&gt;&lt;/FQL&gt;&lt;FQL&gt;&lt;Q&gt;EWA^FG_TOTAL_RETURNC(0,-12AM)&lt;/Q&gt;&lt;R&gt;1&lt;/R&gt;&lt;C&gt;1&lt;/C&gt;&lt;D xsi:type="xsd:double"&gt;9.913754&lt;/D&gt;&lt;/FQL&gt;&lt;FQL&gt;&lt;Q&gt;SPY^FMA_EVAL_EBIT(LTMA,NOW,NOW,M,"PORTAGG","MEANR")&lt;/Q&gt;&lt;R&gt;1&lt;/R&gt;&lt;C&gt;1&lt;/C&gt;&lt;D xsi:type="xsd:double"&gt;20.3489893710016&lt;/D&gt;&lt;/FQL&gt;&lt;FQL&gt;&lt;Q&gt;USO^FG_TOTAL_RETURNC(0,-3AM)&lt;/Q&gt;&lt;R&gt;1&lt;/R&gt;&lt;C&gt;1&lt;/C&gt;&lt;D xsi:type="xsd:double"&gt;6.76713&lt;/D&gt;&lt;/FQL&gt;&lt;FQL&gt;&lt;Q&gt;ENZL^P_PRICE_RETURNS_PR('52W',2,-10AY,0,AM)&lt;/Q&gt;&lt;R&gt;121&lt;/R&gt;&lt;C&gt;1&lt;/C&gt;&lt;D xsi:type="xsd:double"&gt;13.666117&lt;/D&gt;&lt;D xsi:type="xsd:double"&gt;26.097048&lt;/D&gt;&lt;D xsi:type="xsd:double"&gt;27.205097&lt;/D&gt;&lt;D xsi:type="xsd:double"&gt;17.166637&lt;/D&gt;&lt;D xsi:type="xsd:double"&gt;17.090034&lt;/D&gt;&lt;D xsi:type="xsd:double"&gt;5.0480247&lt;/D&gt;&lt;D xsi:type="xsd:double"&gt;3.1032324&lt;/D&gt;&lt;D xsi:type="xsd:double"&gt;9.953535&lt;/D&gt;&lt;D xsi:type="xsd:double"&gt;10.722601&lt;/D&gt;&lt;D xsi:type="xsd:double"&gt;7.5363636&lt;/D&gt;&lt;D xsi:type="xsd:double"&gt;1.9028068&lt;/D&gt;&lt;D xsi:type="xsd:double"&gt;0.32093525&lt;/D&gt;&lt;D xsi:type="xsd:double"&gt;-3.2344341&lt;/D&gt;&lt;D xsi:type="xsd:double"&gt;-3.8022459&lt;/D&gt;&lt;D xsi:type="xsd:double"&gt;-14.161438&lt;/D&gt;&lt;D xsi:type="xsd:double"&gt;-8.873415&lt;/D&gt;&lt;D xsi:type="xsd:double"&gt;-16.186047&lt;/D&gt;&lt;D xsi:type="xsd:double"&gt;-7.4837565&lt;/D&gt;&lt;D xsi:type="xsd:double"&gt;-5.9601603&lt;/D&gt;&lt;D xsi:type="xsd:double"&gt;-3.9931774&lt;/D&gt;&lt;D xsi:type="xsd:double"&gt;-9.598226&lt;/D&gt;&lt;D xsi:type="xsd:double"&gt;-6.570494&lt;/D&gt;&lt;D xsi:type="xsd:double"&gt;-1.3141215&lt;/D&gt;&lt;D xsi:type="xsd:double"&gt;3.5089493&lt;/D&gt;&lt;D xsi:type="xsd:double"&gt;7.913482&lt;/D&gt;&lt;D xsi:type="xsd:double"&gt;18.846464&lt;/D&gt;&lt;D xsi:type="xsd:double"&gt;34.62715&lt;/D&gt;&lt;D xsi:type="xsd:double"&gt;37.625458&lt;/D&gt;&lt;D xsi:type="xsd:double"&gt;53.034653&lt;/D&gt;&lt;D xsi:type="xsd:double"&gt;37.584625&lt;/D&gt;&lt;D xsi:type="xsd:double"&gt;25.046562&lt;/D&gt;&lt;D xsi:type="xsd:double"&gt;20.644928&lt;/D&gt;&lt;D xsi:type="xsd:double"&gt;23.48249&lt;/D&gt;&lt;D xsi:type="xsd:double"&gt;28.258276&lt;/D&gt;&lt;D xsi:type="xsd:double"&gt;12.981772&lt;/D&gt;&lt;D xsi:type="xsd:double"&gt;9.6108675&lt;/D&gt;&lt;D xsi:type="xsd:double"&gt;9.732723&lt;/D&gt;&lt;D xsi:type="xsd:double"&gt;7.805431&lt;/D&gt;&lt;D xsi:type="xsd:double"&gt;10.106623&lt;/D&gt;&lt;D xsi:type="xsd:double"&gt;7.20886&lt;/D&gt;&lt;D xsi:type="xsd:double"&gt;1.6491652&lt;/D&gt;&lt;D xsi:type="xsd:double"&gt;9.719646&lt;/D&gt;&lt;D xsi:type="xsd:double"&gt;11.471486&lt;/D&gt;&lt;D xsi:type="xsd:double"&gt;13.02309&lt;/D&gt;&lt;D xsi:type="xsd:double"&gt;21.902716&lt;/D&gt;&lt;D xsi:type="xsd:double"&gt;12.236047&lt;/D&gt;&lt;D xsi:type="xsd:double"&gt;25.490284&lt;/D&gt;&lt;D xsi:type="xsd:double"&gt;23.702467&lt;/D&gt;&lt;D xsi:type="xsd:double"&gt;17.682098&lt;/D&gt;&lt;D xsi:type="xsd:double"&gt;15.865601&lt;/D&gt;&lt;D xsi:type="xsd:double"&gt;10.70422&lt;/D&gt;&lt;D xsi:type="xsd:double"&gt;3.1962037&lt;/D&gt;&lt;D xsi:type="xsd:double"&gt;4.8740506&lt;/D&gt;&lt;D xsi:type="xsd:double"&gt;3.7931085&lt;/D&gt;&lt;D xsi:type="xsd:double"&gt;8.789754&lt;/D&gt;&lt;D xsi:type="xsd:double"&gt;8.080316&lt;/D&gt;&lt;D xsi:type="xsd:double"&gt;1.3681889&lt;/D&gt;&lt;D xsi:type="xsd:double"&gt;7.8752995&lt;/D&gt;&lt;D xsi:type="xsd:double"&gt;5.685854&lt;/D&gt;&lt;D xsi:type="xsd:double"&gt;5.140519&lt;/D&gt;&lt;D xsi:type="xsd:double"&gt;10.3832245&lt;/D&gt;&lt;D xsi:type="xsd:double"&gt;6.519723&lt;/D&gt;&lt;D xsi:type="xsd:double"&gt;11.46394&lt;/D&gt;&lt;D xsi:type="xsd:double"&gt;18.065548&lt;/D&gt;&lt;D xsi:type="xsd:double"&gt;20.309782&lt;/D&gt;&lt;D xsi:type="xsd:double"&gt;16.58609&lt;/D&gt;&lt;D xsi:type="xsd:double"&gt;14.6838665&lt;/D&gt;&lt;D xsi:type="xsd:double"&gt;22.379864&lt;/D&gt;&lt;D xsi:type="xsd:double"&gt;25.225508&lt;/D&gt;&lt;D xsi:type="xsd:double"&gt;21.756304&lt;/D&gt;&lt;D xsi:type="xsd:double"&gt;4.9172997&lt;/D&gt;&lt;D xsi:type="xsd:double"&gt;-5.511469&lt;/D&gt;&lt;D xsi:type="xsd:double"&gt;1.3747811&lt;/D&gt;&lt;D xsi:type="xsd:double"&gt;11.554586&lt;/D&gt;&lt;D xsi:type="xsd:double"&gt;10.358906&lt;/D&gt;&lt;D xsi:type="xsd:double"&gt;13.852083&lt;/D&gt;&lt;D xsi:type="xsd:double"&gt;10.822988&lt;/D&gt;&lt;D xsi:type="xsd:double"&gt;20.517624&lt;/D&gt;&lt;D xsi:type="xsd:double"&gt;27.395226&lt;/D&gt;&lt;D xsi:type="xsd:double"&gt;21.715534&lt;/D&gt;&lt;D xsi:type="xsd:double"&gt;24.285078&lt;/D&gt;&lt;D xsi:type="xsd:double"&gt;21.582067&lt;/D&gt;&lt;D xsi:type="xsd:double"&gt;24.789392&lt;/D&gt;&lt;D xsi:type="xsd:double"&gt;38.204967&lt;/D&gt;&lt;D xsi:type="xsd:double"&gt;35.013844&lt;/D&gt;&lt;D xsi:type="xsd:double"&gt;14.946354&lt;/D&gt;&lt;D xsi:type="xsd:double"&gt;10.75486&lt;/D&gt;&lt;D xsi:type="xsd:double"&gt;6.223309&lt;/D&gt;&lt;D xsi:type="xsd:double"&gt;10.086155&lt;/D&gt;&lt;D xsi:type="xsd:double"&gt;4.4959188&lt;/D&gt;&lt;D xsi:type="xsd:double"&gt;-0.48459172&lt;/D&gt;&lt;D xsi:type="xsd:double"&gt;-9.888297&lt;/D&gt;&lt;D xsi:type="xsd:double"&gt;-17.040735&lt;/D&gt;&lt;D xsi:type="xsd:double"&gt;-15.895492&lt;/D&gt;&lt;D xsi:type="xsd:double"&gt;-10.566157&lt;/D&gt;&lt;D xsi:type="xsd:double"&gt;-11.181438&lt;/D&gt;&lt;D xsi:type="xsd:double"&gt;-27.182013&lt;/D&gt;&lt;D xsi:type="xsd:double"&gt;-23.135334&lt;/D&gt;&lt;D xsi:type="xsd:double"&gt;-23.475193&lt;/D&gt;&lt;D xsi:type="xsd:double"&gt;-17.878782&lt;/D&gt;&lt;D xsi:type="xsd:double"&gt;-22.73389&lt;/D&gt;&lt;D xsi:type="xsd:double"&gt;-31.843626&lt;/D&gt;&lt;D xsi:type="xsd:double"&gt;-30.040323&lt;/D&gt;&lt;D xsi:type="xsd:double"&gt;-13.236737&lt;/D&gt;&lt;D xsi:type="xsd:double"&gt;-13.61503&lt;/D&gt;&lt;D xsi:type="xsd:double"&gt;-5.5139303&lt;/D&gt;&lt;D xsi:type="xsd:double"&gt;-10.507274&lt;/D&gt;&lt;D xsi:type="xsd:double"&gt;-8.217293&lt;/D&gt;&lt;D xsi:type="xsd:double"&gt;9.87277&lt;/D&gt;&lt;D xsi:type="xsd:double"&gt;3.7522197&lt;/D&gt;&lt;D xsi:type="xsd:double"&gt;10.407114&lt;/D&gt;&lt;D xsi:type="xsd:double"&gt;-0.835222&lt;/D&gt;&lt;D xsi:type="xsd:double"&gt;-3.9458752&lt;/D&gt;&lt;D xsi:type="xsd:double"&gt;10.513247&lt;/D&gt;&lt;D xsi:type="xsd:double"&gt;2.6408434&lt;/D&gt;&lt;D xsi:type="xsd:double"&gt;-4.2146683&lt;/D&gt;&lt;D xsi:type="xsd:double"&gt;0.3439784&lt;/D&gt;&lt;D xsi:type="xsd:double"&gt;-6.625718&lt;/D&gt;&lt;D xsi:type="xsd:double"&gt;-1.481849&lt;/D&gt;&lt;D xsi:type="xsd:double"&gt;-5.763817&lt;/D&gt;&lt;D xsi:type="xsd:double"&gt;-7.4812174&lt;/D&gt;&lt;/FQL&gt;&lt;FQL&gt;&lt;Q&gt;VWO^PERCENT_CHANGE(FMA_EPS(+1,0,,,,"PORTAGG","MEAN"),FMA_EPS(+1,-3AM,,,,"PORTAGG","MEAN"))&lt;/Q&gt;&lt;R&gt;1&lt;/R&gt;&lt;C&gt;1&lt;/C&gt;&lt;D xsi:type="xsd:double"&gt;-1.92261417724731&lt;/D&gt;&lt;/FQL&gt;&lt;FQL&gt;&lt;Q&gt;SPY^FMA_EVAL_EBITDA(NTMA,0,,,"PORTAGG","MEANR")&lt;/Q&gt;&lt;R&gt;1&lt;/R&gt;&lt;C&gt;1&lt;/C&gt;&lt;D xsi:type="xsd:double"&gt;14.0167075178041&lt;/D&gt;&lt;/FQL&gt;&lt;FQL&gt;&lt;Q&gt;SPY^FMA_COS_DOWN("EPS","1M",+1,0,,,"PORTAGG","MEANR")&lt;/Q&gt;&lt;R&gt;1&lt;/R&gt;&lt;C&gt;1&lt;/C&gt;&lt;D xsi:type="xsd:double"&gt;190&lt;/D&gt;&lt;/FQL&gt;&lt;FQL&gt;&lt;Q&gt;EWJ^FG_PRICE_MAVG(0,,,,30)&lt;/Q&gt;&lt;R&gt;1&lt;/R&gt;&lt;C&gt;1&lt;/C&gt;&lt;D xsi:type="xsd:double"&gt;68.609&lt;/D&gt;&lt;/FQL&gt;&lt;FQL&gt;&lt;Q&gt;EWD^P_PRICE(0)/P_PRICE_HIGH_PR(0,,,,,,"PRICE","INTRA","52W")&lt;/Q&gt;&lt;R&gt;1&lt;/R&gt;&lt;C&gt;1&lt;/C&gt;&lt;D xsi:type="xsd:double"&gt;0.9725697&lt;/D&gt;&lt;/FQL&gt;&lt;FQL&gt;&lt;Q&gt;EWU^JULIAN(FMA_DIV_YLD(NTMA,NOW,NOW,M,"PORTAGG","MEANR").DATES)&lt;/Q&gt;&lt;R&gt;1&lt;/R&gt;&lt;C&gt;1&lt;/C&gt;&lt;D xsi:type="xsd:long"&gt;45412&lt;/D&gt;&lt;/FQL&gt;&lt;FQL&gt;&lt;Q&gt;PLATI-FDS^FG_PRICE_MAVG(0,,,,30)&lt;/Q&gt;&lt;R&gt;1&lt;/R&gt;&lt;C&gt;1&lt;/C&gt;&lt;D xsi:type="xsd:double"&gt;949.2&lt;/D&gt;&lt;/FQL&gt;&lt;FQL&gt;&lt;Q&gt;CC_CA^IMF_IFS_RCPI_Q(0)&lt;/Q&gt;&lt;R&gt;1&lt;/R&gt;&lt;C&gt;1&lt;/C&gt;&lt;D xsi:type="xsd:double"&gt;2.8466706&lt;/D&gt;&lt;/FQL&gt;&lt;FQL&gt;&lt;Q&gt;EWN^FMA_PE(NTMA,-10AY,0,AM,"PORTAGG","MEANR")&lt;/Q&gt;&lt;R&gt;121&lt;/R&gt;&lt;C&gt;1&lt;/C&gt;&lt;D xsi:type="xsd:double"&gt;14.0882596556167&lt;/D&gt;&lt;D xsi:type="xsd:double"&gt;14.627759524957&lt;/D&gt;&lt;D xsi:type="xsd:double"&gt;14.3676823323344&lt;/D&gt;&lt;D xsi:type="xsd:double"&gt;13.5583063051154&lt;/D&gt;&lt;D xsi:type="xsd:double"&gt;14.6563640684543&lt;/D&gt;&lt;D xsi:type="xsd:double"&gt;14.0502830037239&lt;/D&gt;&lt;D xsi:type="xsd:double"&gt;14.6243616730506&lt;/D&gt;&lt;D xsi:type="xsd:double"&gt;14.8584805004148&lt;/D&gt;&lt;D xsi:type="xsd:double"&gt;14.594353983902&lt;/D&gt;&lt;D xsi:type="xsd:double"&gt;15.5238178025728&lt;/D&gt;&lt;D xsi:type="xsd:double"&gt;17.2466400496779&lt;/D&gt;&lt;D xsi:type="xsd:double"&gt;17.6118828260422&lt;/D&gt;&lt;D xsi:type="xsd:double"&gt;16.9607465639944&lt;/D&gt;&lt;D xsi:type="xsd:double"&gt;16.2613748037422&lt;/D&gt;&lt;D xsi:type="xsd:double"&gt;16.0289800609869&lt;/D&gt;&lt;D xsi:type="xsd:double"&gt;16.7472121906706&lt;/D&gt;&lt;D xsi:type="xsd:double"&gt;15.0163096466878&lt;/D&gt;&lt;D xsi:type="xsd:double"&gt;14.8640677897835&lt;/D&gt;&lt;D xsi:type="xsd:double"&gt;16.0335739704126&lt;/D&gt;&lt;D xsi:type="xsd:double"&gt;15.5618306173588&lt;/D&gt;&lt;D xsi:type="xsd:double"&gt;14.4164634935421&lt;/D&gt;&lt;D xsi:type="xsd:double"&gt;13.7003034404569&lt;/D&gt;&lt;D xsi:type="xsd:double"&gt;15.0839844284333&lt;/D&gt;&lt;D xsi:type="xsd:double"&gt;14.9467300116203&lt;/D&gt;&lt;D xsi:type="xsd:double"&gt;14.7100633022282&lt;/D&gt;&lt;D xsi:type="xsd:double"&gt;14.9125353537253&lt;/D&gt;&lt;D xsi:type="xsd:double"&gt;14.0942057163934&lt;/D&gt;&lt;D xsi:type="xsd:double"&gt;14.8949951806515&lt;/D&gt;&lt;D xsi:type="xsd:double"&gt;14.8742964634283&lt;/D&gt;&lt;D xsi:type="xsd:double"&gt;14.7859029244652&lt;/D&gt;&lt;D xsi:type="xsd:double"&gt;14.6307486791845&lt;/D&gt;&lt;D xsi:type="xsd:double"&gt;14.7895848907391&lt;/D&gt;&lt;D xsi:type="xsd:double"&gt;15.0362825226961&lt;/D&gt;&lt;D xsi:type="xsd:double"&gt;15.298508017073&lt;/D&gt;&lt;D xsi:type="xsd:double"&gt;15.9423747282576&lt;/D&gt;&lt;D xsi:type="xsd:double"&gt;16.0491046816181&lt;/D&gt;&lt;D xsi:type="xsd:double"&gt;16.7218846707045&lt;/D&gt;&lt;D xsi:type="xsd:double"&gt;16.3278039027341&lt;/D&gt;&lt;D xsi:type="xsd:double"&gt;15.7048515771501&lt;/D&gt;&lt;D xsi:type="xsd:double"&gt;15.9984677679816&lt;/D&gt;&lt;D xsi:type="xsd:double"&gt;15.6713702265961&lt;/D&gt;&lt;D xsi:type="xsd:double"&gt;16.0983972808971&lt;/D&gt;&lt;D xsi:type="xsd:double"&gt;16.1802743834209&lt;/D&gt;&lt;D xsi:type="xsd:double"&gt;16.0424620439414&lt;/D&gt;&lt;D xsi:type="xsd:double"&gt;16.300906043049&lt;/D&gt;&lt;D xsi:type="xsd:double"&gt;15.1646814553608&lt;/D&gt;&lt;D xsi:type="xsd:double"&gt;15.7741675501155&lt;/D&gt;&lt;D xsi:type="xsd:double"&gt;15.4908081857148&lt;/D&gt;&lt;D xsi:type="xsd:double"&gt;15.6878892555197&lt;/D&gt;&lt;D xsi:type="xsd:double"&gt;15.8585875964392&lt;/D&gt;&lt;D xsi:type="xsd:double"&gt;15.5973729715826&lt;/D&gt;&lt;D xsi:type="xsd:double"&gt;15.9040176114606&lt;/D&gt;&lt;D xsi:type="xsd:double"&gt;15.1098846370657&lt;/D&gt;&lt;D xsi:type="xsd:double"&gt;14.5597071156812&lt;/D&gt;&lt;D xsi:type="xsd:double"&gt;14.3697220663431&lt;/D&gt;&lt;D xsi:type="xsd:double"&gt;13.5920725886129&lt;/D&gt;&lt;D xsi:type="xsd:double"&gt;13.3336920138755&lt;/D&gt;&lt;D xsi:type="xsd:double"&gt;14.3944465028796&lt;/D&gt;&lt;D xsi:type="xsd:double"&gt;14.7021194548281&lt;/D&gt;&lt;D xsi:type="xsd:double"&gt;15.4677362198224&lt;/D&gt;&lt;D xsi:type="xsd:double"&gt;15.2026489397417&lt;/D&gt;&lt;D xsi:type="xsd:double"&gt;15.1803568064908&lt;/D&gt;&lt;D xsi:type="xsd:double"&gt;15.479567254393&lt;/D&gt;&lt;D xsi:type="xsd:double"&gt;15.0337846425899&lt;/D&gt;&lt;D xsi:type="xsd:double"&gt;15.8499872961602&lt;/D&gt;&lt;D xsi:type="xsd:double"&gt;15.8397681351147&lt;/D&gt;&lt;D xsi:type="xsd:double"&gt;16.7012996851964&lt;/D&gt;&lt;D xsi:type="xsd:double"&gt;16.8618033828617&lt;/D&gt;&lt;D xsi:type="xsd:double"&gt;17.2316118508101&lt;/D&gt;&lt;D xsi:type="xsd:double"&gt;17.7597815271508&lt;/D&gt;&lt;D xsi:type="xsd:double"&gt;14.5147471136082&lt;/D&gt;&lt;D xsi:type="xsd:double"&gt;15.8300239798781&lt;/D&gt;&lt;D xsi:type="xsd:double"&gt;17.5292983553205&lt;/D&gt;&lt;D xsi:type="xsd:double"&gt;19.5189661081656&lt;/D&gt;&lt;D xsi:type="xsd:double"&gt;19.9635459870431&lt;/D&gt;&lt;D xsi:type="xsd:double"&gt;19.8855726994847&lt;/D&gt;&lt;D xsi:type="xsd:double"&gt;19.5323919641308&lt;/D&gt;&lt;D xsi:type="xsd:double"&gt;19.8932719844796&lt;/D&gt;&lt;D xsi:type="xsd:double"&gt;20.4334021760455&lt;/D&gt;&lt;D xsi:type="xsd:double"&gt;20.5245764102694&lt;/D&gt;&lt;D xsi:type="xsd:double"&gt;21.1819705200959&lt;/D&gt;&lt;D xsi:type="xsd:double"&gt;22.0652149877672&lt;/D&gt;&lt;D xsi:type="xsd:double"&gt;21.5082401880141&lt;/D&gt;&lt;D xsi:type="xsd:double"&gt;22.8845723949405&lt;/D&gt;&lt;D xsi:type="xsd:double"&gt;21.7904348723303&lt;/D&gt;&lt;D xsi:type="xsd:double"&gt;21.3102326461445&lt;/D&gt;&lt;D xsi:type="xsd:double"&gt;21.0945242080681&lt;/D&gt;&lt;D xsi:type="xsd:double"&gt;21.8095584343294&lt;/D&gt;&lt;D xsi:type="xsd:double"&gt;21.7360791044359&lt;/D&gt;&lt;D xsi:type="xsd:double"&gt;20.1929683265308&lt;/D&gt;&lt;D xsi:type="xsd:double"&gt;21.4790919607754&lt;/D&gt;&lt;D xsi:type="xsd:double"&gt;20.3041622765213&lt;/D&gt;&lt;D xsi:type="xsd:double"&gt;20.1245921358075&lt;/D&gt;&lt;D xsi:type="xsd:double"&gt;18.8808801281732&lt;/D&gt;&lt;D xsi:type="xsd:double"&gt;16.9532100713469&lt;/D&gt;&lt;D xsi:type="xsd:double"&gt;17.8297761866517&lt;/D&gt;&lt;D xsi:type="xsd:double"&gt;15.6551692979965&lt;/D&gt;&lt;D xsi:type="xsd:double"&gt;17.0685300863115&lt;/D&gt;&lt;D xsi:type="xsd:double"&gt;16.2656088417677&lt;/D&gt;&lt;D xsi:type="xsd:double"&gt;17.5146790735974&lt;/D&gt;&lt;D xsi:type="xsd:double"&gt;16.2211275314436&lt;/D&gt;&lt;D xsi:type="xsd:double"&gt;14.5002641432253&lt;/D&gt;&lt;D xsi:type="xsd:double"&gt;15.2638501339964&lt;/D&gt;&lt;D xsi:type="xsd:double"&gt;16.3428476031047&lt;/D&gt;&lt;D xsi:type="xsd:double"&gt;16.6697975364518&lt;/D&gt;&lt;D xsi:type="xsd:double"&gt;17.1463617095298&lt;/D&gt;&lt;D xsi:type="xsd:double"&gt;16.3906925315878&lt;/D&gt;&lt;D xsi:type="xsd:double"&gt;16.3025969594971&lt;/D&gt;&lt;D xsi:type="xsd:double"&gt;15.6391722970389&lt;/D&gt;&lt;D xsi:type="xsd:double"&gt;15.6427384838048&lt;/D&gt;&lt;D xsi:type="xsd:double"&gt;15.5313599768611&lt;/D&gt;&lt;D xsi:type="xsd:double"&gt;15.4038635882728&lt;/D&gt;&lt;D xsi:type="xsd:double"&gt;14.2829629234155&lt;/D&gt;&lt;D xsi:type="xsd:double"&gt;13.3814437543913&lt;/D&gt;&lt;D xsi:type="xsd:double"&gt;14.0820861230755&lt;/D&gt;&lt;D xsi:type="xsd:double"&gt;14.8844471202539&lt;/D&gt;&lt;D xsi:type="xsd:double"&gt;14.7882080767327&lt;/D&gt;&lt;D xsi:type="xsd:double"&gt;16.2928039178209&lt;/D&gt;&lt;D xsi:type="xsd:double"&gt;16.2175006861728&lt;/D&gt;&lt;D xsi:type="xsd:double"&gt;16.2075502732205&lt;/D&gt;&lt;D xsi:type="xsd:double"&gt;15.9548326456327&lt;/D&gt;&lt;/FQL&gt;&lt;FQL&gt;&lt;Q&gt;EWI^FG_PRICE_MAVG(0,,,,30)&lt;/Q&gt;&lt;R&gt;1&lt;/R&gt;&lt;C&gt;1&lt;/C&gt;&lt;D xsi:type="xsd:double"&gt;36.952&lt;/D&gt;&lt;/FQL&gt;&lt;FQL&gt;&lt;Q&gt;VWO^FMA_PCT_ABOVE_MAVG(200,0,,,,"PORTAGG")&lt;/Q&gt;&lt;R&gt;1&lt;/R&gt;&lt;C&gt;1&lt;/C&gt;&lt;D xsi:type="xsd:double"&gt;41.5378006872852&lt;/D&gt;&lt;/FQL&gt;&lt;FQL&gt;&lt;Q&gt;EWU^FG_FCF_YIELD_NTM(0)&lt;/Q&gt;&lt;R&gt;1&lt;/R&gt;&lt;C&gt;1&lt;/C&gt;&lt;D xsi:type="xsd:double"&gt;6.17890034019926&lt;/D&gt;&lt;/FQL&gt;&lt;FQL&gt;&lt;Q&gt;GLD^FG_TOTAL_RETURNC(0,-1AM)&lt;/Q&gt;&lt;R&gt;1&lt;/R&gt;&lt;C&gt;1&lt;/C&gt;&lt;D xsi:type="xsd:double"&gt;-0.33077598&lt;/D&gt;&lt;/FQL&gt;&lt;FQL&gt;&lt;Q&gt;EWU^FMA_PE(LTM,0,,,"PORTAGG","MEANR")&lt;/Q&gt;&lt;R&gt;1&lt;/R&gt;&lt;C&gt;1&lt;/C&gt;&lt;D xsi:type="xsd:double"&gt;11.0790773810785&lt;/D&gt;&lt;/FQL&gt;&lt;FQL&gt;&lt;Q&gt;EWD^FG_TOTAL_RETURNC(0,-3AM)&lt;/Q&gt;&lt;R&gt;1&lt;/R&gt;&lt;C&gt;1&lt;/C&gt;&lt;D xsi:type="xsd:double"&gt;7.3857546&lt;/D&gt;&lt;/FQL&gt;&lt;FQL&gt;&lt;Q&gt;QQQ^SIZE(FG_CONSTITUENTS)&lt;/Q&gt;&lt;R&gt;1&lt;/R&gt;&lt;C&gt;1&lt;/C&gt;&lt;D xsi:type="xsd:long"&gt;102&lt;/D&gt;&lt;/FQL&gt;&lt;FQL&gt;&lt;Q&gt;SPY^P_PRICE(0)/P_PRICE_HIGH_PR(0,,,USD,,,"PRICE","INTRA","52W")&lt;/Q&gt;&lt;R&gt;1&lt;/R&gt;&lt;C&gt;1&lt;/C&gt;&lt;D xsi:type="xsd:double"&gt;0.99153656&lt;/D&gt;&lt;/FQL&gt;&lt;FQL&gt;&lt;Q&gt;DUMMY^ECON_DATE(45301,,, 'MM/YYYY')&lt;/Q&gt;&lt;R&gt;1&lt;/R&gt;&lt;C&gt;1&lt;/C&gt;&lt;D xsi:type="xsd:string"&gt;01/2024&lt;/D&gt;&lt;/FQL&gt;&lt;FQL&gt;&lt;Q&gt;DUMMY^ECON_DATE(45392,,, 'MM/YYYY')&lt;/Q&gt;&lt;R&gt;1&lt;/R&gt;&lt;C&gt;1&lt;/C&gt;&lt;D xsi:type="xsd:string"&gt;04/2024&lt;/D&gt;&lt;/FQL&gt;&lt;FQL&gt;&lt;Q&gt;DUMMY^ECON_EXPR_DATA('FDS_ECON[PMIDMMANHE]',04/2024,,Q)&lt;/Q&gt;&lt;R&gt;1&lt;/R&gt;&lt;C&gt;1&lt;/C&gt;&lt;D xsi:type="xsd:double"&gt;49.13533&lt;/D&gt;&lt;/FQL&gt;&lt;FQL&gt;&lt;Q&gt;DUMMY^ECON_EXPR_DATA('FDS_ECON[PMIDMMANHE]',01/2024,,Q)&lt;/Q&gt;&lt;R&gt;1&lt;/R&gt;&lt;C&gt;1&lt;/C&gt;&lt;D xsi:type="xsd:double"&gt;47.377975&lt;/D&gt;&lt;/FQL&gt;&lt;FQL&gt;&lt;Q&gt;DUMMY^ECON_EXPR_DATA('FDS_ECON[NTCPMIMFGSA@EME]',04/2024,,Q)&lt;/Q&gt;&lt;R&gt;1&lt;/R&gt;&lt;C&gt;1&lt;/C&gt;&lt;D xsi:type="xsd:double"&gt;51.51058&lt;/D&gt;&lt;/FQL&gt;&lt;FQL&gt;&lt;Q&gt;DUMMY^ECON_EXPR_DATA('FDS_ECON[NTCPMIMFGSA@EME]',01/2024,,Q)&lt;/Q&gt;&lt;R&gt;1&lt;/R&gt;&lt;C&gt;1&lt;/C&gt;&lt;D xsi:type="xsd:double"&gt;50.624123&lt;/D&gt;&lt;/FQL&gt;&lt;FQL&gt;&lt;Q&gt;DUMMY^ECON_EXPR_DATA('FDS_ECON[NTCPMIMFGSA@NZ]',04/2024,,Q)&lt;/Q&gt;&lt;R&gt;1&lt;/R&gt;&lt;C&gt;1&lt;/C&gt;&lt;D xsi:type="xsd:double"&gt;47.799873&lt;/D&gt;&lt;/FQL&gt;&lt;FQL&gt;&lt;Q&gt;DUMMY^ECON_EXPR_DATA('FDS_ECON[NTCPMIMFGSA@NZ]',01/2024,,Q)&lt;/Q&gt;&lt;R&gt;1&lt;/R&gt;&lt;C&gt;1&lt;/C&gt;&lt;D xsi:type="xsd:double"&gt;44.485504&lt;/D&gt;&lt;/FQL&gt;&lt;FQL&gt;&lt;Q&gt;DUMMY^ECON_EXPR_DATA('FDS_ECON[NTCPMIMFGSA@AU]',04/2024,,Q)&lt;/Q&gt;&lt;R&gt;1&lt;/R&gt;&lt;C&gt;1&lt;/C&gt;&lt;D xsi:type="xsd:double"&gt;48.39547&lt;/D&gt;&lt;/FQL&gt;&lt;FQL&gt;&lt;Q&gt;DUMMY^ECON_EXPR_DATA('FDS_ECON[NTCPMIMFGSA@AU]',01/2024,,Q)&lt;/Q&gt;&lt;R&gt;1&lt;/R&gt;&lt;C&gt;1&lt;/C&gt;&lt;D xsi:type="xsd:double"&gt;47.862293&lt;/D&gt;&lt;/FQL&gt;&lt;FQL&gt;&lt;Q&gt;DUMMY^ECON_EXPR_DATA('FDS_ECON[NTCPMIMFGSA@CA]',04/2024,,Q)&lt;/Q&gt;&lt;R&gt;1&lt;/R&gt;&lt;C&gt;1&lt;/C&gt;&lt;D xsi:type="xsd:double"&gt;49.30091&lt;/D&gt;&lt;/FQL&gt;&lt;FQL&gt;&lt;Q&gt;DUMMY^ECON_EXPR_DATA('FDS_ECON[NTCPMIMFGSA@CA]',01/2024,,Q)&lt;/Q&gt;&lt;R&gt;1&lt;/R&gt;&lt;C&gt;1&lt;/C&gt;&lt;D xsi:type="xsd:double"&gt;47.255585&lt;/D&gt;&lt;/FQL&gt;&lt;FQL&gt;&lt;Q&gt;DUMMY^ECON_EXPR_DATA('FDS_ECON[NTCPMIMFGSA@DE]',04/2024,,Q)&lt;/Q&gt;&lt;R&gt;1&lt;/R&gt;&lt;C&gt;1&lt;/C&gt;&lt;D xsi:type="xsd:double"&gt;43.319096&lt;/D&gt;&lt;/FQL&gt;&lt;FQL&gt;&lt;Q&gt;DUMMY^ECON_EXPR_DATA('FDS_ECON[NTCPMIMFGSA@DE]',01/2024,,Q)&lt;/Q&gt;&lt;R&gt;1&lt;/R&gt;&lt;C&gt;1&lt;/C&gt;&lt;D xsi:type="xsd:double"&gt;42.238945&lt;/D&gt;&lt;/FQL&gt;&lt;FQL&gt;&lt;Q&gt;DUMMY^ECON_EXPR_DATA('FDS_ECON[NTCPMIMFGSA@JP]',04/2024,,Q)&lt;/Q&gt;&lt;R&gt;1&lt;/R&gt;&lt;C&gt;1&lt;/C&gt;&lt;D xsi:type="xsd:double"&gt;47.808857&lt;/D&gt;&lt;/FQL&gt;&lt;FQL&gt;&lt;Q&gt;DUMMY^ECON_EXPR_DATA('FDS_ECON[NTCPMIMFGSA@JP]',01/2024,,Q)&lt;/Q&gt;&lt;R&gt;1&lt;/R&gt;&lt;C&gt;1&lt;/C&gt;&lt;D xsi:type="xsd:double"&gt;48.31877&lt;/D&gt;&lt;/FQL&gt;&lt;FQL&gt;&lt;Q&gt;DUMMY^ECON_EXPR_DATA('FDS_ECON[NTCPMIMFGSA@CH]',04/2024,,Q)&lt;/Q&gt;&lt;R&gt;1&lt;/R&gt;&lt;C&gt;1&lt;/C&gt;&lt;D xsi:type="xsd:double"&gt;44.08605&lt;/D&gt;&lt;/FQL&gt;&lt;FQL&gt;&lt;Q&gt;DUMMY^ECON_EXPR_DATA('FDS_ECON[NTCPMIMFGSA@CH]',01/2024,,Q)&lt;/Q&gt;&lt;R&gt;1&lt;/R&gt;&lt;C&gt;1&lt;/C&gt;&lt;D xsi:type="xsd:double"&gt;41.921543&lt;/D&gt;&lt;/FQL&gt;&lt;FQL&gt;&lt;Q&gt;DUMMY^ECON_EXPR_DATA('FDS_ECON[NTCPMIMFGSA@GB]',04/2024,,Q)&lt;/Q&gt;&lt;R&gt;1&lt;/R&gt;&lt;C&gt;1&lt;/C&gt;&lt;D xsi:type="xsd:double"&gt;48.24796&lt;/D&gt;&lt;/FQL&gt;&lt;FQL&gt;&lt;Q&gt;DUMMY^ECON_EXPR_DATA('FDS_ECON[NTCPMIMFGSA@GB]',01/2024,,Q)&lt;/Q&gt;&lt;R&gt;1&lt;/R&gt;&lt;C&gt;1&lt;/C&gt;&lt;D xsi:type="xsd:double"&gt;46.0587&lt;/D&gt;&lt;/FQL&gt;&lt;FQL&gt;&lt;Q&gt;DUMMY^ECON_EXPR_DATA('FDS_ECON[NTCPMIMFGMESA@US]',04/2024,,Q)&lt;/Q&gt;&lt;R&gt;1&lt;/R&gt;&lt;C&gt;1&lt;/C&gt;&lt;D xsi:type="xsd:double"&gt;51.582687&lt;/D&gt;&lt;/FQL&gt;&lt;FQL&gt;&lt;Q&gt;DUMMY^ECON_EXPR_DATA('FDS_ECON[NTCPMIMFGMESA@US]',01/2024,,Q)&lt;/Q&gt;&lt;R&gt;1&lt;/R&gt;&lt;C&gt;1&lt;/C&gt;&lt;D xsi:type="xsd:double"&gt;49.098827&lt;/D&gt;&lt;/FQL&gt;&lt;FQL&gt;&lt;Q&gt;DUMMY^ECON_EXPR_DATA('FDS_ECON[NTCPMIMFGSA@FR]',04/2024,,Q)&lt;/Q&gt;&lt;R&gt;1&lt;/R&gt;&lt;C&gt;1&lt;/C&gt;&lt;D xsi:type="xsd:double"&gt;45.498753&lt;/D&gt;&lt;/FQL&gt;&lt;FQL&gt;&lt;Q&gt;DUMMY^ECON_EXPR_DATA('FDS_ECON[NTCPMIMFGSA@FR]',01/2024,,Q)&lt;/Q&gt;&lt;R&gt;1&lt;/R&gt;&lt;C&gt;1&lt;/C&gt;&lt;D xsi:type="xsd:double"&gt;42.573967&lt;/D&gt;&lt;/FQL&gt;&lt;FQL&gt;&lt;Q&gt;DUMMY^ECON_EXPR_DATA('FDS_ECON[NTCPMIMFGSA@NL]',04/2024,,Q)&lt;/Q&gt;&lt;R&gt;1&lt;/R&gt;&lt;C&gt;1&lt;/C&gt;&lt;D xsi:type="xsd:double"&gt;49.325874&lt;/D&gt;&lt;/FQL&gt;&lt;FQL&gt;&lt;Q&gt;DUMMY^ECON_EXPR_DATA('FDS_ECON[NTCPMIMFGSA@NL]',01/2024,,Q)&lt;/Q&gt;&lt;R&gt;1&lt;/R&gt;&lt;C&gt;1&lt;/C&gt;&lt;D xsi:type="xsd:double"&gt;44.495136&lt;/D&gt;&lt;/FQL&gt;&lt;FQL&gt;&lt;Q&gt;DUMMY^ECON_EXPR_DATA('FDS_ECON[]',04/2024,,Q)&lt;/Q&gt;&lt;R&gt;0&lt;/R&gt;&lt;C&gt;0&lt;/C&gt;&lt;/FQL&gt;&lt;FQL&gt;&lt;Q&gt;DUMMY^ECON_EXPR_DATA('FDS_ECON[]',01/2024,,Q)&lt;/Q&gt;&lt;R&gt;0&lt;/R&gt;&lt;C&gt;0&lt;/C&gt;&lt;/FQL&gt;&lt;FQL&gt;&lt;Q&gt;DUMMY^ECON_EXPR_DATA('FDS_ECON[NTCPMIMFGSA@IT]',04/2024,,Q)&lt;/Q&gt;&lt;R&gt;1&lt;/R&gt;&lt;C&gt;1&lt;/C&gt;&lt;D xsi:type="xsd:double"&gt;49.208153&lt;/D&gt;&lt;/FQL&gt;&lt;FQL&gt;&lt;Q&gt;DUMMY^ECON_EXPR_DATA('FDS_ECON[NTCPMIMFGSA@IT]',01/2024,,Q)&lt;/Q&gt;&lt;R&gt;1&lt;/R&gt;&lt;C&gt;1&lt;/C&gt;&lt;D xsi:type="xsd:double"&gt;44.859455&lt;/D&gt;&lt;/FQL&gt;&lt;/Schema&gt;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<sst xmlns="http://schemas.openxmlformats.org/spreadsheetml/2006/main" count="2053" uniqueCount="915">
  <si>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</si>
  <si>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</si>
  <si>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</si>
  <si>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</si>
  <si>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</si>
  <si>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</si>
  <si>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</si>
  <si>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</si>
  <si>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</si>
  <si>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</si>
  <si>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</si>
  <si>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</si>
  <si>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</si>
  <si>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</si>
  <si>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</si>
  <si>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</si>
  <si>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</si>
  <si>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</si>
  <si>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</si>
  <si>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</si>
  <si>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</si>
  <si>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</si>
  <si>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</si>
  <si>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</si>
  <si>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</si>
  <si>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</si>
  <si>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</si>
  <si>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</si>
  <si>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</si>
  <si>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</si>
  <si>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</si>
  <si>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</si>
  <si>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</si>
  <si>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</si>
  <si>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</si>
  <si>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</si>
  <si>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</si>
  <si>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</si>
  <si>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</si>
  <si>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</si>
  <si>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</si>
  <si>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</si>
  <si>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</si>
  <si>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</si>
  <si>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</si>
  <si>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</si>
  <si>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</si>
  <si>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</si>
  <si>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</si>
  <si>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</si>
  <si>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</si>
  <si>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</si>
  <si>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</si>
  <si>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</si>
  <si>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</si>
  <si>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</si>
  <si>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</si>
  <si>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</si>
  <si>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</si>
  <si>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</si>
  <si>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</si>
  <si>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</si>
  <si>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</si>
  <si>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</si>
  <si>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</si>
  <si>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</si>
  <si>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</si>
  <si>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</si>
  <si>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</si>
  <si>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</si>
  <si>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</si>
  <si>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</si>
  <si>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</si>
  <si>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</si>
  <si>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</si>
  <si>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</si>
  <si>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</si>
  <si>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</si>
  <si>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</si>
  <si>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</si>
  <si>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</si>
  <si>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</si>
  <si>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</si>
  <si>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</si>
  <si>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</si>
  <si>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</si>
  <si>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</si>
  <si>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</si>
  <si>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</si>
  <si>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</si>
  <si>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</si>
  <si>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</si>
  <si>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</si>
  <si>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</si>
  <si>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</si>
  <si>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</si>
  <si>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</si>
  <si>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</si>
  <si>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</si>
  <si>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</si>
  <si>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</si>
  <si>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</si>
  <si>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</si>
  <si>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</si>
  <si>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</si>
  <si>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</si>
  <si>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</si>
  <si>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</si>
  <si>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</si>
  <si>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</si>
  <si>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</si>
  <si>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</si>
  <si>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</si>
  <si>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</si>
  <si>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</si>
  <si>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</si>
  <si>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</si>
  <si>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</si>
  <si>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</si>
  <si>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</si>
  <si>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</si>
  <si>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</si>
  <si>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</si>
  <si>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</si>
  <si>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</si>
  <si>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</si>
  <si>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</si>
  <si>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</si>
  <si>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</si>
  <si>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</si>
  <si>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</si>
  <si>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</si>
  <si>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</si>
  <si>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</si>
  <si>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</si>
  <si>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</si>
  <si>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</si>
  <si>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</si>
  <si>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</si>
  <si>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</si>
  <si>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</si>
  <si>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</si>
  <si>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</si>
  <si>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</si>
  <si>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</si>
  <si>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</si>
  <si>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</si>
  <si>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</si>
  <si>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</si>
  <si>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</si>
  <si>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</si>
  <si>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</si>
  <si>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</si>
  <si>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</si>
  <si>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</si>
  <si>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</si>
  <si>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</si>
  <si>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</si>
  <si>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</si>
  <si>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</si>
  <si>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</si>
  <si>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</si>
  <si>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</si>
  <si>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</si>
  <si>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</si>
  <si>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</si>
  <si>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</si>
  <si>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</si>
  <si>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</si>
  <si>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</si>
  <si>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</si>
  <si>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</si>
  <si>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</si>
  <si>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</si>
  <si>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</si>
  <si>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</si>
  <si>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</si>
  <si>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</si>
  <si>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</si>
  <si>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</si>
  <si>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</si>
  <si>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</si>
  <si>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</si>
  <si>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</si>
  <si>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</si>
  <si>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</si>
  <si>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</si>
  <si>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</si>
  <si>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</si>
  <si>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</si>
  <si>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</si>
  <si>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</si>
  <si>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</si>
  <si>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</si>
  <si>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</si>
  <si>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</si>
  <si>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</si>
  <si>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</si>
  <si>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</si>
  <si>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</si>
  <si>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</si>
  <si>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</si>
  <si>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</si>
  <si>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</si>
  <si>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</si>
  <si>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</si>
  <si>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</si>
  <si>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</si>
  <si>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</si>
  <si>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</si>
  <si>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</si>
  <si>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</si>
  <si>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</si>
  <si>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</si>
  <si>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</si>
  <si>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</si>
  <si>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</si>
  <si>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</si>
  <si>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</si>
  <si>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</si>
  <si>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</si>
  <si>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</si>
  <si>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</si>
  <si>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</si>
  <si>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</si>
  <si>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</si>
  <si>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</si>
  <si>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</si>
  <si>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</si>
  <si>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</si>
  <si>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</si>
  <si>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</si>
  <si>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</si>
  <si>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</si>
  <si>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</si>
  <si>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</si>
  <si>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</si>
  <si>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</si>
  <si>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</si>
  <si>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</si>
  <si>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</si>
  <si>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</si>
  <si>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</si>
  <si>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</si>
  <si>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</si>
  <si>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</si>
  <si>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</si>
  <si>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</si>
  <si>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</si>
  <si>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</si>
  <si>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</si>
  <si>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</si>
  <si>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</si>
  <si>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</si>
  <si>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</si>
  <si>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</si>
  <si>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</si>
  <si>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</si>
  <si>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</si>
  <si>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</si>
  <si>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</si>
  <si>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</si>
  <si>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</si>
  <si>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</si>
  <si>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</si>
  <si>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</si>
  <si>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</si>
  <si>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</si>
  <si>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</si>
  <si>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</si>
  <si>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</si>
  <si>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</si>
  <si>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</si>
  <si>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</si>
  <si>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</si>
  <si>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</si>
  <si>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</si>
  <si>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</si>
  <si>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</si>
  <si>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</si>
  <si>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</si>
  <si>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</si>
  <si>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</si>
  <si>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</si>
  <si>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</si>
  <si>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</si>
  <si>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</si>
  <si>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</si>
  <si>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</si>
  <si>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</si>
  <si>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</si>
  <si>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</si>
  <si>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</si>
  <si>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</si>
  <si>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</si>
  <si>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</si>
  <si>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</si>
  <si>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</si>
  <si>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</si>
  <si>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</si>
  <si>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</si>
  <si>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</si>
  <si>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</si>
  <si>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</si>
  <si>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</si>
  <si>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</si>
  <si>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</si>
  <si>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</si>
  <si>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</si>
  <si>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</si>
  <si>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</si>
  <si>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</si>
  <si>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</si>
  <si>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</si>
  <si>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</si>
  <si>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</si>
  <si>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</si>
  <si>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</si>
  <si>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</si>
  <si>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</si>
  <si>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</si>
  <si>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</si>
  <si>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</si>
  <si>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</si>
  <si>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</si>
  <si>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</si>
  <si>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</si>
  <si>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</si>
  <si>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</si>
  <si>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</si>
  <si>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</si>
  <si>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</si>
  <si>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</si>
  <si>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</si>
  <si>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</si>
  <si>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</si>
  <si>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</si>
  <si>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</si>
  <si>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</si>
  <si>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</si>
  <si>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</si>
  <si>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</si>
  <si>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</si>
  <si>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</si>
  <si>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</si>
  <si>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</si>
  <si>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</si>
  <si>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</si>
  <si>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</si>
  <si>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</si>
  <si>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</si>
  <si>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</si>
  <si>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</si>
  <si>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</si>
  <si>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</si>
  <si>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</si>
  <si>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</si>
  <si>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</si>
  <si>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</si>
  <si>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</si>
  <si>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</si>
  <si>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</si>
  <si>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</si>
  <si>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</si>
  <si>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</si>
  <si>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</si>
  <si>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</si>
  <si>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</si>
  <si>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</si>
  <si>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</si>
  <si>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</si>
  <si>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</si>
  <si>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</si>
  <si>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</si>
  <si>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</si>
  <si>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</si>
  <si>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</si>
  <si>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</si>
  <si>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</si>
  <si>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</si>
  <si>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</si>
  <si>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</si>
  <si>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</si>
  <si>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</si>
  <si>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</si>
  <si>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</si>
  <si>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Currency change last 3  month</t>
  </si>
  <si>
    <t>Currency change last 1 month</t>
  </si>
  <si>
    <t>Rolling 12 month returns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</si>
  <si>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</si>
  <si>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</si>
  <si>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</si>
  <si>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</si>
  <si>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</si>
  <si>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</si>
  <si>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</si>
  <si>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</si>
  <si>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</si>
  <si>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</si>
  <si>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</si>
  <si>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</si>
  <si>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 xml:space="preserve">Cuurent 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</si>
  <si>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</si>
  <si>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</si>
  <si>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</si>
  <si>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</si>
  <si>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</si>
  <si>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</si>
  <si>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</si>
  <si>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</si>
  <si>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</si>
  <si>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</si>
  <si>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</si>
  <si>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</si>
  <si>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</si>
  <si>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</si>
  <si>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</si>
  <si>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</si>
  <si>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</si>
  <si>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</si>
  <si>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</si>
  <si>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</si>
  <si>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</si>
  <si>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</si>
  <si>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</si>
  <si>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</si>
  <si>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</si>
  <si>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</si>
  <si>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</si>
  <si>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</si>
  <si>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</si>
  <si>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</si>
  <si>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</si>
  <si>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</si>
  <si>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</si>
  <si>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</si>
  <si>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</si>
  <si>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</si>
  <si>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</si>
  <si>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</si>
  <si>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</si>
  <si>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</si>
  <si>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</si>
  <si>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</si>
  <si>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</si>
  <si>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</si>
  <si>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</si>
  <si>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</si>
  <si>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</si>
  <si>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TRYNZ10Y-FDS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</si>
  <si>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</si>
  <si>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</si>
  <si>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</si>
  <si>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</si>
  <si>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</si>
  <si>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</si>
  <si>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</si>
  <si>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</si>
  <si>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</si>
  <si>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</si>
  <si>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</si>
  <si>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</si>
  <si>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</si>
  <si>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</si>
  <si>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</si>
  <si>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USDJPY</t>
  </si>
  <si>
    <t>USDAUD</t>
  </si>
  <si>
    <t>USDCAD</t>
  </si>
  <si>
    <t>USDGBP</t>
  </si>
  <si>
    <t>USDNZD</t>
  </si>
  <si>
    <t>USDCHF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</si>
  <si>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</si>
  <si>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</si>
  <si>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</si>
  <si>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</si>
  <si>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</si>
  <si>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</si>
  <si>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</si>
  <si>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</si>
  <si>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</si>
  <si>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</si>
  <si>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</si>
  <si>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</si>
  <si>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</si>
  <si>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</si>
  <si>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</si>
  <si>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</si>
  <si>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</si>
  <si>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</si>
  <si>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</si>
  <si>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</si>
  <si>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</si>
  <si>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</si>
  <si>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</si>
  <si>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</si>
  <si>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</si>
  <si>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</si>
  <si>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</si>
  <si>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</si>
  <si>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</si>
  <si>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</si>
  <si>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</si>
  <si>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</si>
  <si>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</si>
  <si>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</si>
  <si>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</si>
  <si>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</si>
  <si>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</si>
  <si>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</si>
  <si>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</si>
  <si>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</si>
  <si>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</si>
  <si>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</si>
  <si>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</si>
  <si>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</si>
  <si>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</si>
  <si>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</si>
  <si>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</si>
  <si>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</si>
  <si>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</si>
  <si>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</si>
  <si>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</si>
  <si>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</si>
  <si>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</si>
  <si>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</si>
  <si>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</si>
  <si>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</si>
  <si>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</si>
  <si>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</si>
  <si>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</si>
  <si>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</si>
  <si>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</si>
  <si>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</si>
  <si>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</si>
  <si>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</si>
  <si>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</si>
  <si>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</si>
  <si>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</si>
  <si>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</si>
  <si>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</si>
  <si>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</si>
  <si>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</si>
  <si>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</si>
  <si>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</si>
  <si>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</si>
  <si>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</si>
  <si>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</si>
  <si>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</si>
  <si>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</si>
  <si>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</si>
  <si>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</si>
  <si>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</si>
  <si>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</si>
  <si>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</si>
  <si>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USDUSD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</si>
  <si>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</si>
  <si>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</si>
  <si>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</si>
  <si>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</si>
  <si>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</si>
  <si>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</si>
  <si>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</si>
  <si>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</si>
  <si>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</si>
  <si>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</si>
  <si>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</si>
  <si>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</si>
  <si>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</si>
  <si>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</si>
  <si>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</si>
  <si>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</si>
  <si>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</si>
  <si>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</si>
  <si>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</si>
  <si>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</si>
  <si>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</si>
  <si>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</si>
  <si>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</si>
  <si>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</si>
  <si>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</si>
  <si>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</si>
  <si>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</si>
  <si>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</si>
  <si>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</si>
  <si>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</si>
  <si>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</si>
  <si>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</si>
  <si>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</si>
  <si>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</si>
  <si>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</si>
  <si>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</si>
  <si>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</si>
  <si>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</si>
  <si>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</si>
  <si>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</si>
  <si>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</si>
  <si>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</si>
  <si>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</si>
  <si>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</si>
  <si>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</si>
  <si>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</si>
  <si>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</si>
  <si>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</si>
  <si>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</si>
  <si>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</si>
  <si>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</si>
  <si>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</si>
  <si>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</si>
  <si>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</si>
  <si>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</si>
  <si>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</si>
  <si>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</si>
  <si>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</si>
  <si>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</si>
  <si>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</si>
  <si>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</si>
  <si>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</si>
  <si>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</si>
  <si>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</si>
  <si>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</si>
  <si>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</si>
  <si>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</si>
  <si>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</si>
  <si>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</si>
  <si>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</si>
  <si>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</si>
  <si>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</si>
  <si>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</si>
  <si>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</si>
  <si>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</si>
  <si>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</si>
  <si>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</si>
  <si>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</si>
  <si>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</si>
  <si>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</si>
  <si>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</si>
  <si>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</si>
  <si>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</si>
  <si>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</si>
  <si>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</si>
  <si>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</si>
  <si>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</si>
  <si>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</si>
  <si>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</si>
  <si>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</si>
  <si>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</si>
  <si>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</si>
  <si>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</si>
  <si>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</si>
  <si>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</si>
  <si>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</si>
  <si>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</si>
  <si>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</si>
  <si>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</si>
  <si>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</si>
  <si>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</si>
  <si>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</si>
  <si>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</si>
  <si>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</si>
  <si>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</si>
  <si>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</si>
  <si>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</si>
  <si>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</si>
  <si>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</si>
  <si>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</si>
  <si>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</si>
  <si>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</si>
  <si>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</si>
  <si>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</si>
  <si>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</si>
  <si>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</si>
  <si>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</si>
  <si>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</si>
  <si>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</si>
  <si>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</si>
  <si>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</si>
  <si>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</si>
  <si>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</si>
  <si>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</si>
  <si>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</si>
  <si>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</si>
  <si>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</si>
  <si>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</si>
  <si>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</si>
  <si>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</si>
  <si>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</si>
  <si>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</si>
  <si>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</si>
  <si>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</si>
  <si>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</si>
  <si>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</si>
  <si>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</si>
  <si>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</si>
  <si>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</si>
  <si>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</si>
  <si>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</si>
  <si>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</si>
  <si>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</si>
  <si>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</si>
  <si>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</si>
  <si>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</si>
  <si>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</si>
  <si>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</si>
  <si>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</si>
  <si>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</si>
  <si>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</si>
  <si>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</si>
  <si>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</si>
  <si>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</si>
  <si>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</si>
  <si>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</si>
  <si>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</si>
  <si>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</si>
  <si>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</si>
  <si>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</si>
  <si>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</si>
  <si>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</si>
  <si>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</si>
  <si>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</si>
  <si>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</si>
  <si>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</si>
  <si>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</si>
  <si>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</si>
  <si>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</si>
  <si>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</si>
  <si>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</si>
  <si>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</si>
  <si>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</si>
  <si>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</si>
  <si>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</si>
  <si>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</si>
  <si>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</si>
  <si>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</si>
  <si>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</si>
  <si>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</si>
  <si>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</si>
  <si>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</si>
  <si>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</si>
  <si>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</si>
  <si>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</si>
  <si>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</si>
  <si>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</si>
  <si>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</si>
  <si>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</si>
  <si>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</si>
  <si>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</si>
  <si>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</si>
  <si>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</si>
  <si>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</si>
  <si>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</si>
  <si>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DM</t>
  </si>
  <si>
    <t>NTCPMIMFGMESA@US</t>
  </si>
  <si>
    <t>NTCPMIMFGSA@CA</t>
  </si>
  <si>
    <t>NTCPMIMFGSA@AU</t>
  </si>
  <si>
    <t>NTCPMIMFGSA@JP</t>
  </si>
  <si>
    <t>NTCPMIMFGSA@NZ</t>
  </si>
  <si>
    <t>NTCPMIMFGSA@DE</t>
  </si>
  <si>
    <t>NTCPMIMFGSA@GB</t>
  </si>
  <si>
    <t>NTCPMIMFGSA@CH</t>
  </si>
  <si>
    <t>PMIDMMANHE</t>
  </si>
  <si>
    <t>Developed Markets</t>
  </si>
  <si>
    <t>NTCPMIMFGSA@EME</t>
  </si>
  <si>
    <t>Emerging Markets</t>
  </si>
  <si>
    <t>USA</t>
  </si>
  <si>
    <t>Country_Code</t>
  </si>
  <si>
    <t>PMI</t>
  </si>
  <si>
    <t>A-5</t>
  </si>
  <si>
    <t>Economic Momentm</t>
  </si>
  <si>
    <t>Q-Q Change</t>
  </si>
  <si>
    <t>GDP AVG 5 &amp; 10 YR CAGR</t>
  </si>
  <si>
    <t>GDP Percentile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</si>
  <si>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</si>
  <si>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</si>
  <si>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</si>
  <si>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</si>
  <si>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</si>
  <si>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</si>
  <si>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</si>
  <si>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</si>
  <si>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</si>
  <si>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</si>
  <si>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</si>
  <si>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</si>
  <si>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</si>
  <si>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</si>
  <si>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</si>
  <si>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</si>
  <si>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</si>
  <si>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</si>
  <si>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</si>
  <si>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</si>
  <si>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</si>
  <si>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</si>
  <si>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</si>
  <si>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</si>
  <si>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</si>
  <si>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</si>
  <si>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</si>
  <si>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</si>
  <si>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</si>
  <si>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</si>
  <si>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</si>
  <si>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</si>
  <si>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</si>
  <si>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</si>
  <si>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</si>
  <si>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</si>
  <si>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</si>
  <si>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</si>
  <si>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</si>
  <si>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</si>
  <si>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</si>
  <si>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</si>
  <si>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</si>
  <si>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</si>
  <si>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</si>
  <si>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</si>
  <si>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</si>
  <si>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</si>
  <si>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</si>
  <si>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</si>
  <si>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</si>
  <si>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</si>
  <si>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</si>
  <si>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</si>
  <si>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</si>
  <si>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</si>
  <si>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</si>
  <si>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</si>
  <si>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</si>
  <si>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</si>
  <si>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</si>
  <si>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</si>
  <si>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</si>
  <si>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</si>
  <si>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</si>
  <si>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</si>
  <si>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</si>
  <si>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FC0000GR</t>
  </si>
  <si>
    <t>FC0000NZ</t>
  </si>
  <si>
    <t>FC0000AU</t>
  </si>
  <si>
    <t>FC0000CA</t>
  </si>
  <si>
    <t>FC0000JP</t>
  </si>
  <si>
    <t>FC0000CH</t>
  </si>
  <si>
    <t>FC0000GB</t>
  </si>
  <si>
    <t>FC0000US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</si>
  <si>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</si>
  <si>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</si>
  <si>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</si>
  <si>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</si>
  <si>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</si>
  <si>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</si>
  <si>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</si>
  <si>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</si>
  <si>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</si>
  <si>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</si>
  <si>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</si>
  <si>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</si>
  <si>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</si>
  <si>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A- 6</t>
  </si>
  <si>
    <t>Size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</si>
  <si>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</si>
  <si>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</si>
  <si>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</si>
  <si>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</si>
  <si>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</si>
  <si>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</si>
  <si>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</si>
  <si>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CC_IT</t>
  </si>
  <si>
    <t>CC_FR</t>
  </si>
  <si>
    <t>CC_NL</t>
  </si>
  <si>
    <t>iShares MSCI Italy ETF</t>
  </si>
  <si>
    <t>iShares MSCI Netherlands ETF</t>
  </si>
  <si>
    <t>iShares MSCI Sweden ETF</t>
  </si>
  <si>
    <t>iShares MSCI France ETF</t>
  </si>
  <si>
    <t>NL</t>
  </si>
  <si>
    <t>IT</t>
  </si>
  <si>
    <t>TRYNL10Y-FDS</t>
  </si>
  <si>
    <t>TRYSE10Y-FDS</t>
  </si>
  <si>
    <t>TRYIT10Y-FDS</t>
  </si>
  <si>
    <t>USDANG</t>
  </si>
  <si>
    <t>USDSEK</t>
  </si>
  <si>
    <t>USDITL</t>
  </si>
  <si>
    <t>NTCPMIMFGSA@FR</t>
  </si>
  <si>
    <t>NTCPMIMFGSA@NL</t>
  </si>
  <si>
    <t>NTCPMIMFGSA@IT</t>
  </si>
  <si>
    <t>Asset class momnetum</t>
  </si>
  <si>
    <t>Asset Class - Momnetum</t>
  </si>
  <si>
    <t>GLD</t>
  </si>
  <si>
    <t>UUP</t>
  </si>
  <si>
    <t>DBA</t>
  </si>
  <si>
    <t>TLT</t>
  </si>
  <si>
    <t>Earnings Revsion</t>
  </si>
  <si>
    <t>Upgrades 1 month</t>
  </si>
  <si>
    <t>Downgrades 1 month</t>
  </si>
  <si>
    <t>FXI</t>
  </si>
  <si>
    <t>Equity Global Attractiveness</t>
  </si>
  <si>
    <t>Clsoeness to 52 week</t>
  </si>
  <si>
    <t>1 month</t>
  </si>
  <si>
    <t>Closeness to 52 week</t>
  </si>
  <si>
    <t>rank</t>
  </si>
  <si>
    <t>USO</t>
  </si>
  <si>
    <t>techincal strength</t>
  </si>
  <si>
    <t>% of Countries above 30 day</t>
  </si>
  <si>
    <t>% of Countries above 60 day</t>
  </si>
  <si>
    <t>% of Countries above 200 day</t>
  </si>
  <si>
    <t>Sum</t>
  </si>
  <si>
    <t>1 month change</t>
  </si>
  <si>
    <t>1 month return</t>
  </si>
  <si>
    <t>PMI Q-Q Change</t>
  </si>
  <si>
    <t>Overall Safety Score</t>
  </si>
  <si>
    <t>SAFETY PERCENTILE</t>
  </si>
  <si>
    <t>Safety</t>
  </si>
  <si>
    <t>Monthly freq</t>
  </si>
  <si>
    <t>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</si>
</sst>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b/>
      <sz val="11"/>
      <color rgb="FFFF0000"/>
      <name val="Calibri"/>
      <family val="2"/>
      <scheme val="minor"/>
    </font>
    <font>
      <sz val="7"/>
      <name val="Courier New"/>
      <family val="3"/>
    </font>
    <font>
      <b/>
      <sz val="9"/>
      <color indexed="81"/>
      <name val="Tahoma"/>
      <charset val="1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1" fillId="2" borderId="0" xfId="0" applyNumberFormat="1" applyFont="1" applyFill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7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16" xfId="0" applyFont="1" applyBorder="1" applyAlignment="1">
      <alignment horizontal="center" vertical="center"/>
    </xf>
    <xf numFmtId="0" fontId="13" fillId="0" borderId="4" xfId="0" applyFont="1" applyBorder="1"/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0" borderId="2" xfId="0" applyFont="1" applyBorder="1"/>
    <xf numFmtId="9" fontId="0" fillId="0" borderId="7" xfId="0" applyNumberFormat="1" applyBorder="1"/>
    <xf numFmtId="0" fontId="13" fillId="0" borderId="1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37" borderId="4" xfId="0" applyFont="1" applyFill="1" applyBorder="1"/>
    <xf numFmtId="10" fontId="0" fillId="0" borderId="12" xfId="3" applyNumberFormat="1" applyFont="1" applyBorder="1"/>
    <xf numFmtId="10" fontId="0" fillId="0" borderId="7" xfId="3" applyNumberFormat="1" applyFont="1" applyBorder="1"/>
    <xf numFmtId="2" fontId="0" fillId="0" borderId="0" xfId="1" applyNumberFormat="1" applyFont="1" applyFill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9" fontId="0" fillId="0" borderId="0" xfId="3" applyFont="1" applyBorder="1" applyAlignment="1">
      <alignment horizontal="center" vertical="center"/>
    </xf>
    <xf numFmtId="165" fontId="0" fillId="0" borderId="23" xfId="0" applyNumberFormat="1" applyBorder="1" applyAlignment="1">
      <alignment horizontal="center" vertical="center"/>
    </xf>
    <xf numFmtId="9" fontId="0" fillId="0" borderId="23" xfId="3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9" fontId="0" fillId="0" borderId="1" xfId="3" applyFont="1" applyBorder="1" applyAlignment="1">
      <alignment horizontal="center" vertical="center"/>
    </xf>
    <xf numFmtId="0" fontId="0" fillId="0" borderId="14" xfId="0" applyBorder="1"/>
    <xf numFmtId="0" fontId="0" fillId="0" borderId="16" xfId="0" applyBorder="1"/>
    <xf numFmtId="0" fontId="0" fillId="0" borderId="15" xfId="0" applyBorder="1"/>
    <xf numFmtId="10" fontId="0" fillId="0" borderId="0" xfId="3" applyNumberFormat="1" applyFont="1" applyFill="1" applyBorder="1"/>
    <xf numFmtId="167" fontId="0" fillId="0" borderId="3" xfId="0" applyNumberFormat="1" applyBorder="1"/>
    <xf numFmtId="167" fontId="0" fillId="0" borderId="4" xfId="0" applyNumberFormat="1" applyBorder="1"/>
    <xf numFmtId="167" fontId="0" fillId="0" borderId="6" xfId="0" applyNumberFormat="1" applyBorder="1"/>
    <xf numFmtId="0" fontId="42" fillId="0" borderId="2" xfId="0" applyFont="1" applyBorder="1"/>
    <xf numFmtId="0" fontId="1" fillId="0" borderId="12" xfId="0" applyFont="1" applyBorder="1"/>
    <xf numFmtId="165" fontId="0" fillId="0" borderId="6" xfId="0" applyNumberForma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33" xfId="0" applyBorder="1"/>
    <xf numFmtId="165" fontId="0" fillId="0" borderId="17" xfId="0" applyNumberFormat="1" applyBorder="1" applyAlignment="1">
      <alignment horizontal="center" vertical="center"/>
    </xf>
    <xf numFmtId="165" fontId="0" fillId="0" borderId="21" xfId="0" applyNumberFormat="1" applyBorder="1" applyAlignment="1">
      <alignment horizontal="center" vertical="center"/>
    </xf>
    <xf numFmtId="165" fontId="0" fillId="0" borderId="19" xfId="0" applyNumberFormat="1" applyBorder="1" applyAlignment="1">
      <alignment horizontal="center" vertical="center"/>
    </xf>
    <xf numFmtId="167" fontId="1" fillId="0" borderId="0" xfId="0" applyNumberFormat="1" applyFont="1"/>
    <xf numFmtId="0" fontId="0" fillId="38" borderId="0" xfId="0" applyFill="1"/>
    <xf numFmtId="0" fontId="1" fillId="38" borderId="0" xfId="0" applyFont="1" applyFill="1"/>
    <xf numFmtId="2" fontId="0" fillId="38" borderId="0" xfId="0" applyNumberFormat="1" applyFill="1"/>
    <xf numFmtId="14" fontId="43" fillId="0" borderId="4" xfId="0" applyNumberFormat="1" applyFont="1" applyBorder="1"/>
    <xf numFmtId="14" fontId="43" fillId="0" borderId="7" xfId="0" applyNumberFormat="1" applyFont="1" applyBorder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9" fontId="0" fillId="2" borderId="12" xfId="0" applyNumberFormat="1" applyFill="1" applyBorder="1"/>
    <xf numFmtId="167" fontId="4" fillId="0" borderId="7" xfId="0" applyNumberFormat="1" applyFont="1" applyBorder="1"/>
    <xf numFmtId="9" fontId="0" fillId="2" borderId="4" xfId="0" applyNumberFormat="1" applyFill="1" applyBorder="1"/>
    <xf numFmtId="0" fontId="0" fillId="36" borderId="0" xfId="0" applyFill="1"/>
    <xf numFmtId="9" fontId="0" fillId="36" borderId="9" xfId="0" applyNumberFormat="1" applyFill="1" applyBorder="1"/>
    <xf numFmtId="1" fontId="0" fillId="36" borderId="0" xfId="0" applyNumberFormat="1" applyFill="1"/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1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7" zoomScale="70" zoomScaleNormal="70" workbookViewId="0">
      <selection activeCell="H20" sqref="H20"/>
    </sheetView>
  </sheetViews>
  <sheetFormatPr defaultRowHeight="14.5" x14ac:dyDescent="0.35"/>
  <cols>
    <col min="3" max="3" width="18.54296875" customWidth="1"/>
    <col min="4" max="4" width="26.81640625" customWidth="1"/>
    <col min="5" max="5" width="24.81640625" bestFit="1" customWidth="1"/>
    <col min="6" max="6" width="18.81640625" customWidth="1"/>
    <col min="7" max="7" width="27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1" t="s">
        <v>415</v>
      </c>
      <c r="D8" s="51" t="s">
        <v>55</v>
      </c>
    </row>
    <row r="9" spans="3:19" ht="15" thickBot="1" x14ac:dyDescent="0.4">
      <c r="M9" t="s">
        <v>473</v>
      </c>
      <c r="N9" s="66">
        <v>0.06</v>
      </c>
      <c r="S9" s="65"/>
    </row>
    <row r="10" spans="3:19" x14ac:dyDescent="0.35">
      <c r="C10" s="1" t="s">
        <v>416</v>
      </c>
      <c r="D10" s="62" t="s">
        <v>61</v>
      </c>
      <c r="E10" s="16" t="s">
        <v>9</v>
      </c>
      <c r="F10" s="16" t="s">
        <v>56</v>
      </c>
      <c r="G10" s="188" t="s">
        <v>57</v>
      </c>
    </row>
    <row r="11" spans="3:19" ht="15" thickBot="1" x14ac:dyDescent="0.4">
      <c r="D11" s="189" t="s">
        <v>82</v>
      </c>
      <c r="E11" s="68">
        <v>0.4</v>
      </c>
      <c r="F11" s="68">
        <v>0.3</v>
      </c>
      <c r="G11" s="190">
        <v>0.3</v>
      </c>
    </row>
    <row r="12" spans="3:19" s="19" customFormat="1" ht="15" thickBot="1" x14ac:dyDescent="0.4">
      <c r="D12" s="191" t="s">
        <v>81</v>
      </c>
      <c r="E12" s="192">
        <f>E11*$E$34</f>
        <v>0.4</v>
      </c>
      <c r="F12" s="192">
        <f t="shared" ref="F12:G12" si="0">F11*$E$34</f>
        <v>0.3</v>
      </c>
      <c r="G12" s="193">
        <f t="shared" si="0"/>
        <v>0.3</v>
      </c>
      <c r="H12" s="18"/>
      <c r="M12" s="60" t="s">
        <v>450</v>
      </c>
      <c r="N12" s="61"/>
      <c r="O12" s="63" t="s">
        <v>472</v>
      </c>
    </row>
    <row r="13" spans="3:19" s="19" customFormat="1" ht="15" thickBot="1" x14ac:dyDescent="0.4">
      <c r="D13" s="20"/>
      <c r="E13" s="18"/>
      <c r="F13" s="18"/>
      <c r="G13" s="18"/>
      <c r="M13" s="54" t="s">
        <v>451</v>
      </c>
      <c r="N13" s="55">
        <f>(1/'Value -2 '!H11)</f>
        <v>4.9140800278059588E-2</v>
      </c>
      <c r="O13" s="55">
        <f>N13*(1+N9)</f>
        <v>5.2089248294743165E-2</v>
      </c>
    </row>
    <row r="14" spans="3:19" x14ac:dyDescent="0.35">
      <c r="C14" s="1" t="s">
        <v>417</v>
      </c>
      <c r="D14" s="15" t="s">
        <v>78</v>
      </c>
      <c r="E14" s="194" t="s">
        <v>63</v>
      </c>
      <c r="F14" s="195" t="s">
        <v>64</v>
      </c>
      <c r="G14" s="195" t="s">
        <v>79</v>
      </c>
      <c r="H14" s="11" t="s">
        <v>77</v>
      </c>
      <c r="M14" s="56" t="s">
        <v>452</v>
      </c>
      <c r="N14" s="57">
        <f>(1/'Value -2 '!G11)</f>
        <v>3.9127159865828105E-2</v>
      </c>
      <c r="O14" s="58"/>
    </row>
    <row r="15" spans="3:19" x14ac:dyDescent="0.35">
      <c r="D15" s="189" t="s">
        <v>82</v>
      </c>
      <c r="E15" s="66">
        <v>0.2</v>
      </c>
      <c r="F15" s="66">
        <v>0.2</v>
      </c>
      <c r="G15" s="66">
        <v>0.3</v>
      </c>
      <c r="H15" s="196">
        <v>0.3</v>
      </c>
      <c r="M15" s="56"/>
      <c r="N15" s="58"/>
      <c r="O15" s="58"/>
    </row>
    <row r="16" spans="3:19" ht="15" thickBot="1" x14ac:dyDescent="0.4">
      <c r="D16" s="191" t="s">
        <v>81</v>
      </c>
      <c r="E16" s="192">
        <f t="shared" ref="E16:F16" si="1">E15*$F$34</f>
        <v>0</v>
      </c>
      <c r="F16" s="192">
        <f t="shared" si="1"/>
        <v>0</v>
      </c>
      <c r="G16" s="192">
        <f>G15*$F$34</f>
        <v>0</v>
      </c>
      <c r="H16" s="193">
        <f>H15*$F$34</f>
        <v>0</v>
      </c>
      <c r="M16" s="56" t="s">
        <v>453</v>
      </c>
      <c r="N16" s="57">
        <f>'LIQIDITY 2'!L11/100</f>
        <v>5.5E-2</v>
      </c>
      <c r="O16" s="64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6" t="s">
        <v>454</v>
      </c>
      <c r="N17" s="57">
        <f>'LIQIDITY 2'!E10/100</f>
        <v>4.4574999999999997E-2</v>
      </c>
      <c r="O17" s="58"/>
    </row>
    <row r="18" spans="3:22" x14ac:dyDescent="0.35">
      <c r="C18" s="1" t="s">
        <v>418</v>
      </c>
      <c r="D18" s="62" t="s">
        <v>70</v>
      </c>
      <c r="E18" s="127" t="s">
        <v>73</v>
      </c>
      <c r="F18" s="5"/>
      <c r="M18" s="56"/>
      <c r="N18" s="58"/>
      <c r="O18" s="58"/>
    </row>
    <row r="19" spans="3:22" x14ac:dyDescent="0.35">
      <c r="D19" s="189" t="s">
        <v>82</v>
      </c>
      <c r="E19" s="196">
        <v>1</v>
      </c>
      <c r="F19" s="5"/>
      <c r="G19" s="5"/>
      <c r="M19" s="56"/>
      <c r="N19" s="58"/>
      <c r="O19" s="58"/>
    </row>
    <row r="20" spans="3:22" ht="15" thickBot="1" x14ac:dyDescent="0.4">
      <c r="D20" s="191" t="s">
        <v>81</v>
      </c>
      <c r="E20" s="197">
        <f>E19*$G$34</f>
        <v>0</v>
      </c>
      <c r="F20" s="5"/>
      <c r="G20" s="5"/>
      <c r="M20" s="56"/>
      <c r="N20" s="58"/>
      <c r="O20" s="58"/>
    </row>
    <row r="21" spans="3:22" ht="15" thickBot="1" x14ac:dyDescent="0.4">
      <c r="G21" s="5"/>
      <c r="M21" s="56" t="s">
        <v>455</v>
      </c>
      <c r="N21" s="57">
        <f>N13-N16</f>
        <v>-5.8591997219404127E-3</v>
      </c>
      <c r="O21" s="57">
        <f>O13-O16</f>
        <v>7.0892482947431668E-3</v>
      </c>
    </row>
    <row r="22" spans="3:22" ht="15" thickBot="1" x14ac:dyDescent="0.4">
      <c r="C22" s="1" t="s">
        <v>505</v>
      </c>
      <c r="D22" s="15" t="s">
        <v>58</v>
      </c>
      <c r="E22" s="16" t="s">
        <v>503</v>
      </c>
      <c r="F22" s="11" t="s">
        <v>59</v>
      </c>
      <c r="M22" s="12" t="s">
        <v>456</v>
      </c>
      <c r="N22" s="59">
        <f>N13-N17</f>
        <v>4.565800278059591E-3</v>
      </c>
      <c r="O22" s="57"/>
    </row>
    <row r="23" spans="3:22" x14ac:dyDescent="0.35">
      <c r="D23" s="189" t="s">
        <v>82</v>
      </c>
      <c r="E23" s="66">
        <v>0</v>
      </c>
      <c r="F23" s="196">
        <v>0</v>
      </c>
      <c r="G23" s="5"/>
      <c r="M23" s="9"/>
      <c r="N23" s="5"/>
      <c r="T23" s="9"/>
    </row>
    <row r="24" spans="3:22" ht="15" thickBot="1" x14ac:dyDescent="0.4">
      <c r="D24" s="191" t="s">
        <v>81</v>
      </c>
      <c r="E24" s="17">
        <f>E23*$H$34</f>
        <v>0</v>
      </c>
      <c r="F24" s="151">
        <f t="shared" ref="F24" si="2">F23*$H$34</f>
        <v>0</v>
      </c>
      <c r="G24" s="5"/>
      <c r="Q24" s="5"/>
      <c r="R24" s="53"/>
      <c r="T24" s="9"/>
      <c r="V24" s="9"/>
    </row>
    <row r="25" spans="3:22" ht="15" thickBot="1" x14ac:dyDescent="0.4"/>
    <row r="26" spans="3:22" x14ac:dyDescent="0.35">
      <c r="C26" s="114" t="s">
        <v>766</v>
      </c>
      <c r="D26" s="150" t="s">
        <v>767</v>
      </c>
      <c r="E26" s="10" t="s">
        <v>765</v>
      </c>
      <c r="F26" s="11" t="s">
        <v>768</v>
      </c>
    </row>
    <row r="27" spans="3:22" x14ac:dyDescent="0.35">
      <c r="D27" s="189" t="s">
        <v>82</v>
      </c>
      <c r="E27" s="66">
        <v>0.6</v>
      </c>
      <c r="F27" s="196">
        <v>0.4</v>
      </c>
    </row>
    <row r="28" spans="3:22" ht="15" thickBot="1" x14ac:dyDescent="0.4">
      <c r="D28" s="191" t="s">
        <v>81</v>
      </c>
      <c r="E28" s="17">
        <f>E27*$I$34</f>
        <v>0</v>
      </c>
      <c r="F28" s="151">
        <f>F27*$I$34</f>
        <v>0</v>
      </c>
    </row>
    <row r="29" spans="3:22" ht="15" thickBot="1" x14ac:dyDescent="0.4"/>
    <row r="30" spans="3:22" x14ac:dyDescent="0.35">
      <c r="C30" t="s">
        <v>859</v>
      </c>
      <c r="D30" s="15" t="s">
        <v>860</v>
      </c>
      <c r="E30" s="198">
        <v>0.2</v>
      </c>
    </row>
    <row r="31" spans="3:22" ht="15" thickBot="1" x14ac:dyDescent="0.4">
      <c r="D31" s="12"/>
      <c r="E31" s="151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504</v>
      </c>
      <c r="I33" s="119" t="s">
        <v>767</v>
      </c>
      <c r="J33" s="119" t="s">
        <v>860</v>
      </c>
    </row>
    <row r="34" spans="3:12" ht="15" thickBot="1" x14ac:dyDescent="0.4">
      <c r="D34" s="12"/>
      <c r="E34" s="69">
        <v>1</v>
      </c>
      <c r="F34" s="70">
        <v>0</v>
      </c>
      <c r="G34" s="70">
        <v>0</v>
      </c>
      <c r="H34" s="70">
        <v>0</v>
      </c>
      <c r="I34" s="71">
        <v>0</v>
      </c>
      <c r="J34" s="71">
        <v>0</v>
      </c>
    </row>
    <row r="38" spans="3:12" x14ac:dyDescent="0.35">
      <c r="C38" s="51" t="s">
        <v>419</v>
      </c>
      <c r="D38" s="51" t="s">
        <v>60</v>
      </c>
    </row>
    <row r="39" spans="3:12" x14ac:dyDescent="0.35">
      <c r="E39" s="1" t="s">
        <v>410</v>
      </c>
      <c r="F39" t="s">
        <v>411</v>
      </c>
      <c r="G39" s="1" t="s">
        <v>412</v>
      </c>
      <c r="H39" t="s">
        <v>413</v>
      </c>
      <c r="I39" s="1" t="s">
        <v>429</v>
      </c>
      <c r="J39" s="1" t="s">
        <v>524</v>
      </c>
      <c r="K39" s="1" t="s">
        <v>746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1" t="s">
        <v>398</v>
      </c>
      <c r="D42" s="51" t="s">
        <v>10</v>
      </c>
    </row>
    <row r="43" spans="3:12" x14ac:dyDescent="0.35">
      <c r="C43" t="s">
        <v>420</v>
      </c>
      <c r="D43" t="s">
        <v>414</v>
      </c>
      <c r="E43" s="5">
        <v>0.5</v>
      </c>
    </row>
    <row r="44" spans="3:12" x14ac:dyDescent="0.35">
      <c r="C44" t="s">
        <v>421</v>
      </c>
      <c r="D44" t="s">
        <v>460</v>
      </c>
      <c r="E44" s="5">
        <v>0.25</v>
      </c>
      <c r="F44" s="5"/>
    </row>
    <row r="45" spans="3:12" x14ac:dyDescent="0.35">
      <c r="C45" t="s">
        <v>461</v>
      </c>
      <c r="D45" t="s">
        <v>462</v>
      </c>
      <c r="E45" s="5">
        <v>0.25</v>
      </c>
    </row>
    <row r="47" spans="3:12" x14ac:dyDescent="0.35">
      <c r="D47" s="1"/>
    </row>
    <row r="48" spans="3:12" x14ac:dyDescent="0.35">
      <c r="C48" s="51" t="s">
        <v>422</v>
      </c>
      <c r="D48" s="51" t="s">
        <v>912</v>
      </c>
    </row>
    <row r="49" spans="3:8" x14ac:dyDescent="0.35">
      <c r="E49" t="s">
        <v>395</v>
      </c>
      <c r="F49" t="s">
        <v>396</v>
      </c>
    </row>
    <row r="50" spans="3:8" x14ac:dyDescent="0.35">
      <c r="D50" t="s">
        <v>65</v>
      </c>
      <c r="E50" s="73">
        <v>-0.05</v>
      </c>
      <c r="F50">
        <v>-10</v>
      </c>
    </row>
    <row r="52" spans="3:8" x14ac:dyDescent="0.35">
      <c r="E52" s="1" t="s">
        <v>913</v>
      </c>
      <c r="F52" t="s">
        <v>520</v>
      </c>
      <c r="G52" t="s">
        <v>405</v>
      </c>
    </row>
    <row r="53" spans="3:8" x14ac:dyDescent="0.35">
      <c r="D53" s="1" t="s">
        <v>521</v>
      </c>
      <c r="E53" s="5">
        <v>0.25</v>
      </c>
      <c r="F53" s="5">
        <v>0.25</v>
      </c>
      <c r="G53" s="5">
        <v>0.5</v>
      </c>
    </row>
    <row r="55" spans="3:8" x14ac:dyDescent="0.35">
      <c r="C55" s="51" t="s">
        <v>424</v>
      </c>
      <c r="D55" s="51" t="s">
        <v>493</v>
      </c>
      <c r="F55" s="1">
        <v>1</v>
      </c>
      <c r="G55" s="1">
        <v>3</v>
      </c>
      <c r="H55" s="1">
        <v>6</v>
      </c>
    </row>
    <row r="56" spans="3:8" x14ac:dyDescent="0.35">
      <c r="C56" s="51" t="s">
        <v>425</v>
      </c>
      <c r="D56" t="s">
        <v>478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425</v>
      </c>
      <c r="D57" t="s">
        <v>426</v>
      </c>
      <c r="E57" s="5">
        <v>0.3</v>
      </c>
    </row>
    <row r="58" spans="3:8" x14ac:dyDescent="0.35">
      <c r="C58" t="s">
        <v>427</v>
      </c>
      <c r="D58" t="s">
        <v>428</v>
      </c>
      <c r="E58" s="5">
        <v>0.2</v>
      </c>
    </row>
    <row r="60" spans="3:8" x14ac:dyDescent="0.35">
      <c r="C60" s="51" t="s">
        <v>500</v>
      </c>
      <c r="D60" s="51" t="s">
        <v>495</v>
      </c>
    </row>
    <row r="61" spans="3:8" x14ac:dyDescent="0.35">
      <c r="D61" t="s">
        <v>497</v>
      </c>
      <c r="F61" s="5">
        <v>0.25</v>
      </c>
      <c r="G61" t="s">
        <v>527</v>
      </c>
    </row>
    <row r="62" spans="3:8" x14ac:dyDescent="0.35">
      <c r="D62" t="s">
        <v>498</v>
      </c>
      <c r="F62" s="5">
        <v>0.25</v>
      </c>
    </row>
    <row r="63" spans="3:8" x14ac:dyDescent="0.35">
      <c r="D63" t="s">
        <v>499</v>
      </c>
      <c r="F63" s="5">
        <v>0.25</v>
      </c>
    </row>
    <row r="64" spans="3:8" x14ac:dyDescent="0.35">
      <c r="D64" t="s">
        <v>539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1" t="s">
        <v>494</v>
      </c>
      <c r="D69" s="51" t="s">
        <v>423</v>
      </c>
    </row>
    <row r="71" spans="3:9" x14ac:dyDescent="0.35">
      <c r="C71" s="114" t="s">
        <v>778</v>
      </c>
      <c r="D71" s="6">
        <v>0.3</v>
      </c>
    </row>
    <row r="72" spans="3:9" x14ac:dyDescent="0.35">
      <c r="C72" s="19" t="s">
        <v>545</v>
      </c>
      <c r="D72" s="18">
        <v>0.33329999999999999</v>
      </c>
    </row>
    <row r="73" spans="3:9" x14ac:dyDescent="0.35">
      <c r="C73" s="19" t="s">
        <v>547</v>
      </c>
      <c r="D73" s="18">
        <v>0.33329999999999999</v>
      </c>
    </row>
    <row r="74" spans="3:9" x14ac:dyDescent="0.35">
      <c r="C74" s="19" t="s">
        <v>548</v>
      </c>
      <c r="D74" s="18">
        <v>0.33329999999999999</v>
      </c>
    </row>
    <row r="76" spans="3:9" x14ac:dyDescent="0.35">
      <c r="C76" s="114" t="s">
        <v>546</v>
      </c>
      <c r="D76" s="5">
        <v>0.2</v>
      </c>
    </row>
    <row r="77" spans="3:9" x14ac:dyDescent="0.35">
      <c r="G77" s="1"/>
      <c r="H77" s="1"/>
    </row>
    <row r="78" spans="3:9" x14ac:dyDescent="0.35">
      <c r="C78" s="114" t="s">
        <v>543</v>
      </c>
      <c r="D78" s="5">
        <v>0.4</v>
      </c>
    </row>
    <row r="80" spans="3:9" x14ac:dyDescent="0.35">
      <c r="C80" s="114" t="s">
        <v>549</v>
      </c>
      <c r="D80" s="5">
        <v>0.1</v>
      </c>
    </row>
    <row r="82" spans="3:8" x14ac:dyDescent="0.35">
      <c r="C82" t="s">
        <v>815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B6:O39"/>
  <sheetViews>
    <sheetView topLeftCell="A19" zoomScale="55" zoomScaleNormal="55" workbookViewId="0">
      <selection activeCell="F48" sqref="F48"/>
    </sheetView>
  </sheetViews>
  <sheetFormatPr defaultRowHeight="14.5" x14ac:dyDescent="0.35"/>
  <cols>
    <col min="2" max="2" width="14.54296875" customWidth="1"/>
    <col min="3" max="3" width="20.54296875" customWidth="1"/>
    <col min="4" max="4" width="12.54296875" customWidth="1"/>
    <col min="5" max="5" width="14.54296875" customWidth="1"/>
    <col min="6" max="6" width="10.54296875" customWidth="1"/>
    <col min="7" max="7" width="12" customWidth="1"/>
    <col min="8" max="8" width="26.81640625" bestFit="1" customWidth="1"/>
    <col min="9" max="9" width="20.1796875" customWidth="1"/>
    <col min="12" max="12" width="13.81640625" customWidth="1"/>
    <col min="13" max="13" width="14.453125" customWidth="1"/>
    <col min="14" max="14" width="14.54296875" customWidth="1"/>
    <col min="15" max="15" width="14.453125" customWidth="1"/>
    <col min="16" max="16" width="12" customWidth="1"/>
    <col min="17" max="17" width="15.1796875" customWidth="1"/>
  </cols>
  <sheetData>
    <row r="6" spans="3:9" x14ac:dyDescent="0.35">
      <c r="C6" s="1" t="s">
        <v>886</v>
      </c>
    </row>
    <row r="7" spans="3:9" ht="15" thickBot="1" x14ac:dyDescent="0.4">
      <c r="D7" t="s">
        <v>887</v>
      </c>
      <c r="H7" s="1" t="s">
        <v>902</v>
      </c>
    </row>
    <row r="8" spans="3:9" ht="15" thickBot="1" x14ac:dyDescent="0.4">
      <c r="C8" s="62" t="s">
        <v>6</v>
      </c>
      <c r="D8" s="10">
        <f>'Asset class'!S3</f>
        <v>4</v>
      </c>
      <c r="E8" s="11">
        <f t="shared" ref="E8:E17" si="0">D8</f>
        <v>4</v>
      </c>
    </row>
    <row r="9" spans="3:9" x14ac:dyDescent="0.35">
      <c r="C9" s="56" t="s">
        <v>1</v>
      </c>
      <c r="D9">
        <f>'Asset class'!S4</f>
        <v>2</v>
      </c>
      <c r="E9" s="58">
        <f t="shared" si="0"/>
        <v>2</v>
      </c>
      <c r="H9" s="62" t="s">
        <v>903</v>
      </c>
      <c r="I9" s="171">
        <f>Timing!L22</f>
        <v>0.92307692307692313</v>
      </c>
    </row>
    <row r="10" spans="3:9" x14ac:dyDescent="0.35">
      <c r="C10" s="56" t="s">
        <v>888</v>
      </c>
      <c r="D10">
        <f>'Asset class'!S5</f>
        <v>3</v>
      </c>
      <c r="E10" s="58">
        <f t="shared" si="0"/>
        <v>3</v>
      </c>
      <c r="H10" s="56" t="s">
        <v>904</v>
      </c>
      <c r="I10" s="57">
        <f>Timing!M22</f>
        <v>0.92307692307692313</v>
      </c>
    </row>
    <row r="11" spans="3:9" ht="15" thickBot="1" x14ac:dyDescent="0.4">
      <c r="C11" s="56" t="s">
        <v>889</v>
      </c>
      <c r="D11">
        <f>'Asset class'!S6</f>
        <v>9</v>
      </c>
      <c r="E11" s="58">
        <f t="shared" si="0"/>
        <v>9</v>
      </c>
      <c r="H11" s="12" t="s">
        <v>905</v>
      </c>
      <c r="I11" s="59">
        <f>Timing!N22</f>
        <v>0.92307692307692313</v>
      </c>
    </row>
    <row r="12" spans="3:9" x14ac:dyDescent="0.35">
      <c r="C12" s="56" t="s">
        <v>51</v>
      </c>
      <c r="D12">
        <f>'Asset class'!S7</f>
        <v>5</v>
      </c>
      <c r="E12" s="58">
        <f t="shared" si="0"/>
        <v>5</v>
      </c>
    </row>
    <row r="13" spans="3:9" x14ac:dyDescent="0.35">
      <c r="C13" s="56" t="s">
        <v>890</v>
      </c>
      <c r="D13">
        <f>'Asset class'!S8</f>
        <v>6</v>
      </c>
      <c r="E13" s="58">
        <f t="shared" si="0"/>
        <v>6</v>
      </c>
    </row>
    <row r="14" spans="3:9" ht="15" thickBot="1" x14ac:dyDescent="0.4">
      <c r="C14" s="12" t="s">
        <v>457</v>
      </c>
      <c r="D14">
        <f>'Asset class'!S9</f>
        <v>8</v>
      </c>
      <c r="E14" s="14">
        <f t="shared" si="0"/>
        <v>8</v>
      </c>
    </row>
    <row r="15" spans="3:9" ht="15" thickBot="1" x14ac:dyDescent="0.4">
      <c r="C15" s="144" t="s">
        <v>891</v>
      </c>
      <c r="D15">
        <f>'Asset class'!S10</f>
        <v>10</v>
      </c>
      <c r="E15" s="14">
        <f t="shared" si="0"/>
        <v>10</v>
      </c>
    </row>
    <row r="16" spans="3:9" ht="15" thickBot="1" x14ac:dyDescent="0.4">
      <c r="C16" s="178" t="s">
        <v>536</v>
      </c>
      <c r="D16">
        <f>'Asset class'!S11</f>
        <v>1</v>
      </c>
      <c r="E16" s="14">
        <f t="shared" si="0"/>
        <v>1</v>
      </c>
    </row>
    <row r="17" spans="2:15" ht="15" thickBot="1" x14ac:dyDescent="0.4">
      <c r="C17" s="148" t="s">
        <v>46</v>
      </c>
      <c r="D17">
        <f>'Asset class'!S12</f>
        <v>7</v>
      </c>
      <c r="E17" s="14">
        <f t="shared" si="0"/>
        <v>7</v>
      </c>
    </row>
    <row r="20" spans="2:15" x14ac:dyDescent="0.35">
      <c r="C20" s="1" t="s">
        <v>892</v>
      </c>
    </row>
    <row r="22" spans="2:15" ht="15" thickBot="1" x14ac:dyDescent="0.4">
      <c r="C22" s="1" t="s">
        <v>893</v>
      </c>
      <c r="D22" s="1"/>
      <c r="E22" s="1" t="s">
        <v>894</v>
      </c>
    </row>
    <row r="23" spans="2:15" x14ac:dyDescent="0.35">
      <c r="B23" s="62" t="s">
        <v>1</v>
      </c>
      <c r="C23" s="170">
        <f>'Momnetum ranking'!H22</f>
        <v>0.50595238095238093</v>
      </c>
      <c r="D23" s="170"/>
      <c r="E23" s="171">
        <f>'Momnetum ranking'!I22</f>
        <v>0.37698412698412698</v>
      </c>
    </row>
    <row r="24" spans="2:15" x14ac:dyDescent="0.35">
      <c r="B24" s="56" t="s">
        <v>51</v>
      </c>
      <c r="C24" s="9">
        <f>'Momnetum ranking'!H10</f>
        <v>0.41176470588235292</v>
      </c>
      <c r="D24" s="9"/>
      <c r="E24" s="57">
        <f>'Momnetum ranking'!I10</f>
        <v>0.39215686274509803</v>
      </c>
    </row>
    <row r="25" spans="2:15" x14ac:dyDescent="0.35">
      <c r="B25" s="56" t="s">
        <v>895</v>
      </c>
      <c r="C25" s="9">
        <f>'Momnetum ranking'!H23</f>
        <v>0.32075471698113206</v>
      </c>
      <c r="D25" s="9"/>
      <c r="E25" s="57">
        <f>'Momnetum ranking'!I23</f>
        <v>0.47169811320754718</v>
      </c>
    </row>
    <row r="26" spans="2:15" x14ac:dyDescent="0.35">
      <c r="B26" s="56" t="s">
        <v>46</v>
      </c>
      <c r="C26" s="9">
        <f>'Momnetum ranking'!H21</f>
        <v>0.44954128440366975</v>
      </c>
      <c r="D26" s="9"/>
      <c r="E26" s="57">
        <f>'Momnetum ranking'!I21</f>
        <v>0.37614678899082571</v>
      </c>
    </row>
    <row r="27" spans="2:15" ht="15" thickBot="1" x14ac:dyDescent="0.4">
      <c r="B27" s="12" t="s">
        <v>536</v>
      </c>
      <c r="C27" s="172">
        <f>'Momnetum ranking'!H18</f>
        <v>0.33203125</v>
      </c>
      <c r="D27" s="172"/>
      <c r="E27" s="59">
        <f>'Momnetum ranking'!I18</f>
        <v>0.42734375000000002</v>
      </c>
    </row>
    <row r="28" spans="2:15" x14ac:dyDescent="0.35">
      <c r="B28" s="62" t="s">
        <v>6</v>
      </c>
      <c r="C28" s="170">
        <f>'Momnetum ranking'!H19</f>
        <v>838</v>
      </c>
      <c r="D28" s="170"/>
      <c r="E28" s="171">
        <f>'Momnetum ranking'!I19</f>
        <v>1334</v>
      </c>
    </row>
    <row r="29" spans="2:15" ht="15" thickBot="1" x14ac:dyDescent="0.4">
      <c r="B29" s="12"/>
      <c r="C29" s="13"/>
      <c r="D29" s="13"/>
      <c r="E29" s="14"/>
    </row>
    <row r="31" spans="2:15" ht="15" thickBot="1" x14ac:dyDescent="0.4"/>
    <row r="32" spans="2:15" x14ac:dyDescent="0.35">
      <c r="C32" s="173" t="s">
        <v>896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</row>
    <row r="33" spans="3:15" ht="29" x14ac:dyDescent="0.35">
      <c r="C33" s="56"/>
      <c r="E33" t="s">
        <v>77</v>
      </c>
      <c r="F33" t="s">
        <v>70</v>
      </c>
      <c r="G33" s="72" t="s">
        <v>899</v>
      </c>
      <c r="H33" t="s">
        <v>4</v>
      </c>
      <c r="K33" t="s">
        <v>77</v>
      </c>
      <c r="L33" t="s">
        <v>70</v>
      </c>
      <c r="M33" s="72" t="s">
        <v>897</v>
      </c>
      <c r="N33" t="s">
        <v>4</v>
      </c>
      <c r="O33" s="174" t="s">
        <v>394</v>
      </c>
    </row>
    <row r="34" spans="3:15" x14ac:dyDescent="0.35">
      <c r="C34" s="56"/>
      <c r="O34" s="58"/>
    </row>
    <row r="35" spans="3:15" x14ac:dyDescent="0.35">
      <c r="C35" s="56" t="s">
        <v>227</v>
      </c>
      <c r="E35" s="9">
        <f>'Momnetum ranking'!J18</f>
        <v>-9.5312500000000022E-2</v>
      </c>
      <c r="F35" s="5">
        <f>'Momnetum ranking'!K18</f>
        <v>0.69236883942766303</v>
      </c>
      <c r="G35" s="9">
        <f>'Momnetum ranking'!Q18</f>
        <v>1</v>
      </c>
      <c r="H35" s="3">
        <f>'Momnetum ranking'!O18</f>
        <v>8.0675360000000005</v>
      </c>
      <c r="K35">
        <f>_xlfn.RANK.EQ(E35,$E$35:$E$39)</f>
        <v>4</v>
      </c>
      <c r="L35">
        <f>_xlfn.RANK.EQ(F35,$F$35:$F$39)</f>
        <v>4</v>
      </c>
      <c r="M35">
        <f>_xlfn.RANK.EQ(G35,$G$35:$G$39)</f>
        <v>1</v>
      </c>
      <c r="N35">
        <f>_xlfn.RANK.EQ(H35,$H$35:$H$39)</f>
        <v>1</v>
      </c>
      <c r="O35" s="58">
        <f>MEDIAN(K35:N35)</f>
        <v>2.5</v>
      </c>
    </row>
    <row r="36" spans="3:15" x14ac:dyDescent="0.35">
      <c r="C36" s="56" t="s">
        <v>749</v>
      </c>
      <c r="E36" s="9">
        <f>'Momnetum ranking'!J19</f>
        <v>-496</v>
      </c>
      <c r="F36" s="5">
        <f>'Momnetum ranking'!K19</f>
        <v>0.41537800687285198</v>
      </c>
      <c r="G36" s="9">
        <f>'Momnetum ranking'!Q19</f>
        <v>0.9935853</v>
      </c>
      <c r="H36" s="3">
        <f>'Momnetum ranking'!O19</f>
        <v>6.8425655000000001</v>
      </c>
      <c r="K36">
        <f t="shared" ref="K36:K39" si="1">_xlfn.RANK.EQ(E36,$E$35:$E$39)</f>
        <v>5</v>
      </c>
      <c r="L36">
        <f t="shared" ref="L36:L39" si="2">_xlfn.RANK.EQ(F36,$F$35:$F$39)</f>
        <v>5</v>
      </c>
      <c r="M36">
        <f t="shared" ref="M36:M39" si="3">_xlfn.RANK.EQ(G36,$G$35:$G$39)</f>
        <v>2</v>
      </c>
      <c r="N36">
        <f t="shared" ref="N36:N39" si="4">_xlfn.RANK.EQ(H36,$H$35:$H$39)</f>
        <v>2</v>
      </c>
      <c r="O36" s="58">
        <f t="shared" ref="O36:O39" si="5">MEDIAN(K36:N36)</f>
        <v>3.5</v>
      </c>
    </row>
    <row r="37" spans="3:15" x14ac:dyDescent="0.35">
      <c r="C37" s="56" t="s">
        <v>781</v>
      </c>
      <c r="E37" s="9">
        <f>'Momnetum ranking'!J20</f>
        <v>8.2993197278911579E-2</v>
      </c>
      <c r="F37" s="5">
        <f>'Momnetum ranking'!K20</f>
        <v>0.71252566735112888</v>
      </c>
      <c r="G37" s="9">
        <f>'Momnetum ranking'!Q20</f>
        <v>0.99276805000000001</v>
      </c>
      <c r="H37" s="3">
        <f>'Momnetum ranking'!O20</f>
        <v>4.5250177000000003</v>
      </c>
      <c r="K37">
        <f t="shared" si="1"/>
        <v>2</v>
      </c>
      <c r="L37">
        <f t="shared" si="2"/>
        <v>2</v>
      </c>
      <c r="M37">
        <f t="shared" si="3"/>
        <v>3</v>
      </c>
      <c r="N37">
        <f t="shared" si="4"/>
        <v>3</v>
      </c>
      <c r="O37" s="58">
        <f t="shared" si="5"/>
        <v>2.5</v>
      </c>
    </row>
    <row r="38" spans="3:15" x14ac:dyDescent="0.35">
      <c r="C38" s="56" t="s">
        <v>816</v>
      </c>
      <c r="E38" s="9">
        <f>'Momnetum ranking'!J21</f>
        <v>7.3394495412844041E-2</v>
      </c>
      <c r="F38" s="5">
        <f>'Momnetum ranking'!K21</f>
        <v>0.71100917431192701</v>
      </c>
      <c r="G38" s="9">
        <f>'Momnetum ranking'!Q21</f>
        <v>0.94831049999999995</v>
      </c>
      <c r="H38" s="3">
        <f>'Momnetum ranking'!O21</f>
        <v>2.5664090000000002</v>
      </c>
      <c r="K38">
        <f t="shared" si="1"/>
        <v>3</v>
      </c>
      <c r="L38">
        <f t="shared" si="2"/>
        <v>3</v>
      </c>
      <c r="M38">
        <f t="shared" si="3"/>
        <v>5</v>
      </c>
      <c r="N38">
        <f t="shared" si="4"/>
        <v>5</v>
      </c>
      <c r="O38" s="58">
        <f t="shared" si="5"/>
        <v>4</v>
      </c>
    </row>
    <row r="39" spans="3:15" ht="15" thickBot="1" x14ac:dyDescent="0.4">
      <c r="C39" s="12" t="s">
        <v>119</v>
      </c>
      <c r="D39" s="13"/>
      <c r="E39" s="172">
        <f>'Momnetum ranking'!J22</f>
        <v>0.12896825396825395</v>
      </c>
      <c r="F39" s="17">
        <f>'Momnetum ranking'!K22</f>
        <v>0.74199999999999999</v>
      </c>
      <c r="G39" s="172">
        <f>'Momnetum ranking'!Q22</f>
        <v>0.99153656000000001</v>
      </c>
      <c r="H39" s="175">
        <f>'Momnetum ranking'!O22</f>
        <v>4.1095853</v>
      </c>
      <c r="I39" s="13"/>
      <c r="J39" s="13"/>
      <c r="K39" s="13">
        <f t="shared" si="1"/>
        <v>1</v>
      </c>
      <c r="L39" s="13">
        <f t="shared" si="2"/>
        <v>1</v>
      </c>
      <c r="M39" s="13">
        <f t="shared" si="3"/>
        <v>4</v>
      </c>
      <c r="N39" s="13">
        <f t="shared" si="4"/>
        <v>4</v>
      </c>
      <c r="O39" s="14">
        <f t="shared" si="5"/>
        <v>2.5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E8:E17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9"/>
  <sheetViews>
    <sheetView zoomScale="70" zoomScaleNormal="70" workbookViewId="0">
      <selection activeCell="A9" sqref="A9"/>
    </sheetView>
  </sheetViews>
  <sheetFormatPr defaultRowHeight="14.5" x14ac:dyDescent="0.35"/>
  <cols>
    <col min="1" max="1" width="12" customWidth="1"/>
    <col min="2" max="2" width="25.453125" customWidth="1"/>
    <col min="3" max="3" width="20.81640625" customWidth="1"/>
    <col min="4" max="4" width="0.453125" customWidth="1"/>
    <col min="5" max="5" width="18" customWidth="1"/>
    <col min="6" max="6" width="13.453125" customWidth="1"/>
    <col min="7" max="7" width="15.453125" customWidth="1"/>
    <col min="8" max="8" width="16.453125" customWidth="1"/>
    <col min="9" max="9" width="7.453125" customWidth="1"/>
    <col min="10" max="10" width="6.54296875" customWidth="1"/>
    <col min="11" max="11" width="18.81640625" customWidth="1"/>
    <col min="12" max="12" width="13.453125" customWidth="1"/>
    <col min="13" max="13" width="13" customWidth="1"/>
    <col min="14" max="14" width="13.453125" customWidth="1"/>
    <col min="15" max="15" width="5" customWidth="1"/>
    <col min="16" max="16" width="9.54296875" customWidth="1"/>
  </cols>
  <sheetData>
    <row r="1" spans="1:19" ht="15" thickBot="1" x14ac:dyDescent="0.4">
      <c r="C1" t="s">
        <v>0</v>
      </c>
      <c r="E1" t="s">
        <v>898</v>
      </c>
      <c r="F1" t="s">
        <v>4</v>
      </c>
      <c r="G1" t="s">
        <v>5</v>
      </c>
      <c r="H1" t="s">
        <v>9</v>
      </c>
      <c r="K1" t="s">
        <v>899</v>
      </c>
      <c r="L1" t="s">
        <v>4</v>
      </c>
      <c r="M1" t="s">
        <v>71</v>
      </c>
      <c r="N1" t="s">
        <v>72</v>
      </c>
      <c r="P1" s="1" t="s">
        <v>83</v>
      </c>
      <c r="Q1" t="s">
        <v>84</v>
      </c>
      <c r="S1" t="s">
        <v>900</v>
      </c>
    </row>
    <row r="2" spans="1:19" s="22" customFormat="1" ht="15" thickBot="1" x14ac:dyDescent="0.4">
      <c r="A2" s="21"/>
      <c r="K2" s="176">
        <v>0.33</v>
      </c>
      <c r="L2" s="176">
        <v>0.33</v>
      </c>
      <c r="M2" s="176">
        <v>0.33</v>
      </c>
    </row>
    <row r="3" spans="1:19" x14ac:dyDescent="0.35">
      <c r="A3" t="s">
        <v>6</v>
      </c>
      <c r="C3" t="str">
        <f>A3</f>
        <v>VWO</v>
      </c>
      <c r="E3" s="3" cm="1">
        <f t="array" ref="E3">_xll.FDS(C3,"FG_TOTAL_RETURNC(0,-1AM)")</f>
        <v>1.4502883</v>
      </c>
      <c r="F3" s="3" cm="1">
        <f t="array" ref="F3">_xll.FDS(C3,"FG_TOTAL_RETURNC(0,-3AM)")</f>
        <v>6.8425655000000001</v>
      </c>
      <c r="G3" s="3" cm="1">
        <f t="array" ref="G3">_xll.FDS(C3,"FG_TOTAL_RETURNC(0,-6AM)")</f>
        <v>13.3830185</v>
      </c>
      <c r="H3" s="9" cm="1">
        <f t="array" ref="H3">_xll.FDS(C3,"P_PRICE(0)/P_PRICE_HIGH_PR(0,,,USD,,,""PRICE"",""INTRA"",""52W"")")</f>
        <v>0.9935853</v>
      </c>
      <c r="K3" s="4">
        <f>_xlfn.RANK.EQ(H3,H$3:H$12)</f>
        <v>2</v>
      </c>
      <c r="L3" s="4">
        <f>_xlfn.RANK.EQ(F3,F$3:F$12)</f>
        <v>4</v>
      </c>
      <c r="M3" s="4">
        <f>_xlfn.RANK.EQ(G3,G$3:G$12)</f>
        <v>7</v>
      </c>
      <c r="N3" s="4"/>
      <c r="P3" s="3">
        <f t="shared" ref="P3:P12" si="0">SUMPRODUCT($K$2:$M$2,K3:M3)</f>
        <v>4.29</v>
      </c>
      <c r="Q3">
        <f t="shared" ref="Q3:Q12" si="1">COUNTIF(K3:N3,"&gt;70")</f>
        <v>0</v>
      </c>
      <c r="S3" s="3">
        <f>11-_xlfn.RANK.EQ(P3,$P$3:$P$12)</f>
        <v>4</v>
      </c>
    </row>
    <row r="4" spans="1:19" x14ac:dyDescent="0.35">
      <c r="A4" t="s">
        <v>1</v>
      </c>
      <c r="C4" t="str">
        <f t="shared" ref="C4:C12" si="2">A4</f>
        <v>SPY</v>
      </c>
      <c r="E4" s="3" cm="1">
        <f t="array" ref="E4">_xll.FDS(C4,"FG_TOTAL_RETURNC(0,-1AM)")</f>
        <v>0.16367435</v>
      </c>
      <c r="F4" s="3" cm="1">
        <f t="array" ref="F4">_xll.FDS(C4,"FG_TOTAL_RETURNC(0,-3AM)")</f>
        <v>4.1095853</v>
      </c>
      <c r="G4" s="3" cm="1">
        <f t="array" ref="G4">_xll.FDS(C4,"FG_TOTAL_RETURNC(0,-6AM)")</f>
        <v>20.762587</v>
      </c>
      <c r="H4" s="9" cm="1">
        <f t="array" ref="H4">_xll.FDS(C4,"P_PRICE(0)/P_PRICE_HIGH_PR(0,,,USD,,,""PRICE"",""INTRA"",""52W"")")</f>
        <v>0.99153656000000001</v>
      </c>
      <c r="I4" s="177"/>
      <c r="K4" s="4">
        <f t="shared" ref="K4:K12" si="3">_xlfn.RANK.EQ(H4,H$3:H$12)</f>
        <v>3</v>
      </c>
      <c r="L4" s="4">
        <f t="shared" ref="L4:M12" si="4">_xlfn.RANK.EQ(F4,F$3:F$12)</f>
        <v>6</v>
      </c>
      <c r="M4" s="4">
        <f t="shared" si="4"/>
        <v>1</v>
      </c>
      <c r="N4" s="4"/>
      <c r="P4" s="3">
        <f t="shared" si="0"/>
        <v>3.3</v>
      </c>
      <c r="Q4">
        <f t="shared" si="1"/>
        <v>0</v>
      </c>
      <c r="S4" s="3">
        <f t="shared" ref="S4:S12" si="5">11-_xlfn.RANK.EQ(P4,$P$3:$P$12)</f>
        <v>2</v>
      </c>
    </row>
    <row r="5" spans="1:19" x14ac:dyDescent="0.35">
      <c r="A5" t="s">
        <v>888</v>
      </c>
      <c r="C5" t="str">
        <f t="shared" si="2"/>
        <v>GLD</v>
      </c>
      <c r="E5" s="3" cm="1">
        <f t="array" ref="E5">_xll.FDS(C5,"FG_TOTAL_RETURNC(0,-1AM)")</f>
        <v>-0.33077598000000002</v>
      </c>
      <c r="F5" s="3" cm="1">
        <f t="array" ref="F5">_xll.FDS(C5,"FG_TOTAL_RETURNC(0,-3AM)")</f>
        <v>15.6449795</v>
      </c>
      <c r="G5" s="3" cm="1">
        <f t="array" ref="G5">_xll.FDS(C5,"FG_TOTAL_RETURNC(0,-6AM)")</f>
        <v>19.538260000000001</v>
      </c>
      <c r="H5" s="9" cm="1">
        <f t="array" ref="H5">_xll.FDS(C5,"P_PRICE(0)/P_PRICE_HIGH_PR(0,,,USD,,,""PRICE"",""INTRA"",""52W"")")</f>
        <v>0.96383666999999995</v>
      </c>
      <c r="I5" s="177"/>
      <c r="K5" s="4">
        <f t="shared" si="3"/>
        <v>5</v>
      </c>
      <c r="L5" s="4">
        <f t="shared" si="4"/>
        <v>1</v>
      </c>
      <c r="M5" s="4">
        <f t="shared" si="4"/>
        <v>4</v>
      </c>
      <c r="N5" s="4"/>
      <c r="P5" s="3">
        <f t="shared" si="0"/>
        <v>3.3000000000000003</v>
      </c>
      <c r="Q5">
        <f t="shared" si="1"/>
        <v>0</v>
      </c>
      <c r="S5" s="3">
        <f t="shared" si="5"/>
        <v>3</v>
      </c>
    </row>
    <row r="6" spans="1:19" x14ac:dyDescent="0.35">
      <c r="A6" t="s">
        <v>889</v>
      </c>
      <c r="C6" t="str">
        <f t="shared" si="2"/>
        <v>UUP</v>
      </c>
      <c r="E6" s="3" cm="1">
        <f t="array" ref="E6">_xll.FDS(C6,"FG_TOTAL_RETURNC(0,-1AM)")</f>
        <v>1.4492750000000001</v>
      </c>
      <c r="F6" s="3" cm="1">
        <f t="array" ref="F6">_xll.FDS(C6,"FG_TOTAL_RETURNC(0,-3AM)")</f>
        <v>2.5366187</v>
      </c>
      <c r="G6" s="3" cm="1">
        <f t="array" ref="G6">_xll.FDS(C6,"FG_TOTAL_RETURNC(0,-6AM)")</f>
        <v>2.2517084999999999</v>
      </c>
      <c r="H6" s="9" cm="1">
        <f t="array" ref="H6">_xll.FDS(C6,"P_PRICE(0)/P_PRICE_HIGH_PR(0,,,USD,,,""PRICE"",""INTRA"",""52W"")")</f>
        <v>0.9514338</v>
      </c>
      <c r="I6" s="177"/>
      <c r="K6" s="4">
        <f t="shared" si="3"/>
        <v>6</v>
      </c>
      <c r="L6" s="4">
        <f t="shared" si="4"/>
        <v>8</v>
      </c>
      <c r="M6" s="4">
        <f t="shared" si="4"/>
        <v>10</v>
      </c>
      <c r="N6" s="4"/>
      <c r="P6" s="3">
        <f t="shared" si="0"/>
        <v>7.92</v>
      </c>
      <c r="Q6">
        <f t="shared" si="1"/>
        <v>0</v>
      </c>
      <c r="S6" s="3">
        <f t="shared" si="5"/>
        <v>9</v>
      </c>
    </row>
    <row r="7" spans="1:19" x14ac:dyDescent="0.35">
      <c r="A7" t="s">
        <v>51</v>
      </c>
      <c r="C7" t="str">
        <f t="shared" si="2"/>
        <v>QQQ</v>
      </c>
      <c r="E7" s="3" cm="1">
        <f t="array" ref="E7">_xll.FDS(C7,"FG_TOTAL_RETURNC(0,-1AM)")</f>
        <v>-0.27362108000000002</v>
      </c>
      <c r="F7" s="3" cm="1">
        <f t="array" ref="F7">_xll.FDS(C7,"FG_TOTAL_RETURNC(0,-3AM)")</f>
        <v>1.0406375000000001</v>
      </c>
      <c r="G7" s="3" cm="1">
        <f t="array" ref="G7">_xll.FDS(C7,"FG_TOTAL_RETURNC(0,-6AM)")</f>
        <v>19.627893</v>
      </c>
      <c r="H7" s="9" cm="1">
        <f t="array" ref="H7">_xll.FDS(C7,"P_PRICE(0)/P_PRICE_HIGH_PR(0,,,USD,,,""PRICE"",""INTRA"",""52W"")")</f>
        <v>0.98148394000000005</v>
      </c>
      <c r="I7" s="1"/>
      <c r="K7" s="4">
        <f t="shared" si="3"/>
        <v>4</v>
      </c>
      <c r="L7" s="4">
        <f t="shared" si="4"/>
        <v>9</v>
      </c>
      <c r="M7" s="4">
        <f t="shared" si="4"/>
        <v>3</v>
      </c>
      <c r="N7" s="4"/>
      <c r="P7" s="3">
        <f t="shared" si="0"/>
        <v>5.28</v>
      </c>
      <c r="Q7">
        <f t="shared" si="1"/>
        <v>0</v>
      </c>
      <c r="S7" s="3">
        <f t="shared" si="5"/>
        <v>5</v>
      </c>
    </row>
    <row r="8" spans="1:19" x14ac:dyDescent="0.35">
      <c r="A8" t="s">
        <v>890</v>
      </c>
      <c r="C8" t="str">
        <f t="shared" si="2"/>
        <v>DBA</v>
      </c>
      <c r="E8" s="3" cm="1">
        <f t="array" ref="E8">_xll.FDS(C8,"FG_TOTAL_RETURNC(0,-1AM)")</f>
        <v>-2.5559126999999999</v>
      </c>
      <c r="F8" s="3" cm="1">
        <f t="array" ref="F8">_xll.FDS(C8,"FG_TOTAL_RETURNC(0,-3AM)")</f>
        <v>10.207772</v>
      </c>
      <c r="G8" s="3" cm="1">
        <f t="array" ref="G8">_xll.FDS(C8,"FG_TOTAL_RETURNC(0,-6AM)")</f>
        <v>15.295482</v>
      </c>
      <c r="H8" s="9" cm="1">
        <f t="array" ref="H8">_xll.FDS(C8,"P_PRICE(0)/P_PRICE_HIGH_PR(0,,,USD,,,""PRICE"",""INTRA"",""52W"")")</f>
        <v>0.91712079999999996</v>
      </c>
      <c r="I8" s="1"/>
      <c r="K8" s="4">
        <f t="shared" si="3"/>
        <v>9</v>
      </c>
      <c r="L8" s="4">
        <f t="shared" si="4"/>
        <v>2</v>
      </c>
      <c r="M8" s="4">
        <f t="shared" si="4"/>
        <v>6</v>
      </c>
      <c r="N8" s="4"/>
      <c r="P8" s="3">
        <f t="shared" si="0"/>
        <v>5.61</v>
      </c>
      <c r="Q8">
        <f t="shared" si="1"/>
        <v>0</v>
      </c>
      <c r="S8" s="3">
        <f t="shared" si="5"/>
        <v>6</v>
      </c>
    </row>
    <row r="9" spans="1:19" x14ac:dyDescent="0.35">
      <c r="A9" t="s">
        <v>901</v>
      </c>
      <c r="C9" t="str">
        <f t="shared" si="2"/>
        <v>USO</v>
      </c>
      <c r="E9" s="3" cm="1">
        <f t="array" ref="E9">_xll.FDS(C9,"FG_TOTAL_RETURNC(0,-1AM)")</f>
        <v>-5.7054876999999999</v>
      </c>
      <c r="F9" s="3" cm="1">
        <f t="array" ref="F9">_xll.FDS(C9,"FG_TOTAL_RETURNC(0,-3AM)")</f>
        <v>6.7671299999999999</v>
      </c>
      <c r="G9" s="3" cm="1">
        <f t="array" ref="G9">_xll.FDS(C9,"FG_TOTAL_RETURNC(0,-6AM)")</f>
        <v>8.9252590000000005</v>
      </c>
      <c r="H9" s="9" cm="1">
        <f t="array" ref="H9">_xll.FDS(C9,"P_PRICE(0)/P_PRICE_HIGH_PR(0,,,USD,,,""PRICE"",""INTRA"",""52W"")")</f>
        <v>0.91739590000000004</v>
      </c>
      <c r="I9" s="1"/>
      <c r="K9" s="4">
        <f t="shared" si="3"/>
        <v>8</v>
      </c>
      <c r="L9" s="4">
        <f t="shared" si="4"/>
        <v>5</v>
      </c>
      <c r="M9" s="4">
        <f t="shared" si="4"/>
        <v>8</v>
      </c>
      <c r="N9" s="4"/>
      <c r="P9" s="3">
        <f t="shared" si="0"/>
        <v>6.93</v>
      </c>
      <c r="Q9">
        <f t="shared" si="1"/>
        <v>0</v>
      </c>
      <c r="S9" s="3">
        <f t="shared" si="5"/>
        <v>8</v>
      </c>
    </row>
    <row r="10" spans="1:19" x14ac:dyDescent="0.35">
      <c r="A10" t="s">
        <v>891</v>
      </c>
      <c r="C10" t="str">
        <f t="shared" si="2"/>
        <v>TLT</v>
      </c>
      <c r="E10" s="3" cm="1">
        <f t="array" ref="E10">_xll.FDS(C10,"FG_TOTAL_RETURNC(0,-1AM)")</f>
        <v>-1.3933359999999999</v>
      </c>
      <c r="F10" s="3" cm="1">
        <f t="array" ref="F10">_xll.FDS(C10,"FG_TOTAL_RETURNC(0,-3AM)")</f>
        <v>-2.4644374999999998</v>
      </c>
      <c r="G10" s="3" cm="1">
        <f t="array" ref="G10">_xll.FDS(C10,"FG_TOTAL_RETURNC(0,-6AM)")</f>
        <v>5.6002140000000002</v>
      </c>
      <c r="H10" s="9" cm="1">
        <f t="array" ref="H10">_xll.FDS(C10,"P_PRICE(0)/P_PRICE_HIGH_PR(0,,,USD,,,""PRICE"",""INTRA"",""52W"")")</f>
        <v>0.85888929999999997</v>
      </c>
      <c r="K10" s="4">
        <f t="shared" si="3"/>
        <v>10</v>
      </c>
      <c r="L10" s="4">
        <f t="shared" si="4"/>
        <v>10</v>
      </c>
      <c r="M10" s="4">
        <f t="shared" si="4"/>
        <v>9</v>
      </c>
      <c r="N10" s="4"/>
      <c r="P10" s="3">
        <f t="shared" si="0"/>
        <v>9.57</v>
      </c>
      <c r="Q10">
        <f t="shared" si="1"/>
        <v>0</v>
      </c>
      <c r="S10" s="3">
        <f t="shared" si="5"/>
        <v>10</v>
      </c>
    </row>
    <row r="11" spans="1:19" x14ac:dyDescent="0.35">
      <c r="A11" t="s">
        <v>536</v>
      </c>
      <c r="C11" t="str">
        <f t="shared" si="2"/>
        <v>VGK</v>
      </c>
      <c r="E11" s="3" cm="1">
        <f t="array" ref="E11">_xll.FDS(C11,"FG_TOTAL_RETURNC(0,-1AM)")</f>
        <v>2.4791002</v>
      </c>
      <c r="F11" s="3" cm="1">
        <f t="array" ref="F11">_xll.FDS(C11,"FG_TOTAL_RETURNC(0,-3AM)")</f>
        <v>8.0675360000000005</v>
      </c>
      <c r="G11" s="3" cm="1">
        <f t="array" ref="G11">_xll.FDS(C11,"FG_TOTAL_RETURNC(0,-6AM)")</f>
        <v>19.703913</v>
      </c>
      <c r="H11" s="9" cm="1">
        <f t="array" ref="H11">_xll.FDS(C11,"P_PRICE(0)/P_PRICE_HIGH_PR(0,,,USD,,,""PRICE"",""INTRA"",""52W"")")</f>
        <v>1</v>
      </c>
      <c r="K11" s="4">
        <f t="shared" si="3"/>
        <v>1</v>
      </c>
      <c r="L11" s="4">
        <f t="shared" si="4"/>
        <v>3</v>
      </c>
      <c r="M11" s="4">
        <f t="shared" si="4"/>
        <v>2</v>
      </c>
      <c r="P11" s="3">
        <f t="shared" si="0"/>
        <v>1.98</v>
      </c>
      <c r="Q11">
        <f t="shared" si="1"/>
        <v>0</v>
      </c>
      <c r="S11" s="3">
        <f t="shared" si="5"/>
        <v>1</v>
      </c>
    </row>
    <row r="12" spans="1:19" x14ac:dyDescent="0.35">
      <c r="A12" t="s">
        <v>46</v>
      </c>
      <c r="C12" t="str">
        <f t="shared" si="2"/>
        <v>EWJ</v>
      </c>
      <c r="E12" s="3" cm="1">
        <f t="array" ref="E12">_xll.FDS(C12,"FG_TOTAL_RETURNC(0,-1AM)")</f>
        <v>-3.0363321000000001</v>
      </c>
      <c r="F12" s="3" cm="1">
        <f t="array" ref="F12">_xll.FDS(C12,"FG_TOTAL_RETURNC(0,-3AM)")</f>
        <v>2.5664090000000002</v>
      </c>
      <c r="G12" s="3" cm="1">
        <f t="array" ref="G12">_xll.FDS(C12,"FG_TOTAL_RETURNC(0,-6AM)")</f>
        <v>15.717566</v>
      </c>
      <c r="H12" s="9" cm="1">
        <f t="array" ref="H12">_xll.FDS(C12,"P_PRICE(0)/P_PRICE_HIGH_PR(0,,,USD,,,""PRICE"",""INTRA"",""52W"")")</f>
        <v>0.94831049999999995</v>
      </c>
      <c r="K12" s="4">
        <f t="shared" si="3"/>
        <v>7</v>
      </c>
      <c r="L12" s="4">
        <f t="shared" si="4"/>
        <v>7</v>
      </c>
      <c r="M12" s="4">
        <f t="shared" si="4"/>
        <v>5</v>
      </c>
      <c r="P12" s="3">
        <f t="shared" si="0"/>
        <v>6.2700000000000005</v>
      </c>
      <c r="Q12">
        <f t="shared" si="1"/>
        <v>0</v>
      </c>
      <c r="S12" s="3">
        <f t="shared" si="5"/>
        <v>7</v>
      </c>
    </row>
    <row r="13" spans="1:19" x14ac:dyDescent="0.35">
      <c r="F13" s="3"/>
      <c r="G13" s="3"/>
      <c r="H13" s="9"/>
      <c r="K13" s="4"/>
      <c r="L13" s="4"/>
      <c r="M13" s="4"/>
      <c r="P13" s="4"/>
    </row>
    <row r="21" spans="3:3" ht="15" customHeight="1" x14ac:dyDescent="0.35"/>
    <row r="22" spans="3:3" ht="15" customHeight="1" x14ac:dyDescent="0.35"/>
    <row r="23" spans="3:3" ht="15" customHeight="1" x14ac:dyDescent="0.35"/>
    <row r="24" spans="3:3" ht="15" customHeight="1" x14ac:dyDescent="0.35">
      <c r="C24" s="1"/>
    </row>
    <row r="25" spans="3:3" ht="15" customHeight="1" x14ac:dyDescent="0.35"/>
    <row r="26" spans="3:3" ht="15" customHeight="1" x14ac:dyDescent="0.35"/>
    <row r="27" spans="3:3" ht="15" customHeight="1" x14ac:dyDescent="0.35"/>
    <row r="28" spans="3:3" ht="15" customHeight="1" x14ac:dyDescent="0.35"/>
    <row r="29" spans="3:3" ht="15" customHeight="1" x14ac:dyDescent="0.35"/>
    <row r="30" spans="3:3" ht="15" customHeight="1" x14ac:dyDescent="0.35"/>
    <row r="31" spans="3:3" ht="15" customHeight="1" x14ac:dyDescent="0.35">
      <c r="C31" s="1"/>
    </row>
    <row r="32" spans="3:3" ht="15" customHeight="1" x14ac:dyDescent="0.35"/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>
      <c r="C36" s="1"/>
    </row>
    <row r="37" spans="3:3" ht="15" customHeight="1" x14ac:dyDescent="0.35"/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>
      <c r="C41" s="1"/>
    </row>
    <row r="42" spans="3:3" ht="15" customHeight="1" x14ac:dyDescent="0.35">
      <c r="C42" s="1"/>
    </row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18"/>
  <sheetViews>
    <sheetView topLeftCell="C1" zoomScale="85" zoomScaleNormal="85" workbookViewId="0">
      <selection activeCell="N21" sqref="N21"/>
    </sheetView>
  </sheetViews>
  <sheetFormatPr defaultRowHeight="14.5" x14ac:dyDescent="0.35"/>
  <cols>
    <col min="2" max="2" width="13.453125" customWidth="1"/>
    <col min="3" max="3" width="34.453125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4.1796875" customWidth="1"/>
    <col min="13" max="13" width="18.1796875" customWidth="1"/>
    <col min="14" max="14" width="17.1796875" customWidth="1"/>
  </cols>
  <sheetData>
    <row r="2" spans="2:16" ht="18.75" customHeight="1" x14ac:dyDescent="0.35">
      <c r="D2" s="123">
        <f>Assumption!D72*Assumption!$D$71</f>
        <v>9.9989999999999996E-2</v>
      </c>
      <c r="E2" s="123">
        <f>Assumption!D73*Assumption!$D$71</f>
        <v>9.9989999999999996E-2</v>
      </c>
      <c r="F2" s="123">
        <f>Assumption!D74*Assumption!$D$71</f>
        <v>9.9989999999999996E-2</v>
      </c>
      <c r="G2" s="123"/>
      <c r="H2" s="123"/>
      <c r="I2" s="123">
        <f>Assumption!D76</f>
        <v>0.2</v>
      </c>
      <c r="J2" s="123">
        <f>Assumption!D78</f>
        <v>0.4</v>
      </c>
      <c r="K2" s="114"/>
      <c r="L2" s="123">
        <f>Assumption!D80</f>
        <v>0.1</v>
      </c>
      <c r="P2" s="50">
        <f>SUM(D2:N2)</f>
        <v>0.99996999999999991</v>
      </c>
    </row>
    <row r="4" spans="2:16" ht="60.75" customHeight="1" x14ac:dyDescent="0.35">
      <c r="B4" s="205" t="s">
        <v>544</v>
      </c>
      <c r="C4" s="206"/>
      <c r="D4" s="210" t="s">
        <v>778</v>
      </c>
      <c r="E4" s="211"/>
      <c r="F4" s="212"/>
      <c r="G4" s="213" t="s">
        <v>812</v>
      </c>
      <c r="H4" s="213" t="s">
        <v>812</v>
      </c>
      <c r="I4" s="203" t="s">
        <v>546</v>
      </c>
      <c r="J4" s="209" t="s">
        <v>543</v>
      </c>
      <c r="K4" s="209"/>
      <c r="L4" s="203" t="s">
        <v>549</v>
      </c>
      <c r="M4" s="203" t="s">
        <v>550</v>
      </c>
      <c r="N4" s="203" t="s">
        <v>737</v>
      </c>
    </row>
    <row r="5" spans="2:16" x14ac:dyDescent="0.35">
      <c r="B5" s="207"/>
      <c r="C5" s="208"/>
      <c r="D5" s="118" t="s">
        <v>545</v>
      </c>
      <c r="E5" s="118" t="s">
        <v>547</v>
      </c>
      <c r="F5" s="118" t="s">
        <v>914</v>
      </c>
      <c r="G5" s="214"/>
      <c r="H5" s="214"/>
      <c r="I5" s="204"/>
      <c r="J5" s="202" t="s">
        <v>553</v>
      </c>
      <c r="K5" s="152" t="s">
        <v>551</v>
      </c>
      <c r="L5" s="204"/>
      <c r="M5" s="204"/>
      <c r="N5" s="204"/>
    </row>
    <row r="6" spans="2:16" x14ac:dyDescent="0.35">
      <c r="B6" s="77" t="s">
        <v>42</v>
      </c>
      <c r="C6" s="166" t="str" cm="1">
        <f t="array" ref="C6">_xll.FDS(B6,"FG_COMPANY_NAME")</f>
        <v>iShares MSCI Switzerland ETF</v>
      </c>
      <c r="D6" s="153">
        <f>VLOOKUP(B6,'Value -2 '!$D$3:$AC$15,26,FALSE)</f>
        <v>71.399999999999991</v>
      </c>
      <c r="E6" s="120">
        <f>VLOOKUP(B6,'Quality - 2'!$B$2:$S$14,18,FALSE)</f>
        <v>85.7</v>
      </c>
      <c r="F6" s="153">
        <f>VLOOKUP(B6,Safety!$B$4:$R$16,17,FALSE)</f>
        <v>92.800000000000011</v>
      </c>
      <c r="G6" s="179">
        <f t="shared" ref="G6:G18" si="0">(D6*$D$2 +E6*$E$2 +F6*$F$2)/($D$2+$E$2+$F$2)</f>
        <v>83.300000000000011</v>
      </c>
      <c r="H6" s="124" cm="1">
        <f t="array" ref="H6">_xlfn.PERCENTRANK.EXC(_xlfn._xlws.FILTER($G$6:G$18, ISNUMBER($G$6:G$18)),G6)*100</f>
        <v>92.800000000000011</v>
      </c>
      <c r="I6" s="153">
        <f>VLOOKUP(B6,'LIQIDITY 2'!$A$3:$X$15,24,FALSE)</f>
        <v>92.800000000000011</v>
      </c>
      <c r="J6" s="120">
        <f ca="1">VLOOKUP(B6,'Momnetum ranking'!$A$3:$AJ$15,36,FALSE)</f>
        <v>21.4</v>
      </c>
      <c r="K6" s="163">
        <f>VLOOKUP(B6,'Momnetum ranking'!$A$3:$H$15,8,FALSE)</f>
        <v>0.45652173913043476</v>
      </c>
      <c r="L6" s="120">
        <f>VLOOKUP(B6,'Currency- 2'!$A$3:$U$15,21,FALSE)</f>
        <v>35.699999999999996</v>
      </c>
      <c r="M6" s="162">
        <f t="shared" ref="M6:M18" ca="1" si="1">D6*$D$2 + E6*$E$2 + F6*$F$2 + I6*$I$2 + J6*$J$2 + L6*$L$2</f>
        <v>55.677501000000007</v>
      </c>
      <c r="N6" s="120" cm="1">
        <f t="array" aca="1" ref="N6" ca="1">_xlfn.PERCENTRANK.EXC(_xlfn._xlws.FILTER($M$6:M$18, ISNUMBER($M$6:M$18)),M6)*100</f>
        <v>78.5</v>
      </c>
    </row>
    <row r="7" spans="2:16" x14ac:dyDescent="0.35">
      <c r="B7" s="78" t="s">
        <v>46</v>
      </c>
      <c r="C7" s="167" t="str" cm="1">
        <f t="array" ref="C7">_xll.FDS(B7,"FG_COMPANY_NAME")</f>
        <v>iShares MSCI Japan ETF</v>
      </c>
      <c r="D7" s="159">
        <f>VLOOKUP(B7,'Value -2 '!$D$3:$AC$15,26,FALSE)</f>
        <v>50</v>
      </c>
      <c r="E7" s="121">
        <f>VLOOKUP(B7,'Quality - 2'!$B$2:$S$14,18,FALSE)</f>
        <v>57.099999999999994</v>
      </c>
      <c r="F7" s="159">
        <f>VLOOKUP(B7,Safety!$B$4:$R$16,17,FALSE)</f>
        <v>57.099999999999994</v>
      </c>
      <c r="G7" s="180">
        <f t="shared" si="0"/>
        <v>54.733333333333334</v>
      </c>
      <c r="H7" s="125" cm="1">
        <f t="array" ref="H7">_xlfn.PERCENTRANK.EXC(_xlfn._xlws.FILTER($G$6:G$18, ISNUMBER($G$6:G$18)),G7)*100</f>
        <v>64.2</v>
      </c>
      <c r="I7" s="159">
        <f>VLOOKUP(B7,'LIQIDITY 2'!$A$3:$X$15,24,FALSE)</f>
        <v>7.1</v>
      </c>
      <c r="J7" s="121">
        <f ca="1">VLOOKUP(B7,'Momnetum ranking'!$A$3:$AJ$15,36,FALSE)</f>
        <v>14.2</v>
      </c>
      <c r="K7" s="161">
        <f>VLOOKUP(B7,'Momnetum ranking'!$A$3:$H$15,8,FALSE)</f>
        <v>0.44954128440366975</v>
      </c>
      <c r="L7" s="121">
        <f>VLOOKUP(B7,'Currency- 2'!$A$3:$U$15,21,FALSE)</f>
        <v>7.1</v>
      </c>
      <c r="M7" s="160">
        <f t="shared" ca="1" si="1"/>
        <v>24.228358</v>
      </c>
      <c r="N7" s="121" cm="1">
        <f t="array" aca="1" ref="N7" ca="1">_xlfn.PERCENTRANK.EXC(_xlfn._xlws.FILTER($M$6:M$18, ISNUMBER($M$6:M$18)),M7)*100</f>
        <v>7.1</v>
      </c>
    </row>
    <row r="8" spans="2:16" x14ac:dyDescent="0.35">
      <c r="B8" s="78" t="s">
        <v>51</v>
      </c>
      <c r="C8" s="167" t="str" cm="1">
        <f t="array" ref="C8">_xll.FDS(B8,"FG_COMPANY_NAME")</f>
        <v>Invesco QQQ Trust Series I</v>
      </c>
      <c r="D8" s="159">
        <f>VLOOKUP(B8,'Value -2 '!$D$3:$AC$15,26,FALSE)</f>
        <v>14.2</v>
      </c>
      <c r="E8" s="121">
        <f>VLOOKUP(B8,'Quality - 2'!$B$2:$S$14,18,FALSE)</f>
        <v>78.5</v>
      </c>
      <c r="F8" s="159">
        <f>VLOOKUP(B8,Safety!$B$4:$R$16,17,FALSE)</f>
        <v>35.699999999999996</v>
      </c>
      <c r="G8" s="180">
        <f t="shared" si="0"/>
        <v>42.800000000000004</v>
      </c>
      <c r="H8" s="125" cm="1">
        <f t="array" ref="H8">_xlfn.PERCENTRANK.EXC(_xlfn._xlws.FILTER($G$6:G$18, ISNUMBER($G$6:G$18)),G8)*100</f>
        <v>35.699999999999996</v>
      </c>
      <c r="I8" s="159">
        <f>VLOOKUP(B8,'LIQIDITY 2'!$A$3:$X$15,24,FALSE)</f>
        <v>7.1</v>
      </c>
      <c r="J8" s="121">
        <f ca="1">VLOOKUP(B8,'Momnetum ranking'!$A$3:$AJ$15,36,FALSE)</f>
        <v>35.699999999999996</v>
      </c>
      <c r="K8" s="161">
        <f>VLOOKUP(B8,'Momnetum ranking'!$A$3:$H$15,8,FALSE)</f>
        <v>0.41176470588235292</v>
      </c>
      <c r="L8" s="121">
        <f>VLOOKUP(B8,'Currency- 2'!$A$3:$U$15,21,FALSE)</f>
        <v>78.5</v>
      </c>
      <c r="M8" s="160">
        <f t="shared" ca="1" si="1"/>
        <v>36.388716000000002</v>
      </c>
      <c r="N8" s="121" cm="1">
        <f t="array" aca="1" ref="N8" ca="1">_xlfn.PERCENTRANK.EXC(_xlfn._xlws.FILTER($M$6:M$18, ISNUMBER($M$6:M$18)),M8)*100</f>
        <v>28.499999999999996</v>
      </c>
    </row>
    <row r="9" spans="2:16" x14ac:dyDescent="0.35">
      <c r="B9" s="78" t="s">
        <v>1</v>
      </c>
      <c r="C9" s="167" t="str" cm="1">
        <f t="array" ref="C9">_xll.FDS(B9,"FG_COMPANY_NAME")</f>
        <v>SPDR S&amp;P 500 ETF Trust</v>
      </c>
      <c r="D9" s="159">
        <f>VLOOKUP(B9,'Value -2 '!$D$3:$AC$15,26,FALSE)</f>
        <v>28.499999999999996</v>
      </c>
      <c r="E9" s="121">
        <f>VLOOKUP(B9,'Quality - 2'!$B$2:$S$14,18,FALSE)</f>
        <v>92.800000000000011</v>
      </c>
      <c r="F9" s="159">
        <f>VLOOKUP(B9,Safety!$B$4:$R$16,17,FALSE)</f>
        <v>50</v>
      </c>
      <c r="G9" s="180">
        <f t="shared" si="0"/>
        <v>57.100000000000009</v>
      </c>
      <c r="H9" s="125" cm="1">
        <f t="array" ref="H9">_xlfn.PERCENTRANK.EXC(_xlfn._xlws.FILTER($G$6:G$18, ISNUMBER($G$6:G$18)),G9)*100</f>
        <v>71.399999999999991</v>
      </c>
      <c r="I9" s="159">
        <f>VLOOKUP(B9,'LIQIDITY 2'!$A$3:$X$15,24,FALSE)</f>
        <v>7.1</v>
      </c>
      <c r="J9" s="121">
        <f ca="1">VLOOKUP(B9,'Momnetum ranking'!$A$3:$AJ$15,36,FALSE)</f>
        <v>57.099999999999994</v>
      </c>
      <c r="K9" s="161">
        <f>VLOOKUP(B9,'Momnetum ranking'!$A$3:$H$15,8,FALSE)</f>
        <v>0.50595238095238093</v>
      </c>
      <c r="L9" s="121">
        <f>VLOOKUP(B9,'Currency- 2'!$A$3:$U$15,21,FALSE)</f>
        <v>78.5</v>
      </c>
      <c r="M9" s="160">
        <f t="shared" ca="1" si="1"/>
        <v>49.238287000000007</v>
      </c>
      <c r="N9" s="121" cm="1">
        <f t="array" aca="1" ref="N9" ca="1">_xlfn.PERCENTRANK.EXC(_xlfn._xlws.FILTER($M$6:M$18, ISNUMBER($M$6:M$18)),M9)*100</f>
        <v>50</v>
      </c>
    </row>
    <row r="10" spans="2:16" x14ac:dyDescent="0.35">
      <c r="B10" s="78" t="s">
        <v>11</v>
      </c>
      <c r="C10" s="167" t="str" cm="1">
        <f t="array" ref="C10">_xll.FDS(B10,"FG_COMPANY_NAME")</f>
        <v>iShares MSCI Germany ETF</v>
      </c>
      <c r="D10" s="159">
        <f>VLOOKUP(B10,'Value -2 '!$D$3:$AC$15,26,FALSE)</f>
        <v>78.5</v>
      </c>
      <c r="E10" s="121">
        <f>VLOOKUP(B10,'Quality - 2'!$B$2:$S$14,18,FALSE)</f>
        <v>28.499999999999996</v>
      </c>
      <c r="F10" s="159">
        <f>VLOOKUP(B10,Safety!$B$4:$R$16,17,FALSE)</f>
        <v>28.499999999999996</v>
      </c>
      <c r="G10" s="180">
        <f t="shared" si="0"/>
        <v>45.166666666666671</v>
      </c>
      <c r="H10" s="125" cm="1">
        <f t="array" ref="H10">_xlfn.PERCENTRANK.EXC(_xlfn._xlws.FILTER($G$6:G$18, ISNUMBER($G$6:G$18)),G10)*100</f>
        <v>42.8</v>
      </c>
      <c r="I10" s="159">
        <f>VLOOKUP(B10,'LIQIDITY 2'!$A$3:$X$15,24,FALSE)</f>
        <v>7.1</v>
      </c>
      <c r="J10" s="121">
        <f ca="1">VLOOKUP(B10,'Momnetum ranking'!$A$3:$AJ$15,36,FALSE)</f>
        <v>85.7</v>
      </c>
      <c r="K10" s="161">
        <f>VLOOKUP(B10,'Momnetum ranking'!$A$3:$H$15,8,FALSE)</f>
        <v>0.42105263157894735</v>
      </c>
      <c r="L10" s="121">
        <f>VLOOKUP(B10,'Currency- 2'!$A$3:$U$15,21,FALSE)</f>
        <v>71.399999999999991</v>
      </c>
      <c r="M10" s="160">
        <f t="shared" ca="1" si="1"/>
        <v>56.388644999999997</v>
      </c>
      <c r="N10" s="121" cm="1">
        <f t="array" aca="1" ref="N10" ca="1">_xlfn.PERCENTRANK.EXC(_xlfn._xlws.FILTER($M$6:M$18, ISNUMBER($M$6:M$18)),M10)*100</f>
        <v>85.7</v>
      </c>
    </row>
    <row r="11" spans="2:16" x14ac:dyDescent="0.35">
      <c r="B11" s="78" t="s">
        <v>48</v>
      </c>
      <c r="C11" s="167" t="str" cm="1">
        <f t="array" ref="C11">_xll.FDS(B11,"FG_COMPANY_NAME")</f>
        <v>iShares MSCI United Kingdom ETF</v>
      </c>
      <c r="D11" s="159">
        <f>VLOOKUP(B11,'Value -2 '!$D$3:$AC$15,26,FALSE)</f>
        <v>85.7</v>
      </c>
      <c r="E11" s="121">
        <f>VLOOKUP(B11,'Quality - 2'!$B$2:$S$14,18,FALSE)</f>
        <v>64.2</v>
      </c>
      <c r="F11" s="159">
        <f>VLOOKUP(B11,Safety!$B$4:$R$16,17,FALSE)</f>
        <v>21.4</v>
      </c>
      <c r="G11" s="180">
        <f t="shared" si="0"/>
        <v>57.100000000000009</v>
      </c>
      <c r="H11" s="125" cm="1">
        <f t="array" ref="H11">_xlfn.PERCENTRANK.EXC(_xlfn._xlws.FILTER($G$6:G$18, ISNUMBER($G$6:G$18)),G11)*100</f>
        <v>71.399999999999991</v>
      </c>
      <c r="I11" s="159">
        <f>VLOOKUP(B11,'LIQIDITY 2'!$A$3:$X$15,24,FALSE)</f>
        <v>7.1</v>
      </c>
      <c r="J11" s="121">
        <f ca="1">VLOOKUP(B11,'Momnetum ranking'!$A$3:$AJ$15,36,FALSE)</f>
        <v>78.5</v>
      </c>
      <c r="K11" s="161">
        <f>VLOOKUP(B11,'Momnetum ranking'!$A$3:$H$15,8,FALSE)</f>
        <v>0.51764705882352946</v>
      </c>
      <c r="L11" s="121">
        <f>VLOOKUP(B11,'Currency- 2'!$A$3:$U$15,21,FALSE)</f>
        <v>42.8</v>
      </c>
      <c r="M11" s="160">
        <f t="shared" ca="1" si="1"/>
        <v>54.228287000000009</v>
      </c>
      <c r="N11" s="121" cm="1">
        <f t="array" aca="1" ref="N11" ca="1">_xlfn.PERCENTRANK.EXC(_xlfn._xlws.FILTER($M$6:M$18, ISNUMBER($M$6:M$18)),M11)*100</f>
        <v>71.399999999999991</v>
      </c>
    </row>
    <row r="12" spans="2:16" x14ac:dyDescent="0.35">
      <c r="B12" s="78" t="s">
        <v>49</v>
      </c>
      <c r="C12" s="167" t="str" cm="1">
        <f t="array" ref="C12">_xll.FDS(B12,"FG_COMPANY_NAME")</f>
        <v>iShares MSCI Canada ETF</v>
      </c>
      <c r="D12" s="159">
        <f>VLOOKUP(B12,'Value -2 '!$D$3:$AC$15,26,FALSE)</f>
        <v>42.8</v>
      </c>
      <c r="E12" s="121">
        <f>VLOOKUP(B12,'Quality - 2'!$B$2:$S$14,18,FALSE)</f>
        <v>50</v>
      </c>
      <c r="F12" s="159">
        <f>VLOOKUP(B12,Safety!$B$4:$R$16,17,FALSE)</f>
        <v>64.2</v>
      </c>
      <c r="G12" s="180">
        <f t="shared" si="0"/>
        <v>52.333333333333336</v>
      </c>
      <c r="H12" s="125" cm="1">
        <f t="array" ref="H12">_xlfn.PERCENTRANK.EXC(_xlfn._xlws.FILTER($G$6:G$18, ISNUMBER($G$6:G$18)),G12)*100</f>
        <v>57.099999999999994</v>
      </c>
      <c r="I12" s="159">
        <f>VLOOKUP(B12,'LIQIDITY 2'!$A$3:$X$15,24,FALSE)</f>
        <v>7.1</v>
      </c>
      <c r="J12" s="121">
        <f ca="1">VLOOKUP(B12,'Momnetum ranking'!$A$3:$AJ$15,36,FALSE)</f>
        <v>42.8</v>
      </c>
      <c r="K12" s="161">
        <f>VLOOKUP(B12,'Momnetum ranking'!$A$3:$H$15,8,FALSE)</f>
        <v>0.43181818181818182</v>
      </c>
      <c r="L12" s="121">
        <f>VLOOKUP(B12,'Currency- 2'!$A$3:$U$15,21,FALSE)</f>
        <v>50</v>
      </c>
      <c r="M12" s="160">
        <f t="shared" ca="1" si="1"/>
        <v>39.238429999999994</v>
      </c>
      <c r="N12" s="121" cm="1">
        <f t="array" aca="1" ref="N12" ca="1">_xlfn.PERCENTRANK.EXC(_xlfn._xlws.FILTER($M$6:M$18, ISNUMBER($M$6:M$18)),M12)*100</f>
        <v>35.699999999999996</v>
      </c>
    </row>
    <row r="13" spans="2:16" x14ac:dyDescent="0.35">
      <c r="B13" s="78" t="s">
        <v>44</v>
      </c>
      <c r="C13" s="167" t="str" cm="1">
        <f t="array" ref="C13">_xll.FDS(B13,"FG_COMPANY_NAME")</f>
        <v>iShares MSCI Australia ETF</v>
      </c>
      <c r="D13" s="159">
        <f>VLOOKUP(B13,'Value -2 '!$D$3:$AC$15,26,FALSE)</f>
        <v>21.4</v>
      </c>
      <c r="E13" s="121">
        <f>VLOOKUP(B13,'Quality - 2'!$B$2:$S$14,18,FALSE)</f>
        <v>14.2</v>
      </c>
      <c r="F13" s="159">
        <f>VLOOKUP(B13,Safety!$B$4:$R$16,17,FALSE)</f>
        <v>71.399999999999991</v>
      </c>
      <c r="G13" s="180">
        <f t="shared" si="0"/>
        <v>35.666666666666664</v>
      </c>
      <c r="H13" s="125" cm="1">
        <f t="array" ref="H13">_xlfn.PERCENTRANK.EXC(_xlfn._xlws.FILTER($G$6:G$18, ISNUMBER($G$6:G$18)),G13)*100</f>
        <v>14.2</v>
      </c>
      <c r="I13" s="159">
        <f>VLOOKUP(B13,'LIQIDITY 2'!$A$3:$X$15,24,FALSE)</f>
        <v>7.1</v>
      </c>
      <c r="J13" s="121">
        <f ca="1">VLOOKUP(B13,'Momnetum ranking'!$A$3:$AJ$15,36,FALSE)</f>
        <v>28.499999999999996</v>
      </c>
      <c r="K13" s="161">
        <f>VLOOKUP(B13,'Momnetum ranking'!$A$3:$H$15,8,FALSE)</f>
        <v>0.32203389830508472</v>
      </c>
      <c r="L13" s="121">
        <f>VLOOKUP(B13,'Currency- 2'!$A$3:$U$15,21,FALSE)</f>
        <v>57.099999999999994</v>
      </c>
      <c r="M13" s="160">
        <f t="shared" ca="1" si="1"/>
        <v>29.228929999999998</v>
      </c>
      <c r="N13" s="121" cm="1">
        <f t="array" aca="1" ref="N13" ca="1">_xlfn.PERCENTRANK.EXC(_xlfn._xlws.FILTER($M$6:M$18, ISNUMBER($M$6:M$18)),M13)*100</f>
        <v>14.2</v>
      </c>
    </row>
    <row r="14" spans="2:16" x14ac:dyDescent="0.35">
      <c r="B14" s="78" t="s">
        <v>431</v>
      </c>
      <c r="C14" s="167" t="str" cm="1">
        <f t="array" ref="C14">_xll.FDS(B14,"FG_COMPANY_NAME")</f>
        <v>iShares MSCI New Zealand ETF</v>
      </c>
      <c r="D14" s="159">
        <f>VLOOKUP(B14,'Value -2 '!$D$3:$AC$15,26,FALSE)</f>
        <v>7.1</v>
      </c>
      <c r="E14" s="121">
        <f>VLOOKUP(B14,'Quality - 2'!$B$2:$S$14,18,FALSE)</f>
        <v>21.4</v>
      </c>
      <c r="F14" s="159">
        <f>VLOOKUP(B14,Safety!$B$4:$R$16,17,FALSE)</f>
        <v>85.7</v>
      </c>
      <c r="G14" s="180">
        <f t="shared" si="0"/>
        <v>38.06666666666667</v>
      </c>
      <c r="H14" s="125" cm="1">
        <f t="array" ref="H14">_xlfn.PERCENTRANK.EXC(_xlfn._xlws.FILTER($G$6:G$18, ISNUMBER($G$6:G$18)),G14)*100</f>
        <v>28.499999999999996</v>
      </c>
      <c r="I14" s="159">
        <f>VLOOKUP(B14,'LIQIDITY 2'!$A$3:$X$15,24,FALSE)</f>
        <v>78.5</v>
      </c>
      <c r="J14" s="121">
        <f ca="1">VLOOKUP(B14,'Momnetum ranking'!$A$3:$AJ$15,36,FALSE)</f>
        <v>7.1</v>
      </c>
      <c r="K14" s="161">
        <f>VLOOKUP(B14,'Momnetum ranking'!$A$3:$H$15,8,FALSE)</f>
        <v>0.35714285714285715</v>
      </c>
      <c r="L14" s="121">
        <f>VLOOKUP(B14,'Currency- 2'!$A$3:$U$15,21,FALSE)</f>
        <v>14.2</v>
      </c>
      <c r="M14" s="160">
        <f t="shared" ca="1" si="1"/>
        <v>31.378858000000001</v>
      </c>
      <c r="N14" s="121" cm="1">
        <f t="array" aca="1" ref="N14" ca="1">_xlfn.PERCENTRANK.EXC(_xlfn._xlws.FILTER($M$6:M$18, ISNUMBER($M$6:M$18)),M14)*100</f>
        <v>21.4</v>
      </c>
    </row>
    <row r="15" spans="2:16" x14ac:dyDescent="0.35">
      <c r="B15" s="78" t="s">
        <v>865</v>
      </c>
      <c r="C15" s="167" t="str" cm="1">
        <f t="array" ref="C15">_xll.FDS(B15,"FG_COMPANY_NAME")</f>
        <v>iShares MSCI France ETF</v>
      </c>
      <c r="D15" s="159">
        <f>VLOOKUP(B15,'Value -2 '!$D$3:$AC$15,26,FALSE)</f>
        <v>57.099999999999994</v>
      </c>
      <c r="E15" s="121">
        <f>VLOOKUP(B15,'Quality - 2'!$B$2:$S$14,18,FALSE)</f>
        <v>71.399999999999991</v>
      </c>
      <c r="F15" s="159">
        <f>VLOOKUP(B15,Safety!$B$4:$R$16,17,FALSE)</f>
        <v>78.5</v>
      </c>
      <c r="G15" s="180">
        <f t="shared" si="0"/>
        <v>69.000000000000014</v>
      </c>
      <c r="H15" s="125" cm="1">
        <f t="array" ref="H15">_xlfn.PERCENTRANK.EXC(_xlfn._xlws.FILTER($G$6:G$18, ISNUMBER($G$6:G$18)),G15)*100</f>
        <v>85.7</v>
      </c>
      <c r="I15" s="159">
        <f>VLOOKUP(B15,'LIQIDITY 2'!$A$3:$X$15,24,FALSE)</f>
        <v>7.1</v>
      </c>
      <c r="J15" s="121">
        <f ca="1">VLOOKUP(B15,'Momnetum ranking'!$A$3:$AJ$15,36,FALSE)</f>
        <v>71.399999999999991</v>
      </c>
      <c r="K15" s="161">
        <f>VLOOKUP(B15,'Momnetum ranking'!$A$3:$H$15,8,FALSE)</f>
        <v>0.484375</v>
      </c>
      <c r="L15" s="121">
        <f>VLOOKUP(B15,'Currency- 2'!$A$3:$U$15,21,FALSE)</f>
        <v>28.499999999999996</v>
      </c>
      <c r="M15" s="160">
        <f t="shared" ca="1" si="1"/>
        <v>53.527930000000005</v>
      </c>
      <c r="N15" s="121" cm="1">
        <f t="array" aca="1" ref="N15" ca="1">_xlfn.PERCENTRANK.EXC(_xlfn._xlws.FILTER($M$6:M$18, ISNUMBER($M$6:M$18)),M15)*100</f>
        <v>64.2</v>
      </c>
    </row>
    <row r="16" spans="2:16" x14ac:dyDescent="0.35">
      <c r="B16" s="78" t="s">
        <v>867</v>
      </c>
      <c r="C16" s="167" t="str" cm="1">
        <f t="array" ref="C16">_xll.FDS(B16,"FG_COMPANY_NAME")</f>
        <v>iShares MSCI Netherlands ETF</v>
      </c>
      <c r="D16" s="159">
        <f>VLOOKUP(B16,'Value -2 '!$D$3:$AC$15,26,FALSE)</f>
        <v>35.699999999999996</v>
      </c>
      <c r="E16" s="121">
        <f>VLOOKUP(B16,'Quality - 2'!$B$2:$S$14,18,FALSE)</f>
        <v>28.499999999999996</v>
      </c>
      <c r="F16" s="159">
        <f>VLOOKUP(B16,Safety!$B$4:$R$16,17,FALSE)</f>
        <v>14.2</v>
      </c>
      <c r="G16" s="180">
        <f t="shared" si="0"/>
        <v>26.133333333333333</v>
      </c>
      <c r="H16" s="125" cm="1">
        <f t="array" ref="H16">_xlfn.PERCENTRANK.EXC(_xlfn._xlws.FILTER($G$6:G$18, ISNUMBER($G$6:G$18)),G16)*100</f>
        <v>7.1</v>
      </c>
      <c r="I16" s="159">
        <f>VLOOKUP(B16,'LIQIDITY 2'!$A$3:$X$15,24,FALSE)</f>
        <v>7.1</v>
      </c>
      <c r="J16" s="121">
        <f ca="1">VLOOKUP(B16,'Momnetum ranking'!$A$3:$AJ$15,36,FALSE)</f>
        <v>64.2</v>
      </c>
      <c r="K16" s="161">
        <f>VLOOKUP(B16,'Momnetum ranking'!$A$3:$H$15,8,FALSE)</f>
        <v>0.38181818181818183</v>
      </c>
      <c r="L16" s="121">
        <f>VLOOKUP(B16,'Currency- 2'!$A$3:$U$15,21,FALSE)</f>
        <v>92.800000000000011</v>
      </c>
      <c r="M16" s="160">
        <f t="shared" ca="1" si="1"/>
        <v>44.219216000000003</v>
      </c>
      <c r="N16" s="121" cm="1">
        <f t="array" aca="1" ref="N16" ca="1">_xlfn.PERCENTRANK.EXC(_xlfn._xlws.FILTER($M$6:M$18, ISNUMBER($M$6:M$18)),M16)*100</f>
        <v>42.8</v>
      </c>
    </row>
    <row r="17" spans="2:14" x14ac:dyDescent="0.35">
      <c r="B17" s="78" t="s">
        <v>864</v>
      </c>
      <c r="C17" s="167" t="str" cm="1">
        <f t="array" ref="C17">_xll.FDS(B17,"FG_COMPANY_NAME")</f>
        <v>iShares MSCI Sweden ETF</v>
      </c>
      <c r="D17" s="159">
        <f>VLOOKUP(B17,'Value -2 '!$D$3:$AC$15,26,FALSE)</f>
        <v>64.2</v>
      </c>
      <c r="E17" s="121">
        <f>VLOOKUP(B17,'Quality - 2'!$B$2:$S$14,18,FALSE)</f>
        <v>42.8</v>
      </c>
      <c r="F17" s="159">
        <f>VLOOKUP(B17,Safety!$B$4:$R$16,17,FALSE)</f>
        <v>42.8</v>
      </c>
      <c r="G17" s="180">
        <f t="shared" si="0"/>
        <v>49.933333333333344</v>
      </c>
      <c r="H17" s="125" cm="1">
        <f t="array" ref="H17">_xlfn.PERCENTRANK.EXC(_xlfn._xlws.FILTER($G$6:G$18, ISNUMBER($G$6:G$18)),G17)*100</f>
        <v>50</v>
      </c>
      <c r="I17" s="159">
        <f>VLOOKUP(B17,'LIQIDITY 2'!$A$3:$X$15,24,FALSE)</f>
        <v>78.5</v>
      </c>
      <c r="J17" s="121">
        <f ca="1">VLOOKUP(B17,'Momnetum ranking'!$A$3:$AJ$15,36,FALSE)</f>
        <v>50</v>
      </c>
      <c r="K17" s="161">
        <f>VLOOKUP(B17,'Momnetum ranking'!$A$3:$H$15,8,FALSE)</f>
        <v>0.47727272727272729</v>
      </c>
      <c r="L17" s="121">
        <f>VLOOKUP(B17,'Currency- 2'!$A$3:$U$15,21,FALSE)</f>
        <v>21.4</v>
      </c>
      <c r="M17" s="160">
        <f t="shared" ca="1" si="1"/>
        <v>52.818502000000002</v>
      </c>
      <c r="N17" s="121" cm="1">
        <f t="array" aca="1" ref="N17" ca="1">_xlfn.PERCENTRANK.EXC(_xlfn._xlws.FILTER($M$6:M$18, ISNUMBER($M$6:M$18)),M17)*100</f>
        <v>57.099999999999994</v>
      </c>
    </row>
    <row r="18" spans="2:14" x14ac:dyDescent="0.35">
      <c r="B18" s="79" t="s">
        <v>866</v>
      </c>
      <c r="C18" s="168" t="str" cm="1">
        <f t="array" ref="C18">_xll.FDS(B18,"FG_COMPANY_NAME")</f>
        <v>iShares MSCI Italy ETF</v>
      </c>
      <c r="D18" s="154">
        <f>VLOOKUP(B18,'Value -2 '!$D$3:$AC$15,26,FALSE)</f>
        <v>92.800000000000011</v>
      </c>
      <c r="E18" s="122">
        <f>VLOOKUP(B18,'Quality - 2'!$B$2:$S$14,18,FALSE)</f>
        <v>7.1</v>
      </c>
      <c r="F18" s="154">
        <f>VLOOKUP(B18,Safety!$B$4:$R$16,17,FALSE)</f>
        <v>7.1</v>
      </c>
      <c r="G18" s="181">
        <f t="shared" si="0"/>
        <v>35.666666666666679</v>
      </c>
      <c r="H18" s="126" cm="1">
        <f t="array" ref="H18">_xlfn.PERCENTRANK.EXC(_xlfn._xlws.FILTER($G$6:G$18, ISNUMBER($G$6:G$18)),G18)*100</f>
        <v>21.4</v>
      </c>
      <c r="I18" s="154">
        <f>VLOOKUP(B18,'LIQIDITY 2'!$A$3:$X$15,24,FALSE)</f>
        <v>71.399999999999991</v>
      </c>
      <c r="J18" s="122">
        <f ca="1">VLOOKUP(B18,'Momnetum ranking'!$A$3:$AJ$15,36,FALSE)</f>
        <v>92.800000000000011</v>
      </c>
      <c r="K18" s="165">
        <f>VLOOKUP(B18,'Momnetum ranking'!$A$3:$H$15,8,FALSE)</f>
        <v>0.42307692307692307</v>
      </c>
      <c r="L18" s="122">
        <f>VLOOKUP(B18,'Currency- 2'!$A$3:$U$15,21,FALSE)</f>
        <v>64.2</v>
      </c>
      <c r="M18" s="164">
        <f t="shared" ca="1" si="1"/>
        <v>68.518930000000012</v>
      </c>
      <c r="N18" s="122" cm="1">
        <f t="array" aca="1" ref="N18" ca="1">_xlfn.PERCENTRANK.EXC(_xlfn._xlws.FILTER($M$6:M$18, ISNUMBER($M$6:M$18)),M18)*100</f>
        <v>92.800000000000011</v>
      </c>
    </row>
  </sheetData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22"/>
  <sheetViews>
    <sheetView topLeftCell="C1" zoomScale="82" zoomScaleNormal="82" workbookViewId="0">
      <selection activeCell="R28" sqref="R28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29" t="s">
        <v>822</v>
      </c>
      <c r="D2" s="130">
        <v>0.5</v>
      </c>
      <c r="E2" s="62" t="s">
        <v>836</v>
      </c>
      <c r="F2" s="127">
        <v>0.1</v>
      </c>
      <c r="R2" s="144" t="s">
        <v>851</v>
      </c>
      <c r="S2" s="144" t="s">
        <v>851</v>
      </c>
    </row>
    <row r="3" spans="2:21" ht="15" thickBot="1" x14ac:dyDescent="0.4">
      <c r="C3" s="131" t="s">
        <v>823</v>
      </c>
      <c r="D3" s="132">
        <v>70</v>
      </c>
      <c r="E3" s="56" t="s">
        <v>824</v>
      </c>
      <c r="F3" s="58">
        <v>50</v>
      </c>
      <c r="R3" s="148">
        <f ca="1">COUNTIF(R9:R17,"&gt;0")</f>
        <v>6</v>
      </c>
      <c r="S3" s="148">
        <f ca="1">COUNTIF(S9:S17,"&gt;0")</f>
        <v>6</v>
      </c>
    </row>
    <row r="4" spans="2:21" ht="15" thickBot="1" x14ac:dyDescent="0.4">
      <c r="C4" s="131" t="s">
        <v>825</v>
      </c>
      <c r="D4" s="133">
        <v>0.3</v>
      </c>
      <c r="E4" s="56" t="s">
        <v>831</v>
      </c>
      <c r="F4" s="128">
        <v>0.1</v>
      </c>
    </row>
    <row r="5" spans="2:21" ht="15" thickBot="1" x14ac:dyDescent="0.4">
      <c r="C5" s="134" t="s">
        <v>826</v>
      </c>
      <c r="D5" s="135">
        <v>70</v>
      </c>
      <c r="E5" s="12" t="s">
        <v>823</v>
      </c>
      <c r="F5" s="14">
        <v>60</v>
      </c>
      <c r="Q5" s="62" t="s">
        <v>849</v>
      </c>
      <c r="R5" s="11"/>
    </row>
    <row r="6" spans="2:21" ht="15" thickBot="1" x14ac:dyDescent="0.4">
      <c r="Q6" s="12" t="s">
        <v>850</v>
      </c>
      <c r="R6" s="147">
        <v>0.01</v>
      </c>
    </row>
    <row r="7" spans="2:21" ht="15" thickBot="1" x14ac:dyDescent="0.4"/>
    <row r="8" spans="2:21" x14ac:dyDescent="0.35">
      <c r="B8" s="139" t="s">
        <v>827</v>
      </c>
      <c r="C8" s="139" t="s">
        <v>518</v>
      </c>
      <c r="D8" s="140" t="s">
        <v>544</v>
      </c>
      <c r="E8" s="140" t="s">
        <v>828</v>
      </c>
      <c r="F8" s="140" t="s">
        <v>543</v>
      </c>
      <c r="G8" s="140" t="s">
        <v>545</v>
      </c>
      <c r="H8" s="140" t="s">
        <v>546</v>
      </c>
      <c r="I8" s="140" t="s">
        <v>549</v>
      </c>
      <c r="J8" s="140" t="s">
        <v>832</v>
      </c>
      <c r="K8" s="140" t="s">
        <v>853</v>
      </c>
      <c r="L8" s="140" t="s">
        <v>833</v>
      </c>
      <c r="M8" s="140" t="s">
        <v>858</v>
      </c>
      <c r="N8" s="140" t="s">
        <v>834</v>
      </c>
      <c r="O8" s="140" t="s">
        <v>854</v>
      </c>
      <c r="P8" s="140" t="s">
        <v>835</v>
      </c>
      <c r="Q8" s="140" t="s">
        <v>855</v>
      </c>
      <c r="R8" s="155" t="s">
        <v>856</v>
      </c>
      <c r="S8" s="155" t="s">
        <v>857</v>
      </c>
    </row>
    <row r="9" spans="2:21" x14ac:dyDescent="0.35">
      <c r="B9" s="56" t="s">
        <v>431</v>
      </c>
      <c r="C9" s="56" t="str" cm="1">
        <f t="array" ref="C9">_xll.FDS(B9,"FG_COMPANY_NAME")</f>
        <v>iShares MSCI New Zealand ETF</v>
      </c>
      <c r="D9" t="s">
        <v>674</v>
      </c>
      <c r="E9" s="136">
        <f>HLOOKUP(B9,'Monthly Returns'!$A$1:$N$139,139,FALSE)</f>
        <v>0.17233186996950553</v>
      </c>
      <c r="F9">
        <f ca="1">VLOOKUP(B9,OUTPUT_COUNTRY!$B$6:$N$18, 9, FALSE)</f>
        <v>7.1</v>
      </c>
      <c r="G9" s="47">
        <f>IFERROR(VLOOKUP(B9,OUTPUT_COUNTRY!$B$6:$N$18, 7, FALSE),0)</f>
        <v>28.499999999999996</v>
      </c>
      <c r="H9">
        <f>VLOOKUP(B9,OUTPUT_COUNTRY!$B$6:$N$18, 8, FALSE)</f>
        <v>78.5</v>
      </c>
      <c r="I9">
        <f>VLOOKUP(B9,OUTPUT_COUNTRY!$B$6:$N$18, 11, FALSE)</f>
        <v>14.2</v>
      </c>
      <c r="J9" s="47">
        <f t="shared" ref="J9:J21" ca="1" si="0">IF(F9&gt;=$D$3,1/E9,0)</f>
        <v>0</v>
      </c>
      <c r="K9" s="136">
        <f ca="1">J9/$J$22</f>
        <v>0</v>
      </c>
      <c r="L9">
        <f t="shared" ref="L9:L21" si="1">IF(G9&gt;=$D$5,1/E9,0)</f>
        <v>0</v>
      </c>
      <c r="M9" s="136">
        <f>L9/$L$22</f>
        <v>0</v>
      </c>
      <c r="N9">
        <f t="shared" ref="N9:N21" si="2">IF(H9&gt;=$F$3,1/E9,0)</f>
        <v>5.8027572043229849</v>
      </c>
      <c r="O9" s="136">
        <f>N9/$N$22</f>
        <v>0.26224008361672402</v>
      </c>
      <c r="P9">
        <f t="shared" ref="P9:P21" si="3">IF(I9&gt;=$F$5,1/E9,0)</f>
        <v>0</v>
      </c>
      <c r="Q9" s="136">
        <f>P9/$P$22</f>
        <v>0</v>
      </c>
      <c r="R9" s="156">
        <f t="shared" ref="R9:R21" ca="1" si="4">IF($D$2*K9+$D$4*M9+$F$2*O9+$F$4*Q9 = 0,"",$D$2*K9+$D$4*M9+$F$2*O9+$F$4*Q9)</f>
        <v>2.6224008361672404E-2</v>
      </c>
      <c r="S9" s="156">
        <f t="shared" ref="S9:S21" ca="1" si="5">IFERROR(IF(R9&gt;=$R$6, R9/SUMIF($R$9:$R$17,"&gt;="&amp;$R$6), ""),"")</f>
        <v>4.2338045523393243E-2</v>
      </c>
      <c r="U9" s="50"/>
    </row>
    <row r="10" spans="2:21" x14ac:dyDescent="0.35">
      <c r="B10" s="56" t="s">
        <v>44</v>
      </c>
      <c r="C10" s="56" t="str" cm="1">
        <f t="array" ref="C10">_xll.FDS(B10,"FG_COMPANY_NAME")</f>
        <v>iShares MSCI Australia ETF</v>
      </c>
      <c r="D10" t="s">
        <v>576</v>
      </c>
      <c r="E10" s="136">
        <f>HLOOKUP(B10,'Monthly Returns'!$A$1:$N$139,139,FALSE)</f>
        <v>0.18219434322518546</v>
      </c>
      <c r="F10">
        <f ca="1">VLOOKUP(B10,OUTPUT_COUNTRY!$B$6:$N$18, 9, FALSE)</f>
        <v>28.499999999999996</v>
      </c>
      <c r="G10" s="47">
        <f>IFERROR(VLOOKUP(B10,OUTPUT_COUNTRY!$B$6:$N$18, 7, FALSE),0)</f>
        <v>14.2</v>
      </c>
      <c r="H10">
        <f>VLOOKUP(B10,OUTPUT_COUNTRY!$B$6:$N$18, 8, FALSE)</f>
        <v>7.1</v>
      </c>
      <c r="I10">
        <f>VLOOKUP(B10,OUTPUT_COUNTRY!$B$6:$N$18, 11, FALSE)</f>
        <v>57.099999999999994</v>
      </c>
      <c r="J10" s="47">
        <f t="shared" ca="1" si="0"/>
        <v>0</v>
      </c>
      <c r="K10" s="136">
        <f t="shared" ref="K10:K21" ca="1" si="6">J10/$J$22</f>
        <v>0</v>
      </c>
      <c r="L10">
        <f t="shared" si="1"/>
        <v>0</v>
      </c>
      <c r="M10" s="136">
        <f t="shared" ref="M10:M21" si="7">L10/$L$22</f>
        <v>0</v>
      </c>
      <c r="N10">
        <f t="shared" si="2"/>
        <v>0</v>
      </c>
      <c r="O10" s="136">
        <f t="shared" ref="O10:O21" si="8">N10/$N$22</f>
        <v>0</v>
      </c>
      <c r="P10">
        <f t="shared" si="3"/>
        <v>0</v>
      </c>
      <c r="Q10" s="136">
        <f t="shared" ref="Q10:Q21" si="9">P10/$P$22</f>
        <v>0</v>
      </c>
      <c r="R10" s="156" t="str">
        <f t="shared" ca="1" si="4"/>
        <v/>
      </c>
      <c r="S10" s="156" t="str">
        <f t="shared" ca="1" si="5"/>
        <v/>
      </c>
      <c r="U10" s="50"/>
    </row>
    <row r="11" spans="2:21" x14ac:dyDescent="0.35">
      <c r="B11" s="56" t="s">
        <v>49</v>
      </c>
      <c r="C11" s="56" t="str" cm="1">
        <f t="array" ref="C11">_xll.FDS(B11,"FG_COMPANY_NAME")</f>
        <v>iShares MSCI Canada ETF</v>
      </c>
      <c r="D11" t="s">
        <v>598</v>
      </c>
      <c r="E11" s="136">
        <f>HLOOKUP(B11,'Monthly Returns'!$A$1:$N$139,139,FALSE)</f>
        <v>0.15851866533252662</v>
      </c>
      <c r="F11">
        <f ca="1">VLOOKUP(B11,OUTPUT_COUNTRY!$B$6:$N$18, 9, FALSE)</f>
        <v>42.8</v>
      </c>
      <c r="G11" s="47">
        <f>IFERROR(VLOOKUP(B11,OUTPUT_COUNTRY!$B$6:$N$18, 7, FALSE),0)</f>
        <v>57.099999999999994</v>
      </c>
      <c r="H11">
        <f>VLOOKUP(B11,OUTPUT_COUNTRY!$B$6:$N$18, 8, FALSE)</f>
        <v>7.1</v>
      </c>
      <c r="I11">
        <f>VLOOKUP(B11,OUTPUT_COUNTRY!$B$6:$N$18, 11, FALSE)</f>
        <v>50</v>
      </c>
      <c r="J11" s="47">
        <f t="shared" ca="1" si="0"/>
        <v>0</v>
      </c>
      <c r="K11" s="136">
        <f t="shared" ca="1" si="6"/>
        <v>0</v>
      </c>
      <c r="L11">
        <f t="shared" si="1"/>
        <v>0</v>
      </c>
      <c r="M11" s="136">
        <f t="shared" si="7"/>
        <v>0</v>
      </c>
      <c r="N11">
        <f t="shared" si="2"/>
        <v>0</v>
      </c>
      <c r="O11" s="136">
        <f t="shared" si="8"/>
        <v>0</v>
      </c>
      <c r="P11">
        <f t="shared" si="3"/>
        <v>0</v>
      </c>
      <c r="Q11" s="136">
        <f t="shared" si="9"/>
        <v>0</v>
      </c>
      <c r="R11" s="156" t="str">
        <f t="shared" ca="1" si="4"/>
        <v/>
      </c>
      <c r="S11" s="156" t="str">
        <f t="shared" ca="1" si="5"/>
        <v/>
      </c>
      <c r="U11" s="50"/>
    </row>
    <row r="12" spans="2:21" x14ac:dyDescent="0.35">
      <c r="B12" s="56" t="s">
        <v>11</v>
      </c>
      <c r="C12" s="56" t="str" cm="1">
        <f t="array" ref="C12">_xll.FDS(B12,"FG_COMPANY_NAME")</f>
        <v>iShares MSCI Germany ETF</v>
      </c>
      <c r="D12" t="s">
        <v>625</v>
      </c>
      <c r="E12" s="136">
        <f>HLOOKUP(B12,'Monthly Returns'!$A$1:$N$139,139,FALSE)</f>
        <v>0.19665610899637942</v>
      </c>
      <c r="F12">
        <f ca="1">VLOOKUP(B12,OUTPUT_COUNTRY!$B$6:$N$18, 9, FALSE)</f>
        <v>85.7</v>
      </c>
      <c r="G12" s="47">
        <f>IFERROR(VLOOKUP(B12,OUTPUT_COUNTRY!$B$6:$N$18, 7, FALSE),0)</f>
        <v>42.8</v>
      </c>
      <c r="H12">
        <f>VLOOKUP(B12,OUTPUT_COUNTRY!$B$6:$N$18, 8, FALSE)</f>
        <v>7.1</v>
      </c>
      <c r="I12">
        <f>VLOOKUP(B12,OUTPUT_COUNTRY!$B$6:$N$18, 11, FALSE)</f>
        <v>71.399999999999991</v>
      </c>
      <c r="J12" s="47">
        <f t="shared" ca="1" si="0"/>
        <v>5.0850187421251718</v>
      </c>
      <c r="K12" s="136">
        <f t="shared" ca="1" si="6"/>
        <v>0.23830047024775519</v>
      </c>
      <c r="L12">
        <f t="shared" si="1"/>
        <v>0</v>
      </c>
      <c r="M12" s="136">
        <f t="shared" si="7"/>
        <v>0</v>
      </c>
      <c r="N12">
        <f t="shared" si="2"/>
        <v>0</v>
      </c>
      <c r="O12" s="136">
        <f t="shared" si="8"/>
        <v>0</v>
      </c>
      <c r="P12">
        <f t="shared" si="3"/>
        <v>5.0850187421251718</v>
      </c>
      <c r="Q12" s="136">
        <f t="shared" si="9"/>
        <v>0.1880458466727884</v>
      </c>
      <c r="R12" s="156">
        <f t="shared" ca="1" si="4"/>
        <v>0.13795481979115642</v>
      </c>
      <c r="S12" s="156">
        <f t="shared" ca="1" si="5"/>
        <v>0.2227248161278807</v>
      </c>
      <c r="U12" s="50"/>
    </row>
    <row r="13" spans="2:21" x14ac:dyDescent="0.35">
      <c r="B13" s="56" t="s">
        <v>46</v>
      </c>
      <c r="C13" s="56" t="str" cm="1">
        <f t="array" ref="C13">_xll.FDS(B13,"FG_COMPANY_NAME")</f>
        <v>iShares MSCI Japan ETF</v>
      </c>
      <c r="D13" t="s">
        <v>643</v>
      </c>
      <c r="E13" s="136">
        <f>HLOOKUP(B13,'Monthly Returns'!$A$1:$N$139,139,FALSE)</f>
        <v>0.14216167703132276</v>
      </c>
      <c r="F13">
        <f ca="1">VLOOKUP(B13,OUTPUT_COUNTRY!$B$6:$N$18, 9, FALSE)</f>
        <v>14.2</v>
      </c>
      <c r="G13" s="47">
        <f>IFERROR(VLOOKUP(B13,OUTPUT_COUNTRY!$B$6:$N$18, 7, FALSE),0)</f>
        <v>64.2</v>
      </c>
      <c r="H13">
        <f>VLOOKUP(B13,OUTPUT_COUNTRY!$B$6:$N$18, 8, FALSE)</f>
        <v>7.1</v>
      </c>
      <c r="I13">
        <f>VLOOKUP(B13,OUTPUT_COUNTRY!$B$6:$N$18, 11, FALSE)</f>
        <v>7.1</v>
      </c>
      <c r="J13" s="47">
        <f t="shared" ca="1" si="0"/>
        <v>0</v>
      </c>
      <c r="K13" s="136">
        <f t="shared" ca="1" si="6"/>
        <v>0</v>
      </c>
      <c r="L13">
        <f t="shared" si="1"/>
        <v>0</v>
      </c>
      <c r="M13" s="136">
        <f t="shared" si="7"/>
        <v>0</v>
      </c>
      <c r="N13">
        <f t="shared" si="2"/>
        <v>0</v>
      </c>
      <c r="O13" s="136">
        <f t="shared" si="8"/>
        <v>0</v>
      </c>
      <c r="P13">
        <f t="shared" si="3"/>
        <v>0</v>
      </c>
      <c r="Q13" s="136">
        <f t="shared" si="9"/>
        <v>0</v>
      </c>
      <c r="R13" s="156" t="str">
        <f t="shared" ca="1" si="4"/>
        <v/>
      </c>
      <c r="S13" s="156" t="str">
        <f t="shared" ca="1" si="5"/>
        <v/>
      </c>
      <c r="U13" s="50"/>
    </row>
    <row r="14" spans="2:21" x14ac:dyDescent="0.35">
      <c r="B14" s="56" t="s">
        <v>42</v>
      </c>
      <c r="C14" s="56" t="str" cm="1">
        <f t="array" ref="C14">_xll.FDS(B14,"FG_COMPANY_NAME")</f>
        <v>iShares MSCI Switzerland ETF</v>
      </c>
      <c r="D14" t="s">
        <v>706</v>
      </c>
      <c r="E14" s="136">
        <f>HLOOKUP(B14,'Monthly Returns'!$A$1:$N$139,139,FALSE)</f>
        <v>0.1428403710461314</v>
      </c>
      <c r="F14">
        <f ca="1">VLOOKUP(B14,OUTPUT_COUNTRY!$B$6:$N$18, 9, FALSE)</f>
        <v>21.4</v>
      </c>
      <c r="G14" s="47">
        <f>IFERROR(VLOOKUP(B14,OUTPUT_COUNTRY!$B$6:$N$18, 7, FALSE),0)</f>
        <v>92.800000000000011</v>
      </c>
      <c r="H14">
        <f>VLOOKUP(B14,OUTPUT_COUNTRY!$B$6:$N$18, 8, FALSE)</f>
        <v>92.800000000000011</v>
      </c>
      <c r="I14">
        <f>VLOOKUP(B14,OUTPUT_COUNTRY!$B$6:$N$18, 11, FALSE)</f>
        <v>35.699999999999996</v>
      </c>
      <c r="J14" s="47">
        <f t="shared" ca="1" si="0"/>
        <v>0</v>
      </c>
      <c r="K14" s="136">
        <f t="shared" ca="1" si="6"/>
        <v>0</v>
      </c>
      <c r="L14">
        <f t="shared" si="1"/>
        <v>7.0008219152346101</v>
      </c>
      <c r="M14" s="136">
        <f t="shared" si="7"/>
        <v>0.27548188260600942</v>
      </c>
      <c r="N14">
        <f t="shared" si="2"/>
        <v>7.0008219152346101</v>
      </c>
      <c r="O14" s="136">
        <f t="shared" si="8"/>
        <v>0.31638341219398214</v>
      </c>
      <c r="P14">
        <f t="shared" si="3"/>
        <v>0</v>
      </c>
      <c r="Q14" s="136">
        <f t="shared" si="9"/>
        <v>0</v>
      </c>
      <c r="R14" s="156">
        <f t="shared" ca="1" si="4"/>
        <v>0.11428290600120103</v>
      </c>
      <c r="S14" s="156">
        <f t="shared" ca="1" si="5"/>
        <v>0.18450706734429786</v>
      </c>
      <c r="U14" s="50"/>
    </row>
    <row r="15" spans="2:21" x14ac:dyDescent="0.35">
      <c r="B15" s="56" t="s">
        <v>48</v>
      </c>
      <c r="C15" s="56" t="str" cm="1">
        <f t="array" ref="C15">_xll.FDS(B15,"FG_COMPANY_NAME")</f>
        <v>iShares MSCI United Kingdom ETF</v>
      </c>
      <c r="D15" t="s">
        <v>719</v>
      </c>
      <c r="E15" s="136">
        <f>HLOOKUP(B15,'Monthly Returns'!$A$1:$N$139,139,FALSE)</f>
        <v>0.16354425920910648</v>
      </c>
      <c r="F15">
        <f ca="1">VLOOKUP(B15,OUTPUT_COUNTRY!$B$6:$N$18, 9, FALSE)</f>
        <v>78.5</v>
      </c>
      <c r="G15" s="47">
        <f>IFERROR(VLOOKUP(B15,OUTPUT_COUNTRY!$B$6:$N$18, 7, FALSE),0)</f>
        <v>71.399999999999991</v>
      </c>
      <c r="H15">
        <f>VLOOKUP(B15,OUTPUT_COUNTRY!$B$6:$N$18, 8, FALSE)</f>
        <v>7.1</v>
      </c>
      <c r="I15">
        <f>VLOOKUP(B15,OUTPUT_COUNTRY!$B$6:$N$18, 11, FALSE)</f>
        <v>42.8</v>
      </c>
      <c r="J15" s="47">
        <f t="shared" ca="1" si="0"/>
        <v>6.1145527506496418</v>
      </c>
      <c r="K15" s="136">
        <f t="shared" ca="1" si="6"/>
        <v>0.28654777292434352</v>
      </c>
      <c r="L15">
        <f t="shared" si="1"/>
        <v>6.1145527506496418</v>
      </c>
      <c r="M15" s="136">
        <f t="shared" si="7"/>
        <v>0.24060724918272225</v>
      </c>
      <c r="N15">
        <f t="shared" si="2"/>
        <v>0</v>
      </c>
      <c r="O15" s="136">
        <f t="shared" si="8"/>
        <v>0</v>
      </c>
      <c r="P15">
        <f t="shared" si="3"/>
        <v>0</v>
      </c>
      <c r="Q15" s="136">
        <f t="shared" si="9"/>
        <v>0</v>
      </c>
      <c r="R15" s="156">
        <f t="shared" ca="1" si="4"/>
        <v>0.21545606121698843</v>
      </c>
      <c r="S15" s="156">
        <f t="shared" ca="1" si="5"/>
        <v>0.34784874998087878</v>
      </c>
      <c r="U15" s="50"/>
    </row>
    <row r="16" spans="2:21" x14ac:dyDescent="0.35">
      <c r="B16" s="56" t="s">
        <v>51</v>
      </c>
      <c r="C16" s="56" t="str" cm="1">
        <f t="array" ref="C16">_xll.FDS(B16,"FG_COMPANY_NAME")</f>
        <v>Invesco QQQ Trust Series I</v>
      </c>
      <c r="D16" t="s">
        <v>720</v>
      </c>
      <c r="E16" s="136">
        <f>HLOOKUP(B16,'Monthly Returns'!$A$1:$N$139,139,FALSE)</f>
        <v>0.19027000116779705</v>
      </c>
      <c r="F16">
        <f ca="1">VLOOKUP(B16,OUTPUT_COUNTRY!$B$6:$N$18, 9, FALSE)</f>
        <v>35.699999999999996</v>
      </c>
      <c r="G16" s="47">
        <f>IFERROR(VLOOKUP(B16,OUTPUT_COUNTRY!$B$6:$N$18, 7, FALSE),0)</f>
        <v>35.699999999999996</v>
      </c>
      <c r="H16">
        <f>VLOOKUP(B16,OUTPUT_COUNTRY!$B$6:$N$18, 8, FALSE)</f>
        <v>7.1</v>
      </c>
      <c r="I16">
        <f>VLOOKUP(B16,OUTPUT_COUNTRY!$B$6:$N$18, 11, FALSE)</f>
        <v>78.5</v>
      </c>
      <c r="J16" s="47">
        <f t="shared" ca="1" si="0"/>
        <v>0</v>
      </c>
      <c r="K16" s="136">
        <f t="shared" ca="1" si="6"/>
        <v>0</v>
      </c>
      <c r="L16">
        <f t="shared" si="1"/>
        <v>0</v>
      </c>
      <c r="M16" s="136">
        <f t="shared" si="7"/>
        <v>0</v>
      </c>
      <c r="N16">
        <f t="shared" si="2"/>
        <v>0</v>
      </c>
      <c r="O16" s="136">
        <f t="shared" si="8"/>
        <v>0</v>
      </c>
      <c r="P16">
        <f t="shared" si="3"/>
        <v>5.2556892513923454</v>
      </c>
      <c r="Q16" s="136">
        <f t="shared" si="9"/>
        <v>0.19435730431823431</v>
      </c>
      <c r="R16" s="156">
        <f t="shared" ca="1" si="4"/>
        <v>1.9435730431823433E-2</v>
      </c>
      <c r="S16" s="156">
        <f t="shared" ca="1" si="5"/>
        <v>3.1378530255718025E-2</v>
      </c>
      <c r="U16" s="50"/>
    </row>
    <row r="17" spans="2:21" x14ac:dyDescent="0.35">
      <c r="B17" s="56" t="s">
        <v>1</v>
      </c>
      <c r="C17" s="56" t="str" cm="1">
        <f t="array" ref="C17">_xll.FDS(B17,"FG_COMPANY_NAME")</f>
        <v>SPDR S&amp;P 500 ETF Trust</v>
      </c>
      <c r="D17" t="s">
        <v>720</v>
      </c>
      <c r="E17" s="136">
        <f>HLOOKUP(B17,'Monthly Returns'!$A$1:$N$139,139,FALSE)</f>
        <v>0.14619654434567095</v>
      </c>
      <c r="F17">
        <f ca="1">VLOOKUP(B17,OUTPUT_COUNTRY!$B$6:$N$18, 9, FALSE)</f>
        <v>57.099999999999994</v>
      </c>
      <c r="G17" s="47">
        <f>IFERROR(VLOOKUP(B17,OUTPUT_COUNTRY!$B$6:$N$18, 7, FALSE),0)</f>
        <v>71.399999999999991</v>
      </c>
      <c r="H17">
        <f>VLOOKUP(B17,OUTPUT_COUNTRY!$B$6:$N$18, 8, FALSE)</f>
        <v>7.1</v>
      </c>
      <c r="I17">
        <f>VLOOKUP(B17,OUTPUT_COUNTRY!$B$6:$N$18, 11, FALSE)</f>
        <v>78.5</v>
      </c>
      <c r="J17" s="47">
        <f t="shared" ca="1" si="0"/>
        <v>0</v>
      </c>
      <c r="K17" s="136">
        <f t="shared" ca="1" si="6"/>
        <v>0</v>
      </c>
      <c r="L17">
        <f t="shared" si="1"/>
        <v>6.8401069565336217</v>
      </c>
      <c r="M17" s="136">
        <f t="shared" si="7"/>
        <v>0.26915775953560966</v>
      </c>
      <c r="N17">
        <f t="shared" si="2"/>
        <v>0</v>
      </c>
      <c r="O17" s="136">
        <f t="shared" si="8"/>
        <v>0</v>
      </c>
      <c r="P17">
        <f t="shared" si="3"/>
        <v>6.8401069565336217</v>
      </c>
      <c r="Q17" s="136">
        <f t="shared" si="9"/>
        <v>0.25294964860566732</v>
      </c>
      <c r="R17" s="156">
        <f t="shared" ca="1" si="4"/>
        <v>0.10604229272124963</v>
      </c>
      <c r="S17" s="156">
        <f t="shared" ca="1" si="5"/>
        <v>0.17120279076783129</v>
      </c>
      <c r="U17" s="50"/>
    </row>
    <row r="18" spans="2:21" x14ac:dyDescent="0.35">
      <c r="B18" s="56" t="s">
        <v>865</v>
      </c>
      <c r="C18" s="56" t="str" cm="1">
        <f t="array" ref="C18">_xll.FDS(B18,"FG_COMPANY_NAME")</f>
        <v>iShares MSCI France ETF</v>
      </c>
      <c r="D18" t="s">
        <v>621</v>
      </c>
      <c r="E18" s="136">
        <f>HLOOKUP(B18,'Monthly Returns'!$A$1:$N$139,139,FALSE)</f>
        <v>0.18323336304928359</v>
      </c>
      <c r="F18">
        <f ca="1">VLOOKUP(B18,OUTPUT_COUNTRY!$B$6:$N$18, 9, FALSE)</f>
        <v>71.399999999999991</v>
      </c>
      <c r="G18" s="47">
        <f>IFERROR(VLOOKUP(B18,OUTPUT_COUNTRY!$B$6:$N$18, 7, FALSE),0)</f>
        <v>85.7</v>
      </c>
      <c r="H18">
        <f>VLOOKUP(B18,OUTPUT_COUNTRY!$B$6:$N$18, 8, FALSE)</f>
        <v>7.1</v>
      </c>
      <c r="I18">
        <f>VLOOKUP(B18,OUTPUT_COUNTRY!$B$6:$N$18, 11, FALSE)</f>
        <v>28.499999999999996</v>
      </c>
      <c r="J18" s="47">
        <f t="shared" ca="1" si="0"/>
        <v>5.4575213998066161</v>
      </c>
      <c r="K18" s="136">
        <f t="shared" ca="1" si="6"/>
        <v>0.25575715290629902</v>
      </c>
      <c r="L18">
        <f t="shared" si="1"/>
        <v>5.4575213998066161</v>
      </c>
      <c r="M18" s="136">
        <f t="shared" si="7"/>
        <v>0.21475310867565858</v>
      </c>
      <c r="N18">
        <f t="shared" si="2"/>
        <v>0</v>
      </c>
      <c r="O18" s="136">
        <f t="shared" si="8"/>
        <v>0</v>
      </c>
      <c r="P18">
        <f t="shared" si="3"/>
        <v>0</v>
      </c>
      <c r="Q18" s="136">
        <f t="shared" si="9"/>
        <v>0</v>
      </c>
      <c r="R18" s="156">
        <f t="shared" ca="1" si="4"/>
        <v>0.19230450905584709</v>
      </c>
      <c r="S18" s="156">
        <f t="shared" ca="1" si="5"/>
        <v>0.31047111282422613</v>
      </c>
    </row>
    <row r="19" spans="2:21" x14ac:dyDescent="0.35">
      <c r="B19" s="56" t="s">
        <v>867</v>
      </c>
      <c r="C19" s="56" t="str" cm="1">
        <f t="array" ref="C19">_xll.FDS(B19,"FG_COMPANY_NAME")</f>
        <v>iShares MSCI Netherlands ETF</v>
      </c>
      <c r="D19" t="s">
        <v>673</v>
      </c>
      <c r="E19" s="136">
        <f>HLOOKUP(B19,'Monthly Returns'!$A$1:$N$139,139,FALSE)</f>
        <v>0.19308857894120343</v>
      </c>
      <c r="F19">
        <f ca="1">VLOOKUP(B19,OUTPUT_COUNTRY!$B$6:$N$18, 9, FALSE)</f>
        <v>64.2</v>
      </c>
      <c r="G19" s="47">
        <f>IFERROR(VLOOKUP(B19,OUTPUT_COUNTRY!$B$6:$N$18, 7, FALSE),0)</f>
        <v>7.1</v>
      </c>
      <c r="H19">
        <f>VLOOKUP(B19,OUTPUT_COUNTRY!$B$6:$N$18, 8, FALSE)</f>
        <v>7.1</v>
      </c>
      <c r="I19">
        <f>VLOOKUP(B19,OUTPUT_COUNTRY!$B$6:$N$18, 11, FALSE)</f>
        <v>92.800000000000011</v>
      </c>
      <c r="J19" s="47">
        <f t="shared" ca="1" si="0"/>
        <v>0</v>
      </c>
      <c r="K19" s="136">
        <f t="shared" ca="1" si="6"/>
        <v>0</v>
      </c>
      <c r="L19">
        <f t="shared" si="1"/>
        <v>0</v>
      </c>
      <c r="M19" s="136">
        <f t="shared" si="7"/>
        <v>0</v>
      </c>
      <c r="N19">
        <f t="shared" si="2"/>
        <v>0</v>
      </c>
      <c r="O19" s="136">
        <f t="shared" si="8"/>
        <v>0</v>
      </c>
      <c r="P19">
        <f t="shared" si="3"/>
        <v>5.1789702191785549</v>
      </c>
      <c r="Q19" s="136">
        <f t="shared" si="9"/>
        <v>0.19152020654137739</v>
      </c>
      <c r="R19" s="156">
        <f t="shared" ca="1" si="4"/>
        <v>1.9152020654137739E-2</v>
      </c>
      <c r="S19" s="156">
        <f t="shared" ca="1" si="5"/>
        <v>3.0920487483712036E-2</v>
      </c>
    </row>
    <row r="20" spans="2:21" x14ac:dyDescent="0.35">
      <c r="B20" s="56" t="s">
        <v>864</v>
      </c>
      <c r="C20" s="56" t="str" cm="1">
        <f t="array" ref="C20">_xll.FDS(B20,"FG_COMPANY_NAME")</f>
        <v>iShares MSCI Sweden ETF</v>
      </c>
      <c r="D20" t="s">
        <v>705</v>
      </c>
      <c r="E20" s="136">
        <f>HLOOKUP(B20,'Monthly Returns'!$A$1:$N$139,139,FALSE)</f>
        <v>0.21540210967137091</v>
      </c>
      <c r="F20">
        <f ca="1">VLOOKUP(B20,OUTPUT_COUNTRY!$B$6:$N$18, 9, FALSE)</f>
        <v>50</v>
      </c>
      <c r="G20" s="47">
        <f>IFERROR(VLOOKUP(B20,OUTPUT_COUNTRY!$B$6:$N$18, 7, FALSE),0)</f>
        <v>50</v>
      </c>
      <c r="H20">
        <f>VLOOKUP(B20,OUTPUT_COUNTRY!$B$6:$N$18, 8, FALSE)</f>
        <v>78.5</v>
      </c>
      <c r="I20">
        <f>VLOOKUP(B20,OUTPUT_COUNTRY!$B$6:$N$18, 11, FALSE)</f>
        <v>21.4</v>
      </c>
      <c r="J20" s="47">
        <f t="shared" ca="1" si="0"/>
        <v>0</v>
      </c>
      <c r="K20" s="136">
        <f t="shared" ca="1" si="6"/>
        <v>0</v>
      </c>
      <c r="L20">
        <f t="shared" si="1"/>
        <v>0</v>
      </c>
      <c r="M20" s="136">
        <f t="shared" si="7"/>
        <v>0</v>
      </c>
      <c r="N20">
        <f t="shared" si="2"/>
        <v>4.6424800644972972</v>
      </c>
      <c r="O20" s="136">
        <f t="shared" si="8"/>
        <v>0.20980446319480059</v>
      </c>
      <c r="P20">
        <f t="shared" si="3"/>
        <v>0</v>
      </c>
      <c r="Q20" s="136">
        <f t="shared" si="9"/>
        <v>0</v>
      </c>
      <c r="R20" s="156">
        <f t="shared" ca="1" si="4"/>
        <v>2.098044631948006E-2</v>
      </c>
      <c r="S20" s="156">
        <f t="shared" ca="1" si="5"/>
        <v>3.3872437772461364E-2</v>
      </c>
    </row>
    <row r="21" spans="2:21" ht="15" thickBot="1" x14ac:dyDescent="0.4">
      <c r="B21" s="12" t="s">
        <v>866</v>
      </c>
      <c r="C21" s="12" t="str" cm="1">
        <f t="array" ref="C21">_xll.FDS(B21,"FG_COMPANY_NAME")</f>
        <v>iShares MSCI Italy ETF</v>
      </c>
      <c r="D21" s="13" t="s">
        <v>641</v>
      </c>
      <c r="E21" s="137">
        <f>HLOOKUP(B21,'Monthly Returns'!$A$1:$N$139,139,FALSE)</f>
        <v>0.21360253357770367</v>
      </c>
      <c r="F21" s="13">
        <f ca="1">VLOOKUP(B21,OUTPUT_COUNTRY!$B$6:$N$18, 9, FALSE)</f>
        <v>92.800000000000011</v>
      </c>
      <c r="G21" s="138">
        <f>IFERROR(VLOOKUP(B21,OUTPUT_COUNTRY!$B$6:$N$18, 7, FALSE),0)</f>
        <v>21.4</v>
      </c>
      <c r="H21" s="13">
        <f>VLOOKUP(B21,OUTPUT_COUNTRY!$B$6:$N$18, 8, FALSE)</f>
        <v>71.399999999999991</v>
      </c>
      <c r="I21" s="13">
        <f>VLOOKUP(B21,OUTPUT_COUNTRY!$B$6:$N$18, 11, FALSE)</f>
        <v>64.2</v>
      </c>
      <c r="J21" s="138">
        <f t="shared" ca="1" si="0"/>
        <v>4.6815924102146615</v>
      </c>
      <c r="K21" s="137">
        <f t="shared" ca="1" si="6"/>
        <v>0.21939460392160212</v>
      </c>
      <c r="L21" s="13">
        <f t="shared" si="1"/>
        <v>0</v>
      </c>
      <c r="M21" s="137">
        <f t="shared" si="7"/>
        <v>0</v>
      </c>
      <c r="N21" s="13">
        <f t="shared" si="2"/>
        <v>4.6815924102146615</v>
      </c>
      <c r="O21" s="137">
        <f t="shared" si="8"/>
        <v>0.21157204099449323</v>
      </c>
      <c r="P21" s="13">
        <f t="shared" si="3"/>
        <v>4.6815924102146615</v>
      </c>
      <c r="Q21" s="137">
        <f t="shared" si="9"/>
        <v>0.17312699386193248</v>
      </c>
      <c r="R21" s="157">
        <f t="shared" ca="1" si="4"/>
        <v>0.14816720544644366</v>
      </c>
      <c r="S21" s="157">
        <f t="shared" ca="1" si="5"/>
        <v>0.23921247288930589</v>
      </c>
    </row>
    <row r="22" spans="2:21" x14ac:dyDescent="0.35">
      <c r="J22" s="47">
        <f ca="1">SUM(J9:J21)</f>
        <v>21.338685302796094</v>
      </c>
      <c r="K22" s="169"/>
      <c r="L22">
        <f>SUM(L9:L21)</f>
        <v>25.41300302222449</v>
      </c>
      <c r="N22">
        <f>SUM(N9:N21)</f>
        <v>22.127651594269555</v>
      </c>
      <c r="P22">
        <f>SUM(P9:P21)</f>
        <v>27.041377579444358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16"/>
  <sheetViews>
    <sheetView tabSelected="1" topLeftCell="B1" zoomScale="95" zoomScaleNormal="95" workbookViewId="0">
      <selection activeCell="F35" sqref="F35"/>
    </sheetView>
  </sheetViews>
  <sheetFormatPr defaultRowHeight="14.5" x14ac:dyDescent="0.35"/>
  <cols>
    <col min="3" max="3" width="8.453125" bestFit="1" customWidth="1"/>
    <col min="4" max="4" width="34.453125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09" t="s">
        <v>544</v>
      </c>
      <c r="D2" s="209"/>
      <c r="E2" s="209" t="s">
        <v>778</v>
      </c>
      <c r="F2" s="209"/>
      <c r="G2" s="209"/>
      <c r="H2" s="215" t="s">
        <v>778</v>
      </c>
      <c r="I2" s="209" t="s">
        <v>546</v>
      </c>
      <c r="J2" s="209" t="s">
        <v>543</v>
      </c>
      <c r="K2" s="209" t="s">
        <v>549</v>
      </c>
      <c r="L2" s="209" t="s">
        <v>737</v>
      </c>
    </row>
    <row r="3" spans="3:12" x14ac:dyDescent="0.35">
      <c r="C3" s="203"/>
      <c r="D3" s="203"/>
      <c r="E3" s="152" t="s">
        <v>545</v>
      </c>
      <c r="F3" s="152" t="s">
        <v>547</v>
      </c>
      <c r="G3" s="152" t="s">
        <v>914</v>
      </c>
      <c r="H3" s="213"/>
      <c r="I3" s="203"/>
      <c r="J3" s="203"/>
      <c r="K3" s="203"/>
      <c r="L3" s="203"/>
    </row>
    <row r="4" spans="3:12" x14ac:dyDescent="0.35">
      <c r="C4" s="77" t="s">
        <v>42</v>
      </c>
      <c r="D4" s="166" t="str" cm="1">
        <f t="array" ref="D4">_xll.FDS(C4,"FG_COMPANY_NAME")</f>
        <v>iShares MSCI Switzerland ETF</v>
      </c>
      <c r="E4" s="153" t="str">
        <f>IF(VLOOKUP(C4,OUTPUT_COUNTRY!$B$6:$N$18,3,FALSE)&gt;75,"++",(IF(VLOOKUP(C4,OUTPUT_COUNTRY!$B$6:$N$18,3,FALSE)&gt;50,"+",(IF(VLOOKUP(C4,OUTPUT_COUNTRY!$B$6:$N$18,3,FALSE)&gt;25,"-","--")))))</f>
        <v>+</v>
      </c>
      <c r="F4" s="120" t="str">
        <f>IF(VLOOKUP(C4,OUTPUT_COUNTRY!$B$6:$N$18,4,FALSE)&gt;75,"++",(IF(VLOOKUP(C4,OUTPUT_COUNTRY!$B$6:$N$18,4,FALSE)&gt;50,"+",(IF(VLOOKUP(C4,OUTPUT_COUNTRY!$B$6:$N$18,4,FALSE)&gt;25,"-","--")))))</f>
        <v>++</v>
      </c>
      <c r="G4" s="153" t="str">
        <f>IF(VLOOKUP(C4,OUTPUT_COUNTRY!$B$6:$N$18,5,FALSE)&gt;75,"++",(IF(VLOOKUP(C4,OUTPUT_COUNTRY!$B$6:$N$18,5,FALSE)&gt;50,"+",(IF(VLOOKUP(C4,OUTPUT_COUNTRY!$B$6:$N$18,5,FALSE)&gt;25,"-","--")))))</f>
        <v>++</v>
      </c>
      <c r="H4" s="120" t="str">
        <f>IF(VLOOKUP(C4,OUTPUT_COUNTRY!$B$6:$N$18,7,FALSE)&gt;75,"++",(IF(VLOOKUP(C4,OUTPUT_COUNTRY!$B$6:$N$18,7,FALSE)&gt;50,"+",(IF(VLOOKUP(C4,OUTPUT_COUNTRY!$B$6:$N$18,7,FALSE)&gt;25,"-","--")))))</f>
        <v>++</v>
      </c>
      <c r="I4" s="153" t="str">
        <f>IF(VLOOKUP(C4,OUTPUT_COUNTRY!$B$6:$N$18,8,FALSE)&gt;75,"++",(IF(VLOOKUP(C4,OUTPUT_COUNTRY!$B$6:$N$18,8,FALSE)&gt;50,"+",(IF(VLOOKUP(C4,OUTPUT_COUNTRY!$B$6:$N$18,8,FALSE)&gt;25,"-","--")))))</f>
        <v>++</v>
      </c>
      <c r="J4" s="120" t="str">
        <f ca="1">IF(VLOOKUP(C4,OUTPUT_COUNTRY!$B$6:$N$18,9,FALSE)&gt;75,"++",(IF(VLOOKUP(C4,OUTPUT_COUNTRY!$B$6:$N$18,9,FALSE)&gt;50,"+",(IF(VLOOKUP(C4,OUTPUT_COUNTRY!$B$6:$N$18,9,FALSE)&gt;25,"-","--")))))</f>
        <v>--</v>
      </c>
      <c r="K4" s="153" t="str">
        <f>IF(VLOOKUP(C4,OUTPUT_COUNTRY!$B$6:$N$18,11,FALSE)&gt;75,"++",(IF(VLOOKUP(C4,OUTPUT_COUNTRY!$B$6:$N$18,11,FALSE)&gt;50,"+",(IF(VLOOKUP(C4,OUTPUT_COUNTRY!$B$6:$N$18,11,FALSE)&gt;25,"-","--")))))</f>
        <v>-</v>
      </c>
      <c r="L4" s="120" t="str">
        <f ca="1">IF(VLOOKUP(C4,OUTPUT_COUNTRY!$B$6:$N$18,13,FALSE)&gt;75,"++",(IF(VLOOKUP(C4,OUTPUT_COUNTRY!$B$6:$N$18,13,FALSE)&gt;50,"+",(IF(VLOOKUP(C4,OUTPUT_COUNTRY!$B$6:$N$18,13,FALSE)&gt;25,"-","--")))))</f>
        <v>++</v>
      </c>
    </row>
    <row r="5" spans="3:12" x14ac:dyDescent="0.35">
      <c r="C5" s="78" t="s">
        <v>46</v>
      </c>
      <c r="D5" s="167" t="str" cm="1">
        <f t="array" ref="D5">_xll.FDS(C5,"FG_COMPANY_NAME")</f>
        <v>iShares MSCI Japan ETF</v>
      </c>
      <c r="E5" s="159" t="str">
        <f>IF(VLOOKUP(C5,OUTPUT_COUNTRY!$B$6:$N$18,3,FALSE)&gt;75,"++",(IF(VLOOKUP(C5,OUTPUT_COUNTRY!$B$6:$N$18,3,FALSE)&gt;50,"+",(IF(VLOOKUP(C5,OUTPUT_COUNTRY!$B$6:$N$18,3,FALSE)&gt;25,"-","--")))))</f>
        <v>-</v>
      </c>
      <c r="F5" s="121" t="str">
        <f>IF(VLOOKUP(C5,OUTPUT_COUNTRY!$B$6:$N$18,4,FALSE)&gt;75,"++",(IF(VLOOKUP(C5,OUTPUT_COUNTRY!$B$6:$N$18,4,FALSE)&gt;50,"+",(IF(VLOOKUP(C5,OUTPUT_COUNTRY!$B$6:$N$18,4,FALSE)&gt;25,"-","--")))))</f>
        <v>+</v>
      </c>
      <c r="G5" s="159" t="str">
        <f>IF(VLOOKUP(C5,OUTPUT_COUNTRY!$B$6:$N$18,5,FALSE)&gt;75,"++",(IF(VLOOKUP(C5,OUTPUT_COUNTRY!$B$6:$N$18,5,FALSE)&gt;50,"+",(IF(VLOOKUP(C5,OUTPUT_COUNTRY!$B$6:$N$18,5,FALSE)&gt;25,"-","--")))))</f>
        <v>+</v>
      </c>
      <c r="H5" s="121" t="str">
        <f>IF(VLOOKUP(C5,OUTPUT_COUNTRY!$B$6:$N$18,7,FALSE)&gt;75,"++",(IF(VLOOKUP(C5,OUTPUT_COUNTRY!$B$6:$N$18,7,FALSE)&gt;50,"+",(IF(VLOOKUP(C5,OUTPUT_COUNTRY!$B$6:$N$18,7,FALSE)&gt;25,"-","--")))))</f>
        <v>+</v>
      </c>
      <c r="I5" s="159" t="str">
        <f>IF(VLOOKUP(C5,OUTPUT_COUNTRY!$B$6:$N$18,8,FALSE)&gt;75,"++",(IF(VLOOKUP(C5,OUTPUT_COUNTRY!$B$6:$N$18,8,FALSE)&gt;50,"+",(IF(VLOOKUP(C5,OUTPUT_COUNTRY!$B$6:$N$18,8,FALSE)&gt;25,"-","--")))))</f>
        <v>--</v>
      </c>
      <c r="J5" s="121" t="str">
        <f ca="1">IF(VLOOKUP(C5,OUTPUT_COUNTRY!$B$6:$N$18,9,FALSE)&gt;75,"++",(IF(VLOOKUP(C5,OUTPUT_COUNTRY!$B$6:$N$18,9,FALSE)&gt;50,"+",(IF(VLOOKUP(C5,OUTPUT_COUNTRY!$B$6:$N$18,9,FALSE)&gt;25,"-","--")))))</f>
        <v>--</v>
      </c>
      <c r="K5" s="159" t="str">
        <f>IF(VLOOKUP(C5,OUTPUT_COUNTRY!$B$6:$N$18,11,FALSE)&gt;75,"++",(IF(VLOOKUP(C5,OUTPUT_COUNTRY!$B$6:$N$18,11,FALSE)&gt;50,"+",(IF(VLOOKUP(C5,OUTPUT_COUNTRY!$B$6:$N$18,11,FALSE)&gt;25,"-","--")))))</f>
        <v>--</v>
      </c>
      <c r="L5" s="121" t="str">
        <f ca="1">IF(VLOOKUP(C5,OUTPUT_COUNTRY!$B$6:$N$18,13,FALSE)&gt;75,"++",(IF(VLOOKUP(C5,OUTPUT_COUNTRY!$B$6:$N$18,13,FALSE)&gt;50,"+",(IF(VLOOKUP(C5,OUTPUT_COUNTRY!$B$6:$N$18,13,FALSE)&gt;25,"-","--")))))</f>
        <v>--</v>
      </c>
    </row>
    <row r="6" spans="3:12" x14ac:dyDescent="0.35">
      <c r="C6" s="78" t="s">
        <v>51</v>
      </c>
      <c r="D6" s="167" t="str" cm="1">
        <f t="array" ref="D6">_xll.FDS(C6,"FG_COMPANY_NAME")</f>
        <v>Invesco QQQ Trust Series I</v>
      </c>
      <c r="E6" s="159" t="str">
        <f>IF(VLOOKUP(C6,OUTPUT_COUNTRY!$B$6:$N$18,3,FALSE)&gt;75,"++",(IF(VLOOKUP(C6,OUTPUT_COUNTRY!$B$6:$N$18,3,FALSE)&gt;50,"+",(IF(VLOOKUP(C6,OUTPUT_COUNTRY!$B$6:$N$18,3,FALSE)&gt;25,"-","--")))))</f>
        <v>--</v>
      </c>
      <c r="F6" s="121" t="str">
        <f>IF(VLOOKUP(C6,OUTPUT_COUNTRY!$B$6:$N$18,4,FALSE)&gt;75,"++",(IF(VLOOKUP(C6,OUTPUT_COUNTRY!$B$6:$N$18,4,FALSE)&gt;50,"+",(IF(VLOOKUP(C6,OUTPUT_COUNTRY!$B$6:$N$18,4,FALSE)&gt;25,"-","--")))))</f>
        <v>++</v>
      </c>
      <c r="G6" s="159" t="str">
        <f>IF(VLOOKUP(C6,OUTPUT_COUNTRY!$B$6:$N$18,5,FALSE)&gt;75,"++",(IF(VLOOKUP(C6,OUTPUT_COUNTRY!$B$6:$N$18,5,FALSE)&gt;50,"+",(IF(VLOOKUP(C6,OUTPUT_COUNTRY!$B$6:$N$18,5,FALSE)&gt;25,"-","--")))))</f>
        <v>-</v>
      </c>
      <c r="H6" s="121" t="str">
        <f>IF(VLOOKUP(C6,OUTPUT_COUNTRY!$B$6:$N$18,7,FALSE)&gt;75,"++",(IF(VLOOKUP(C6,OUTPUT_COUNTRY!$B$6:$N$18,7,FALSE)&gt;50,"+",(IF(VLOOKUP(C6,OUTPUT_COUNTRY!$B$6:$N$18,7,FALSE)&gt;25,"-","--")))))</f>
        <v>-</v>
      </c>
      <c r="I6" s="159" t="str">
        <f>IF(VLOOKUP(C6,OUTPUT_COUNTRY!$B$6:$N$18,8,FALSE)&gt;75,"++",(IF(VLOOKUP(C6,OUTPUT_COUNTRY!$B$6:$N$18,8,FALSE)&gt;50,"+",(IF(VLOOKUP(C6,OUTPUT_COUNTRY!$B$6:$N$18,8,FALSE)&gt;25,"-","--")))))</f>
        <v>--</v>
      </c>
      <c r="J6" s="121" t="str">
        <f ca="1">IF(VLOOKUP(C6,OUTPUT_COUNTRY!$B$6:$N$18,9,FALSE)&gt;75,"++",(IF(VLOOKUP(C6,OUTPUT_COUNTRY!$B$6:$N$18,9,FALSE)&gt;50,"+",(IF(VLOOKUP(C6,OUTPUT_COUNTRY!$B$6:$N$18,9,FALSE)&gt;25,"-","--")))))</f>
        <v>-</v>
      </c>
      <c r="K6" s="159" t="str">
        <f>IF(VLOOKUP(C6,OUTPUT_COUNTRY!$B$6:$N$18,11,FALSE)&gt;75,"++",(IF(VLOOKUP(C6,OUTPUT_COUNTRY!$B$6:$N$18,11,FALSE)&gt;50,"+",(IF(VLOOKUP(C6,OUTPUT_COUNTRY!$B$6:$N$18,11,FALSE)&gt;25,"-","--")))))</f>
        <v>++</v>
      </c>
      <c r="L6" s="121" t="str">
        <f ca="1">IF(VLOOKUP(C6,OUTPUT_COUNTRY!$B$6:$N$18,13,FALSE)&gt;75,"++",(IF(VLOOKUP(C6,OUTPUT_COUNTRY!$B$6:$N$18,13,FALSE)&gt;50,"+",(IF(VLOOKUP(C6,OUTPUT_COUNTRY!$B$6:$N$18,13,FALSE)&gt;25,"-","--")))))</f>
        <v>-</v>
      </c>
    </row>
    <row r="7" spans="3:12" x14ac:dyDescent="0.35">
      <c r="C7" s="78" t="s">
        <v>1</v>
      </c>
      <c r="D7" s="167" t="str" cm="1">
        <f t="array" ref="D7">_xll.FDS(C7,"FG_COMPANY_NAME")</f>
        <v>SPDR S&amp;P 500 ETF Trust</v>
      </c>
      <c r="E7" s="159" t="str">
        <f>IF(VLOOKUP(C7,OUTPUT_COUNTRY!$B$6:$N$18,3,FALSE)&gt;75,"++",(IF(VLOOKUP(C7,OUTPUT_COUNTRY!$B$6:$N$18,3,FALSE)&gt;50,"+",(IF(VLOOKUP(C7,OUTPUT_COUNTRY!$B$6:$N$18,3,FALSE)&gt;25,"-","--")))))</f>
        <v>-</v>
      </c>
      <c r="F7" s="121" t="str">
        <f>IF(VLOOKUP(C7,OUTPUT_COUNTRY!$B$6:$N$18,4,FALSE)&gt;75,"++",(IF(VLOOKUP(C7,OUTPUT_COUNTRY!$B$6:$N$18,4,FALSE)&gt;50,"+",(IF(VLOOKUP(C7,OUTPUT_COUNTRY!$B$6:$N$18,4,FALSE)&gt;25,"-","--")))))</f>
        <v>++</v>
      </c>
      <c r="G7" s="159" t="str">
        <f>IF(VLOOKUP(C7,OUTPUT_COUNTRY!$B$6:$N$18,5,FALSE)&gt;75,"++",(IF(VLOOKUP(C7,OUTPUT_COUNTRY!$B$6:$N$18,5,FALSE)&gt;50,"+",(IF(VLOOKUP(C7,OUTPUT_COUNTRY!$B$6:$N$18,5,FALSE)&gt;25,"-","--")))))</f>
        <v>-</v>
      </c>
      <c r="H7" s="121" t="str">
        <f>IF(VLOOKUP(C7,OUTPUT_COUNTRY!$B$6:$N$18,7,FALSE)&gt;75,"++",(IF(VLOOKUP(C7,OUTPUT_COUNTRY!$B$6:$N$18,7,FALSE)&gt;50,"+",(IF(VLOOKUP(C7,OUTPUT_COUNTRY!$B$6:$N$18,7,FALSE)&gt;25,"-","--")))))</f>
        <v>+</v>
      </c>
      <c r="I7" s="159" t="str">
        <f>IF(VLOOKUP(C7,OUTPUT_COUNTRY!$B$6:$N$18,8,FALSE)&gt;75,"++",(IF(VLOOKUP(C7,OUTPUT_COUNTRY!$B$6:$N$18,8,FALSE)&gt;50,"+",(IF(VLOOKUP(C7,OUTPUT_COUNTRY!$B$6:$N$18,8,FALSE)&gt;25,"-","--")))))</f>
        <v>--</v>
      </c>
      <c r="J7" s="121" t="str">
        <f ca="1">IF(VLOOKUP(C7,OUTPUT_COUNTRY!$B$6:$N$18,9,FALSE)&gt;75,"++",(IF(VLOOKUP(C7,OUTPUT_COUNTRY!$B$6:$N$18,9,FALSE)&gt;50,"+",(IF(VLOOKUP(C7,OUTPUT_COUNTRY!$B$6:$N$18,9,FALSE)&gt;25,"-","--")))))</f>
        <v>+</v>
      </c>
      <c r="K7" s="159" t="str">
        <f>IF(VLOOKUP(C7,OUTPUT_COUNTRY!$B$6:$N$18,11,FALSE)&gt;75,"++",(IF(VLOOKUP(C7,OUTPUT_COUNTRY!$B$6:$N$18,11,FALSE)&gt;50,"+",(IF(VLOOKUP(C7,OUTPUT_COUNTRY!$B$6:$N$18,11,FALSE)&gt;25,"-","--")))))</f>
        <v>++</v>
      </c>
      <c r="L7" s="121" t="str">
        <f ca="1">IF(VLOOKUP(C7,OUTPUT_COUNTRY!$B$6:$N$18,13,FALSE)&gt;75,"++",(IF(VLOOKUP(C7,OUTPUT_COUNTRY!$B$6:$N$18,13,FALSE)&gt;50,"+",(IF(VLOOKUP(C7,OUTPUT_COUNTRY!$B$6:$N$18,13,FALSE)&gt;25,"-","--")))))</f>
        <v>-</v>
      </c>
    </row>
    <row r="8" spans="3:12" x14ac:dyDescent="0.35">
      <c r="C8" s="78" t="s">
        <v>11</v>
      </c>
      <c r="D8" s="167" t="str" cm="1">
        <f t="array" ref="D8">_xll.FDS(C8,"FG_COMPANY_NAME")</f>
        <v>iShares MSCI Germany ETF</v>
      </c>
      <c r="E8" s="159" t="str">
        <f>IF(VLOOKUP(C8,OUTPUT_COUNTRY!$B$6:$N$18,3,FALSE)&gt;75,"++",(IF(VLOOKUP(C8,OUTPUT_COUNTRY!$B$6:$N$18,3,FALSE)&gt;50,"+",(IF(VLOOKUP(C8,OUTPUT_COUNTRY!$B$6:$N$18,3,FALSE)&gt;25,"-","--")))))</f>
        <v>++</v>
      </c>
      <c r="F8" s="121" t="str">
        <f>IF(VLOOKUP(C8,OUTPUT_COUNTRY!$B$6:$N$18,4,FALSE)&gt;75,"++",(IF(VLOOKUP(C8,OUTPUT_COUNTRY!$B$6:$N$18,4,FALSE)&gt;50,"+",(IF(VLOOKUP(C8,OUTPUT_COUNTRY!$B$6:$N$18,4,FALSE)&gt;25,"-","--")))))</f>
        <v>-</v>
      </c>
      <c r="G8" s="159" t="str">
        <f>IF(VLOOKUP(C8,OUTPUT_COUNTRY!$B$6:$N$18,5,FALSE)&gt;75,"++",(IF(VLOOKUP(C8,OUTPUT_COUNTRY!$B$6:$N$18,5,FALSE)&gt;50,"+",(IF(VLOOKUP(C8,OUTPUT_COUNTRY!$B$6:$N$18,5,FALSE)&gt;25,"-","--")))))</f>
        <v>-</v>
      </c>
      <c r="H8" s="121" t="str">
        <f>IF(VLOOKUP(C8,OUTPUT_COUNTRY!$B$6:$N$18,7,FALSE)&gt;75,"++",(IF(VLOOKUP(C8,OUTPUT_COUNTRY!$B$6:$N$18,7,FALSE)&gt;50,"+",(IF(VLOOKUP(C8,OUTPUT_COUNTRY!$B$6:$N$18,7,FALSE)&gt;25,"-","--")))))</f>
        <v>-</v>
      </c>
      <c r="I8" s="159" t="str">
        <f>IF(VLOOKUP(C8,OUTPUT_COUNTRY!$B$6:$N$18,8,FALSE)&gt;75,"++",(IF(VLOOKUP(C8,OUTPUT_COUNTRY!$B$6:$N$18,8,FALSE)&gt;50,"+",(IF(VLOOKUP(C8,OUTPUT_COUNTRY!$B$6:$N$18,8,FALSE)&gt;25,"-","--")))))</f>
        <v>--</v>
      </c>
      <c r="J8" s="121" t="str">
        <f ca="1">IF(VLOOKUP(C8,OUTPUT_COUNTRY!$B$6:$N$18,9,FALSE)&gt;75,"++",(IF(VLOOKUP(C8,OUTPUT_COUNTRY!$B$6:$N$18,9,FALSE)&gt;50,"+",(IF(VLOOKUP(C8,OUTPUT_COUNTRY!$B$6:$N$18,9,FALSE)&gt;25,"-","--")))))</f>
        <v>++</v>
      </c>
      <c r="K8" s="159" t="str">
        <f>IF(VLOOKUP(C8,OUTPUT_COUNTRY!$B$6:$N$18,11,FALSE)&gt;75,"++",(IF(VLOOKUP(C8,OUTPUT_COUNTRY!$B$6:$N$18,11,FALSE)&gt;50,"+",(IF(VLOOKUP(C8,OUTPUT_COUNTRY!$B$6:$N$18,11,FALSE)&gt;25,"-","--")))))</f>
        <v>+</v>
      </c>
      <c r="L8" s="121" t="str">
        <f ca="1">IF(VLOOKUP(C8,OUTPUT_COUNTRY!$B$6:$N$18,13,FALSE)&gt;75,"++",(IF(VLOOKUP(C8,OUTPUT_COUNTRY!$B$6:$N$18,13,FALSE)&gt;50,"+",(IF(VLOOKUP(C8,OUTPUT_COUNTRY!$B$6:$N$18,13,FALSE)&gt;25,"-","--")))))</f>
        <v>++</v>
      </c>
    </row>
    <row r="9" spans="3:12" x14ac:dyDescent="0.35">
      <c r="C9" s="78" t="s">
        <v>48</v>
      </c>
      <c r="D9" s="167" t="str" cm="1">
        <f t="array" ref="D9">_xll.FDS(C9,"FG_COMPANY_NAME")</f>
        <v>iShares MSCI United Kingdom ETF</v>
      </c>
      <c r="E9" s="159" t="str">
        <f>IF(VLOOKUP(C9,OUTPUT_COUNTRY!$B$6:$N$18,3,FALSE)&gt;75,"++",(IF(VLOOKUP(C9,OUTPUT_COUNTRY!$B$6:$N$18,3,FALSE)&gt;50,"+",(IF(VLOOKUP(C9,OUTPUT_COUNTRY!$B$6:$N$18,3,FALSE)&gt;25,"-","--")))))</f>
        <v>++</v>
      </c>
      <c r="F9" s="121" t="str">
        <f>IF(VLOOKUP(C9,OUTPUT_COUNTRY!$B$6:$N$18,4,FALSE)&gt;75,"++",(IF(VLOOKUP(C9,OUTPUT_COUNTRY!$B$6:$N$18,4,FALSE)&gt;50,"+",(IF(VLOOKUP(C9,OUTPUT_COUNTRY!$B$6:$N$18,4,FALSE)&gt;25,"-","--")))))</f>
        <v>+</v>
      </c>
      <c r="G9" s="159" t="str">
        <f>IF(VLOOKUP(C9,OUTPUT_COUNTRY!$B$6:$N$18,5,FALSE)&gt;75,"++",(IF(VLOOKUP(C9,OUTPUT_COUNTRY!$B$6:$N$18,5,FALSE)&gt;50,"+",(IF(VLOOKUP(C9,OUTPUT_COUNTRY!$B$6:$N$18,5,FALSE)&gt;25,"-","--")))))</f>
        <v>--</v>
      </c>
      <c r="H9" s="121" t="str">
        <f>IF(VLOOKUP(C9,OUTPUT_COUNTRY!$B$6:$N$18,7,FALSE)&gt;75,"++",(IF(VLOOKUP(C9,OUTPUT_COUNTRY!$B$6:$N$18,7,FALSE)&gt;50,"+",(IF(VLOOKUP(C9,OUTPUT_COUNTRY!$B$6:$N$18,7,FALSE)&gt;25,"-","--")))))</f>
        <v>+</v>
      </c>
      <c r="I9" s="159" t="str">
        <f>IF(VLOOKUP(C9,OUTPUT_COUNTRY!$B$6:$N$18,8,FALSE)&gt;75,"++",(IF(VLOOKUP(C9,OUTPUT_COUNTRY!$B$6:$N$18,8,FALSE)&gt;50,"+",(IF(VLOOKUP(C9,OUTPUT_COUNTRY!$B$6:$N$18,8,FALSE)&gt;25,"-","--")))))</f>
        <v>--</v>
      </c>
      <c r="J9" s="121" t="str">
        <f ca="1">IF(VLOOKUP(C9,OUTPUT_COUNTRY!$B$6:$N$18,9,FALSE)&gt;75,"++",(IF(VLOOKUP(C9,OUTPUT_COUNTRY!$B$6:$N$18,9,FALSE)&gt;50,"+",(IF(VLOOKUP(C9,OUTPUT_COUNTRY!$B$6:$N$18,9,FALSE)&gt;25,"-","--")))))</f>
        <v>++</v>
      </c>
      <c r="K9" s="159" t="str">
        <f>IF(VLOOKUP(C9,OUTPUT_COUNTRY!$B$6:$N$18,11,FALSE)&gt;75,"++",(IF(VLOOKUP(C9,OUTPUT_COUNTRY!$B$6:$N$18,11,FALSE)&gt;50,"+",(IF(VLOOKUP(C9,OUTPUT_COUNTRY!$B$6:$N$18,11,FALSE)&gt;25,"-","--")))))</f>
        <v>-</v>
      </c>
      <c r="L9" s="121" t="str">
        <f ca="1">IF(VLOOKUP(C9,OUTPUT_COUNTRY!$B$6:$N$18,13,FALSE)&gt;75,"++",(IF(VLOOKUP(C9,OUTPUT_COUNTRY!$B$6:$N$18,13,FALSE)&gt;50,"+",(IF(VLOOKUP(C9,OUTPUT_COUNTRY!$B$6:$N$18,13,FALSE)&gt;25,"-","--")))))</f>
        <v>+</v>
      </c>
    </row>
    <row r="10" spans="3:12" x14ac:dyDescent="0.35">
      <c r="C10" s="78" t="s">
        <v>49</v>
      </c>
      <c r="D10" s="167" t="str" cm="1">
        <f t="array" ref="D10">_xll.FDS(C10,"FG_COMPANY_NAME")</f>
        <v>iShares MSCI Canada ETF</v>
      </c>
      <c r="E10" s="159" t="str">
        <f>IF(VLOOKUP(C10,OUTPUT_COUNTRY!$B$6:$N$18,3,FALSE)&gt;75,"++",(IF(VLOOKUP(C10,OUTPUT_COUNTRY!$B$6:$N$18,3,FALSE)&gt;50,"+",(IF(VLOOKUP(C10,OUTPUT_COUNTRY!$B$6:$N$18,3,FALSE)&gt;25,"-","--")))))</f>
        <v>-</v>
      </c>
      <c r="F10" s="121" t="str">
        <f>IF(VLOOKUP(C10,OUTPUT_COUNTRY!$B$6:$N$18,4,FALSE)&gt;75,"++",(IF(VLOOKUP(C10,OUTPUT_COUNTRY!$B$6:$N$18,4,FALSE)&gt;50,"+",(IF(VLOOKUP(C10,OUTPUT_COUNTRY!$B$6:$N$18,4,FALSE)&gt;25,"-","--")))))</f>
        <v>-</v>
      </c>
      <c r="G10" s="159" t="str">
        <f>IF(VLOOKUP(C10,OUTPUT_COUNTRY!$B$6:$N$18,5,FALSE)&gt;75,"++",(IF(VLOOKUP(C10,OUTPUT_COUNTRY!$B$6:$N$18,5,FALSE)&gt;50,"+",(IF(VLOOKUP(C10,OUTPUT_COUNTRY!$B$6:$N$18,5,FALSE)&gt;25,"-","--")))))</f>
        <v>+</v>
      </c>
      <c r="H10" s="121" t="str">
        <f>IF(VLOOKUP(C10,OUTPUT_COUNTRY!$B$6:$N$18,7,FALSE)&gt;75,"++",(IF(VLOOKUP(C10,OUTPUT_COUNTRY!$B$6:$N$18,7,FALSE)&gt;50,"+",(IF(VLOOKUP(C10,OUTPUT_COUNTRY!$B$6:$N$18,7,FALSE)&gt;25,"-","--")))))</f>
        <v>+</v>
      </c>
      <c r="I10" s="159" t="str">
        <f>IF(VLOOKUP(C10,OUTPUT_COUNTRY!$B$6:$N$18,8,FALSE)&gt;75,"++",(IF(VLOOKUP(C10,OUTPUT_COUNTRY!$B$6:$N$18,8,FALSE)&gt;50,"+",(IF(VLOOKUP(C10,OUTPUT_COUNTRY!$B$6:$N$18,8,FALSE)&gt;25,"-","--")))))</f>
        <v>--</v>
      </c>
      <c r="J10" s="121" t="str">
        <f ca="1">IF(VLOOKUP(C10,OUTPUT_COUNTRY!$B$6:$N$18,9,FALSE)&gt;75,"++",(IF(VLOOKUP(C10,OUTPUT_COUNTRY!$B$6:$N$18,9,FALSE)&gt;50,"+",(IF(VLOOKUP(C10,OUTPUT_COUNTRY!$B$6:$N$18,9,FALSE)&gt;25,"-","--")))))</f>
        <v>-</v>
      </c>
      <c r="K10" s="159" t="str">
        <f>IF(VLOOKUP(C10,OUTPUT_COUNTRY!$B$6:$N$18,11,FALSE)&gt;75,"++",(IF(VLOOKUP(C10,OUTPUT_COUNTRY!$B$6:$N$18,11,FALSE)&gt;50,"+",(IF(VLOOKUP(C10,OUTPUT_COUNTRY!$B$6:$N$18,11,FALSE)&gt;25,"-","--")))))</f>
        <v>-</v>
      </c>
      <c r="L10" s="121" t="str">
        <f ca="1">IF(VLOOKUP(C10,OUTPUT_COUNTRY!$B$6:$N$18,13,FALSE)&gt;75,"++",(IF(VLOOKUP(C10,OUTPUT_COUNTRY!$B$6:$N$18,13,FALSE)&gt;50,"+",(IF(VLOOKUP(C10,OUTPUT_COUNTRY!$B$6:$N$18,13,FALSE)&gt;25,"-","--")))))</f>
        <v>-</v>
      </c>
    </row>
    <row r="11" spans="3:12" x14ac:dyDescent="0.35">
      <c r="C11" s="78" t="s">
        <v>44</v>
      </c>
      <c r="D11" s="167" t="str" cm="1">
        <f t="array" ref="D11">_xll.FDS(C11,"FG_COMPANY_NAME")</f>
        <v>iShares MSCI Australia ETF</v>
      </c>
      <c r="E11" s="159" t="str">
        <f>IF(VLOOKUP(C11,OUTPUT_COUNTRY!$B$6:$N$18,3,FALSE)&gt;75,"++",(IF(VLOOKUP(C11,OUTPUT_COUNTRY!$B$6:$N$18,3,FALSE)&gt;50,"+",(IF(VLOOKUP(C11,OUTPUT_COUNTRY!$B$6:$N$18,3,FALSE)&gt;25,"-","--")))))</f>
        <v>--</v>
      </c>
      <c r="F11" s="121" t="str">
        <f>IF(VLOOKUP(C11,OUTPUT_COUNTRY!$B$6:$N$18,4,FALSE)&gt;75,"++",(IF(VLOOKUP(C11,OUTPUT_COUNTRY!$B$6:$N$18,4,FALSE)&gt;50,"+",(IF(VLOOKUP(C11,OUTPUT_COUNTRY!$B$6:$N$18,4,FALSE)&gt;25,"-","--")))))</f>
        <v>--</v>
      </c>
      <c r="G11" s="159" t="str">
        <f>IF(VLOOKUP(C11,OUTPUT_COUNTRY!$B$6:$N$18,5,FALSE)&gt;75,"++",(IF(VLOOKUP(C11,OUTPUT_COUNTRY!$B$6:$N$18,5,FALSE)&gt;50,"+",(IF(VLOOKUP(C11,OUTPUT_COUNTRY!$B$6:$N$18,5,FALSE)&gt;25,"-","--")))))</f>
        <v>+</v>
      </c>
      <c r="H11" s="121" t="str">
        <f>IF(VLOOKUP(C11,OUTPUT_COUNTRY!$B$6:$N$18,7,FALSE)&gt;75,"++",(IF(VLOOKUP(C11,OUTPUT_COUNTRY!$B$6:$N$18,7,FALSE)&gt;50,"+",(IF(VLOOKUP(C11,OUTPUT_COUNTRY!$B$6:$N$18,7,FALSE)&gt;25,"-","--")))))</f>
        <v>--</v>
      </c>
      <c r="I11" s="159" t="str">
        <f>IF(VLOOKUP(C11,OUTPUT_COUNTRY!$B$6:$N$18,8,FALSE)&gt;75,"++",(IF(VLOOKUP(C11,OUTPUT_COUNTRY!$B$6:$N$18,8,FALSE)&gt;50,"+",(IF(VLOOKUP(C11,OUTPUT_COUNTRY!$B$6:$N$18,8,FALSE)&gt;25,"-","--")))))</f>
        <v>--</v>
      </c>
      <c r="J11" s="121" t="str">
        <f ca="1">IF(VLOOKUP(C11,OUTPUT_COUNTRY!$B$6:$N$18,9,FALSE)&gt;75,"++",(IF(VLOOKUP(C11,OUTPUT_COUNTRY!$B$6:$N$18,9,FALSE)&gt;50,"+",(IF(VLOOKUP(C11,OUTPUT_COUNTRY!$B$6:$N$18,9,FALSE)&gt;25,"-","--")))))</f>
        <v>-</v>
      </c>
      <c r="K11" s="159" t="str">
        <f>IF(VLOOKUP(C11,OUTPUT_COUNTRY!$B$6:$N$18,11,FALSE)&gt;75,"++",(IF(VLOOKUP(C11,OUTPUT_COUNTRY!$B$6:$N$18,11,FALSE)&gt;50,"+",(IF(VLOOKUP(C11,OUTPUT_COUNTRY!$B$6:$N$18,11,FALSE)&gt;25,"-","--")))))</f>
        <v>+</v>
      </c>
      <c r="L11" s="121" t="str">
        <f ca="1">IF(VLOOKUP(C11,OUTPUT_COUNTRY!$B$6:$N$18,13,FALSE)&gt;75,"++",(IF(VLOOKUP(C11,OUTPUT_COUNTRY!$B$6:$N$18,13,FALSE)&gt;50,"+",(IF(VLOOKUP(C11,OUTPUT_COUNTRY!$B$6:$N$18,13,FALSE)&gt;25,"-","--")))))</f>
        <v>--</v>
      </c>
    </row>
    <row r="12" spans="3:12" x14ac:dyDescent="0.35">
      <c r="C12" s="78" t="s">
        <v>431</v>
      </c>
      <c r="D12" s="167" t="str" cm="1">
        <f t="array" ref="D12">_xll.FDS(C12,"FG_COMPANY_NAME")</f>
        <v>iShares MSCI New Zealand ETF</v>
      </c>
      <c r="E12" s="159" t="str">
        <f>IF(VLOOKUP(C12,OUTPUT_COUNTRY!$B$6:$N$18,3,FALSE)&gt;75,"++",(IF(VLOOKUP(C12,OUTPUT_COUNTRY!$B$6:$N$18,3,FALSE)&gt;50,"+",(IF(VLOOKUP(C12,OUTPUT_COUNTRY!$B$6:$N$18,3,FALSE)&gt;25,"-","--")))))</f>
        <v>--</v>
      </c>
      <c r="F12" s="121" t="str">
        <f>IF(VLOOKUP(C12,OUTPUT_COUNTRY!$B$6:$N$18,4,FALSE)&gt;75,"++",(IF(VLOOKUP(C12,OUTPUT_COUNTRY!$B$6:$N$18,4,FALSE)&gt;50,"+",(IF(VLOOKUP(C12,OUTPUT_COUNTRY!$B$6:$N$18,4,FALSE)&gt;25,"-","--")))))</f>
        <v>--</v>
      </c>
      <c r="G12" s="159" t="str">
        <f>IF(VLOOKUP(C12,OUTPUT_COUNTRY!$B$6:$N$18,5,FALSE)&gt;75,"++",(IF(VLOOKUP(C12,OUTPUT_COUNTRY!$B$6:$N$18,5,FALSE)&gt;50,"+",(IF(VLOOKUP(C12,OUTPUT_COUNTRY!$B$6:$N$18,5,FALSE)&gt;25,"-","--")))))</f>
        <v>++</v>
      </c>
      <c r="H12" s="121" t="str">
        <f>IF(VLOOKUP(C12,OUTPUT_COUNTRY!$B$6:$N$18,7,FALSE)&gt;75,"++",(IF(VLOOKUP(C12,OUTPUT_COUNTRY!$B$6:$N$18,7,FALSE)&gt;50,"+",(IF(VLOOKUP(C12,OUTPUT_COUNTRY!$B$6:$N$18,7,FALSE)&gt;25,"-","--")))))</f>
        <v>-</v>
      </c>
      <c r="I12" s="159" t="str">
        <f>IF(VLOOKUP(C12,OUTPUT_COUNTRY!$B$6:$N$18,8,FALSE)&gt;75,"++",(IF(VLOOKUP(C12,OUTPUT_COUNTRY!$B$6:$N$18,8,FALSE)&gt;50,"+",(IF(VLOOKUP(C12,OUTPUT_COUNTRY!$B$6:$N$18,8,FALSE)&gt;25,"-","--")))))</f>
        <v>++</v>
      </c>
      <c r="J12" s="121" t="str">
        <f ca="1">IF(VLOOKUP(C12,OUTPUT_COUNTRY!$B$6:$N$18,9,FALSE)&gt;75,"++",(IF(VLOOKUP(C12,OUTPUT_COUNTRY!$B$6:$N$18,9,FALSE)&gt;50,"+",(IF(VLOOKUP(C12,OUTPUT_COUNTRY!$B$6:$N$18,9,FALSE)&gt;25,"-","--")))))</f>
        <v>--</v>
      </c>
      <c r="K12" s="159" t="str">
        <f>IF(VLOOKUP(C12,OUTPUT_COUNTRY!$B$6:$N$18,11,FALSE)&gt;75,"++",(IF(VLOOKUP(C12,OUTPUT_COUNTRY!$B$6:$N$18,11,FALSE)&gt;50,"+",(IF(VLOOKUP(C12,OUTPUT_COUNTRY!$B$6:$N$18,11,FALSE)&gt;25,"-","--")))))</f>
        <v>--</v>
      </c>
      <c r="L12" s="121" t="str">
        <f ca="1">IF(VLOOKUP(C12,OUTPUT_COUNTRY!$B$6:$N$18,13,FALSE)&gt;75,"++",(IF(VLOOKUP(C12,OUTPUT_COUNTRY!$B$6:$N$18,13,FALSE)&gt;50,"+",(IF(VLOOKUP(C12,OUTPUT_COUNTRY!$B$6:$N$18,13,FALSE)&gt;25,"-","--")))))</f>
        <v>--</v>
      </c>
    </row>
    <row r="13" spans="3:12" x14ac:dyDescent="0.35">
      <c r="C13" s="78" t="s">
        <v>865</v>
      </c>
      <c r="D13" s="167" t="str" cm="1">
        <f t="array" ref="D13">_xll.FDS(C13,"FG_COMPANY_NAME")</f>
        <v>iShares MSCI France ETF</v>
      </c>
      <c r="E13" s="159" t="str">
        <f>IF(VLOOKUP(C13,OUTPUT_COUNTRY!$B$6:$N$18,3,FALSE)&gt;75,"++",(IF(VLOOKUP(C13,OUTPUT_COUNTRY!$B$6:$N$18,3,FALSE)&gt;50,"+",(IF(VLOOKUP(C13,OUTPUT_COUNTRY!$B$6:$N$18,3,FALSE)&gt;25,"-","--")))))</f>
        <v>+</v>
      </c>
      <c r="F13" s="121" t="str">
        <f>IF(VLOOKUP(C13,OUTPUT_COUNTRY!$B$6:$N$18,4,FALSE)&gt;75,"++",(IF(VLOOKUP(C13,OUTPUT_COUNTRY!$B$6:$N$18,4,FALSE)&gt;50,"+",(IF(VLOOKUP(C13,OUTPUT_COUNTRY!$B$6:$N$18,4,FALSE)&gt;25,"-","--")))))</f>
        <v>+</v>
      </c>
      <c r="G13" s="159" t="str">
        <f>IF(VLOOKUP(C13,OUTPUT_COUNTRY!$B$6:$N$18,5,FALSE)&gt;75,"++",(IF(VLOOKUP(C13,OUTPUT_COUNTRY!$B$6:$N$18,5,FALSE)&gt;50,"+",(IF(VLOOKUP(C13,OUTPUT_COUNTRY!$B$6:$N$18,5,FALSE)&gt;25,"-","--")))))</f>
        <v>++</v>
      </c>
      <c r="H13" s="121" t="str">
        <f>IF(VLOOKUP(C13,OUTPUT_COUNTRY!$B$6:$N$18,7,FALSE)&gt;75,"++",(IF(VLOOKUP(C13,OUTPUT_COUNTRY!$B$6:$N$18,7,FALSE)&gt;50,"+",(IF(VLOOKUP(C13,OUTPUT_COUNTRY!$B$6:$N$18,7,FALSE)&gt;25,"-","--")))))</f>
        <v>++</v>
      </c>
      <c r="I13" s="159" t="str">
        <f>IF(VLOOKUP(C13,OUTPUT_COUNTRY!$B$6:$N$18,8,FALSE)&gt;75,"++",(IF(VLOOKUP(C13,OUTPUT_COUNTRY!$B$6:$N$18,8,FALSE)&gt;50,"+",(IF(VLOOKUP(C13,OUTPUT_COUNTRY!$B$6:$N$18,8,FALSE)&gt;25,"-","--")))))</f>
        <v>--</v>
      </c>
      <c r="J13" s="121" t="str">
        <f ca="1">IF(VLOOKUP(C13,OUTPUT_COUNTRY!$B$6:$N$18,9,FALSE)&gt;75,"++",(IF(VLOOKUP(C13,OUTPUT_COUNTRY!$B$6:$N$18,9,FALSE)&gt;50,"+",(IF(VLOOKUP(C13,OUTPUT_COUNTRY!$B$6:$N$18,9,FALSE)&gt;25,"-","--")))))</f>
        <v>+</v>
      </c>
      <c r="K13" s="159" t="str">
        <f>IF(VLOOKUP(C13,OUTPUT_COUNTRY!$B$6:$N$18,11,FALSE)&gt;75,"++",(IF(VLOOKUP(C13,OUTPUT_COUNTRY!$B$6:$N$18,11,FALSE)&gt;50,"+",(IF(VLOOKUP(C13,OUTPUT_COUNTRY!$B$6:$N$18,11,FALSE)&gt;25,"-","--")))))</f>
        <v>-</v>
      </c>
      <c r="L13" s="121" t="str">
        <f ca="1">IF(VLOOKUP(C13,OUTPUT_COUNTRY!$B$6:$N$18,13,FALSE)&gt;75,"++",(IF(VLOOKUP(C13,OUTPUT_COUNTRY!$B$6:$N$18,13,FALSE)&gt;50,"+",(IF(VLOOKUP(C13,OUTPUT_COUNTRY!$B$6:$N$18,13,FALSE)&gt;25,"-","--")))))</f>
        <v>+</v>
      </c>
    </row>
    <row r="14" spans="3:12" x14ac:dyDescent="0.35">
      <c r="C14" s="78" t="s">
        <v>867</v>
      </c>
      <c r="D14" s="167" t="str" cm="1">
        <f t="array" ref="D14">_xll.FDS(C14,"FG_COMPANY_NAME")</f>
        <v>iShares MSCI Netherlands ETF</v>
      </c>
      <c r="E14" s="159" t="str">
        <f>IF(VLOOKUP(C14,OUTPUT_COUNTRY!$B$6:$N$18,3,FALSE)&gt;75,"++",(IF(VLOOKUP(C14,OUTPUT_COUNTRY!$B$6:$N$18,3,FALSE)&gt;50,"+",(IF(VLOOKUP(C14,OUTPUT_COUNTRY!$B$6:$N$18,3,FALSE)&gt;25,"-","--")))))</f>
        <v>-</v>
      </c>
      <c r="F14" s="121" t="str">
        <f>IF(VLOOKUP(C14,OUTPUT_COUNTRY!$B$6:$N$18,4,FALSE)&gt;75,"++",(IF(VLOOKUP(C14,OUTPUT_COUNTRY!$B$6:$N$18,4,FALSE)&gt;50,"+",(IF(VLOOKUP(C14,OUTPUT_COUNTRY!$B$6:$N$18,4,FALSE)&gt;25,"-","--")))))</f>
        <v>-</v>
      </c>
      <c r="G14" s="159" t="str">
        <f>IF(VLOOKUP(C14,OUTPUT_COUNTRY!$B$6:$N$18,5,FALSE)&gt;75,"++",(IF(VLOOKUP(C14,OUTPUT_COUNTRY!$B$6:$N$18,5,FALSE)&gt;50,"+",(IF(VLOOKUP(C14,OUTPUT_COUNTRY!$B$6:$N$18,5,FALSE)&gt;25,"-","--")))))</f>
        <v>--</v>
      </c>
      <c r="H14" s="121" t="str">
        <f>IF(VLOOKUP(C14,OUTPUT_COUNTRY!$B$6:$N$18,7,FALSE)&gt;75,"++",(IF(VLOOKUP(C14,OUTPUT_COUNTRY!$B$6:$N$18,7,FALSE)&gt;50,"+",(IF(VLOOKUP(C14,OUTPUT_COUNTRY!$B$6:$N$18,7,FALSE)&gt;25,"-","--")))))</f>
        <v>--</v>
      </c>
      <c r="I14" s="159" t="str">
        <f>IF(VLOOKUP(C14,OUTPUT_COUNTRY!$B$6:$N$18,8,FALSE)&gt;75,"++",(IF(VLOOKUP(C14,OUTPUT_COUNTRY!$B$6:$N$18,8,FALSE)&gt;50,"+",(IF(VLOOKUP(C14,OUTPUT_COUNTRY!$B$6:$N$18,8,FALSE)&gt;25,"-","--")))))</f>
        <v>--</v>
      </c>
      <c r="J14" s="121" t="str">
        <f ca="1">IF(VLOOKUP(C14,OUTPUT_COUNTRY!$B$6:$N$18,9,FALSE)&gt;75,"++",(IF(VLOOKUP(C14,OUTPUT_COUNTRY!$B$6:$N$18,9,FALSE)&gt;50,"+",(IF(VLOOKUP(C14,OUTPUT_COUNTRY!$B$6:$N$18,9,FALSE)&gt;25,"-","--")))))</f>
        <v>+</v>
      </c>
      <c r="K14" s="159" t="str">
        <f>IF(VLOOKUP(C14,OUTPUT_COUNTRY!$B$6:$N$18,11,FALSE)&gt;75,"++",(IF(VLOOKUP(C14,OUTPUT_COUNTRY!$B$6:$N$18,11,FALSE)&gt;50,"+",(IF(VLOOKUP(C14,OUTPUT_COUNTRY!$B$6:$N$18,11,FALSE)&gt;25,"-","--")))))</f>
        <v>++</v>
      </c>
      <c r="L14" s="121" t="str">
        <f ca="1">IF(VLOOKUP(C14,OUTPUT_COUNTRY!$B$6:$N$18,13,FALSE)&gt;75,"++",(IF(VLOOKUP(C14,OUTPUT_COUNTRY!$B$6:$N$18,13,FALSE)&gt;50,"+",(IF(VLOOKUP(C14,OUTPUT_COUNTRY!$B$6:$N$18,13,FALSE)&gt;25,"-","--")))))</f>
        <v>-</v>
      </c>
    </row>
    <row r="15" spans="3:12" x14ac:dyDescent="0.35">
      <c r="C15" s="78" t="s">
        <v>864</v>
      </c>
      <c r="D15" s="167" t="str" cm="1">
        <f t="array" ref="D15">_xll.FDS(C15,"FG_COMPANY_NAME")</f>
        <v>iShares MSCI Sweden ETF</v>
      </c>
      <c r="E15" s="159" t="str">
        <f>IF(VLOOKUP(C15,OUTPUT_COUNTRY!$B$6:$N$18,3,FALSE)&gt;75,"++",(IF(VLOOKUP(C15,OUTPUT_COUNTRY!$B$6:$N$18,3,FALSE)&gt;50,"+",(IF(VLOOKUP(C15,OUTPUT_COUNTRY!$B$6:$N$18,3,FALSE)&gt;25,"-","--")))))</f>
        <v>+</v>
      </c>
      <c r="F15" s="121" t="str">
        <f>IF(VLOOKUP(C15,OUTPUT_COUNTRY!$B$6:$N$18,4,FALSE)&gt;75,"++",(IF(VLOOKUP(C15,OUTPUT_COUNTRY!$B$6:$N$18,4,FALSE)&gt;50,"+",(IF(VLOOKUP(C15,OUTPUT_COUNTRY!$B$6:$N$18,4,FALSE)&gt;25,"-","--")))))</f>
        <v>-</v>
      </c>
      <c r="G15" s="159" t="str">
        <f>IF(VLOOKUP(C15,OUTPUT_COUNTRY!$B$6:$N$18,5,FALSE)&gt;75,"++",(IF(VLOOKUP(C15,OUTPUT_COUNTRY!$B$6:$N$18,5,FALSE)&gt;50,"+",(IF(VLOOKUP(C15,OUTPUT_COUNTRY!$B$6:$N$18,5,FALSE)&gt;25,"-","--")))))</f>
        <v>-</v>
      </c>
      <c r="H15" s="121" t="str">
        <f>IF(VLOOKUP(C15,OUTPUT_COUNTRY!$B$6:$N$18,7,FALSE)&gt;75,"++",(IF(VLOOKUP(C15,OUTPUT_COUNTRY!$B$6:$N$18,7,FALSE)&gt;50,"+",(IF(VLOOKUP(C15,OUTPUT_COUNTRY!$B$6:$N$18,7,FALSE)&gt;25,"-","--")))))</f>
        <v>-</v>
      </c>
      <c r="I15" s="159" t="str">
        <f>IF(VLOOKUP(C15,OUTPUT_COUNTRY!$B$6:$N$18,8,FALSE)&gt;75,"++",(IF(VLOOKUP(C15,OUTPUT_COUNTRY!$B$6:$N$18,8,FALSE)&gt;50,"+",(IF(VLOOKUP(C15,OUTPUT_COUNTRY!$B$6:$N$18,8,FALSE)&gt;25,"-","--")))))</f>
        <v>++</v>
      </c>
      <c r="J15" s="121" t="str">
        <f ca="1">IF(VLOOKUP(C15,OUTPUT_COUNTRY!$B$6:$N$18,9,FALSE)&gt;75,"++",(IF(VLOOKUP(C15,OUTPUT_COUNTRY!$B$6:$N$18,9,FALSE)&gt;50,"+",(IF(VLOOKUP(C15,OUTPUT_COUNTRY!$B$6:$N$18,9,FALSE)&gt;25,"-","--")))))</f>
        <v>-</v>
      </c>
      <c r="K15" s="159" t="str">
        <f>IF(VLOOKUP(C15,OUTPUT_COUNTRY!$B$6:$N$18,11,FALSE)&gt;75,"++",(IF(VLOOKUP(C15,OUTPUT_COUNTRY!$B$6:$N$18,11,FALSE)&gt;50,"+",(IF(VLOOKUP(C15,OUTPUT_COUNTRY!$B$6:$N$18,11,FALSE)&gt;25,"-","--")))))</f>
        <v>--</v>
      </c>
      <c r="L15" s="121" t="str">
        <f ca="1">IF(VLOOKUP(C15,OUTPUT_COUNTRY!$B$6:$N$18,13,FALSE)&gt;75,"++",(IF(VLOOKUP(C15,OUTPUT_COUNTRY!$B$6:$N$18,13,FALSE)&gt;50,"+",(IF(VLOOKUP(C15,OUTPUT_COUNTRY!$B$6:$N$18,13,FALSE)&gt;25,"-","--")))))</f>
        <v>+</v>
      </c>
    </row>
    <row r="16" spans="3:12" x14ac:dyDescent="0.35">
      <c r="C16" s="79" t="s">
        <v>866</v>
      </c>
      <c r="D16" s="168" t="str" cm="1">
        <f t="array" ref="D16">_xll.FDS(C16,"FG_COMPANY_NAME")</f>
        <v>iShares MSCI Italy ETF</v>
      </c>
      <c r="E16" s="154" t="str">
        <f>IF(VLOOKUP(C16,OUTPUT_COUNTRY!$B$6:$N$18,3,FALSE)&gt;75,"++",(IF(VLOOKUP(C16,OUTPUT_COUNTRY!$B$6:$N$18,3,FALSE)&gt;50,"+",(IF(VLOOKUP(C16,OUTPUT_COUNTRY!$B$6:$N$18,3,FALSE)&gt;25,"-","--")))))</f>
        <v>++</v>
      </c>
      <c r="F16" s="122" t="str">
        <f>IF(VLOOKUP(C16,OUTPUT_COUNTRY!$B$6:$N$18,4,FALSE)&gt;75,"++",(IF(VLOOKUP(C16,OUTPUT_COUNTRY!$B$6:$N$18,4,FALSE)&gt;50,"+",(IF(VLOOKUP(C16,OUTPUT_COUNTRY!$B$6:$N$18,4,FALSE)&gt;25,"-","--")))))</f>
        <v>--</v>
      </c>
      <c r="G16" s="154" t="str">
        <f>IF(VLOOKUP(C16,OUTPUT_COUNTRY!$B$6:$N$18,5,FALSE)&gt;75,"++",(IF(VLOOKUP(C16,OUTPUT_COUNTRY!$B$6:$N$18,5,FALSE)&gt;50,"+",(IF(VLOOKUP(C16,OUTPUT_COUNTRY!$B$6:$N$18,5,FALSE)&gt;25,"-","--")))))</f>
        <v>--</v>
      </c>
      <c r="H16" s="122" t="str">
        <f>IF(VLOOKUP(C16,OUTPUT_COUNTRY!$B$6:$N$18,7,FALSE)&gt;75,"++",(IF(VLOOKUP(C16,OUTPUT_COUNTRY!$B$6:$N$18,7,FALSE)&gt;50,"+",(IF(VLOOKUP(C16,OUTPUT_COUNTRY!$B$6:$N$18,7,FALSE)&gt;25,"-","--")))))</f>
        <v>--</v>
      </c>
      <c r="I16" s="154" t="str">
        <f>IF(VLOOKUP(C16,OUTPUT_COUNTRY!$B$6:$N$18,8,FALSE)&gt;75,"++",(IF(VLOOKUP(C16,OUTPUT_COUNTRY!$B$6:$N$18,8,FALSE)&gt;50,"+",(IF(VLOOKUP(C16,OUTPUT_COUNTRY!$B$6:$N$18,8,FALSE)&gt;25,"-","--")))))</f>
        <v>+</v>
      </c>
      <c r="J16" s="122" t="str">
        <f ca="1">IF(VLOOKUP(C16,OUTPUT_COUNTRY!$B$6:$N$18,9,FALSE)&gt;75,"++",(IF(VLOOKUP(C16,OUTPUT_COUNTRY!$B$6:$N$18,9,FALSE)&gt;50,"+",(IF(VLOOKUP(C16,OUTPUT_COUNTRY!$B$6:$N$18,9,FALSE)&gt;25,"-","--")))))</f>
        <v>++</v>
      </c>
      <c r="K16" s="154" t="str">
        <f>IF(VLOOKUP(C16,OUTPUT_COUNTRY!$B$6:$N$18,11,FALSE)&gt;75,"++",(IF(VLOOKUP(C16,OUTPUT_COUNTRY!$B$6:$N$18,11,FALSE)&gt;50,"+",(IF(VLOOKUP(C16,OUTPUT_COUNTRY!$B$6:$N$18,11,FALSE)&gt;25,"-","--")))))</f>
        <v>+</v>
      </c>
      <c r="L16" s="122" t="str">
        <f ca="1">IF(VLOOKUP(C16,OUTPUT_COUNTRY!$B$6:$N$18,13,FALSE)&gt;75,"++",(IF(VLOOKUP(C16,OUTPUT_COUNTRY!$B$6:$N$18,13,FALSE)&gt;50,"+",(IF(VLOOKUP(C16,OUTPUT_COUNTRY!$B$6:$N$18,13,FALSE)&gt;25,"-","--")))))</f>
        <v>++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8"/>
  <sheetViews>
    <sheetView topLeftCell="A33" workbookViewId="0">
      <selection activeCell="D78" sqref="D78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555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487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  <row r="75" spans="1:4" x14ac:dyDescent="0.35">
      <c r="A75" t="s">
        <v>106</v>
      </c>
      <c r="B75" t="s">
        <v>869</v>
      </c>
      <c r="D75" s="26" t="s">
        <v>163</v>
      </c>
    </row>
    <row r="76" spans="1:4" x14ac:dyDescent="0.35">
      <c r="A76" t="s">
        <v>875</v>
      </c>
      <c r="B76" t="s">
        <v>870</v>
      </c>
      <c r="D76" s="26" t="s">
        <v>163</v>
      </c>
    </row>
    <row r="77" spans="1:4" x14ac:dyDescent="0.35">
      <c r="A77" t="s">
        <v>272</v>
      </c>
      <c r="B77" t="s">
        <v>273</v>
      </c>
      <c r="D77" s="26" t="s">
        <v>275</v>
      </c>
    </row>
    <row r="78" spans="1:4" x14ac:dyDescent="0.35">
      <c r="A78" t="s">
        <v>876</v>
      </c>
      <c r="B78" t="s">
        <v>868</v>
      </c>
      <c r="D78" s="26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1"/>
  <sheetViews>
    <sheetView zoomScale="75" zoomScaleNormal="130" workbookViewId="0">
      <selection activeCell="O16" sqref="O16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11.54296875" bestFit="1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4" width="10.54296875" customWidth="1"/>
    <col min="15" max="15" width="10.81640625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740</v>
      </c>
      <c r="D2" s="72" t="s">
        <v>0</v>
      </c>
      <c r="E2" s="72" t="s">
        <v>561</v>
      </c>
      <c r="F2" s="72"/>
      <c r="G2" s="72" t="s">
        <v>2</v>
      </c>
      <c r="H2" s="72" t="s">
        <v>3</v>
      </c>
      <c r="I2" s="72" t="s">
        <v>406</v>
      </c>
      <c r="J2" s="72" t="s">
        <v>8</v>
      </c>
      <c r="K2" s="72" t="s">
        <v>67</v>
      </c>
      <c r="L2" s="72" t="s">
        <v>407</v>
      </c>
      <c r="M2" s="72" t="s">
        <v>408</v>
      </c>
      <c r="N2" s="72" t="s">
        <v>509</v>
      </c>
      <c r="O2" s="72" t="s">
        <v>741</v>
      </c>
      <c r="P2" s="72" t="s">
        <v>769</v>
      </c>
      <c r="Q2" s="72" t="s">
        <v>510</v>
      </c>
      <c r="R2" s="72" t="s">
        <v>511</v>
      </c>
      <c r="S2" s="72" t="s">
        <v>512</v>
      </c>
      <c r="T2" s="72" t="s">
        <v>742</v>
      </c>
      <c r="U2" s="72" t="s">
        <v>513</v>
      </c>
      <c r="V2" s="72" t="s">
        <v>514</v>
      </c>
      <c r="W2" s="72" t="s">
        <v>515</v>
      </c>
      <c r="X2" s="72" t="s">
        <v>516</v>
      </c>
      <c r="Y2" s="72" t="s">
        <v>517</v>
      </c>
      <c r="Z2" s="72" t="s">
        <v>743</v>
      </c>
      <c r="AA2" s="115" t="s">
        <v>770</v>
      </c>
      <c r="AB2" s="72" t="s">
        <v>530</v>
      </c>
      <c r="AC2" s="72" t="s">
        <v>541</v>
      </c>
    </row>
    <row r="3" spans="1:29" x14ac:dyDescent="0.35">
      <c r="A3" t="s">
        <v>431</v>
      </c>
      <c r="B3" t="s">
        <v>198</v>
      </c>
      <c r="C3" t="str" cm="1">
        <f t="array" ref="C3">_xll.FDS(A3,"FG_COMPANY_NAME")</f>
        <v>iShares MSCI New Zealand ETF</v>
      </c>
      <c r="D3" t="s">
        <v>431</v>
      </c>
      <c r="E3" t="s">
        <v>674</v>
      </c>
      <c r="F3" s="2" cm="1">
        <f t="array" ref="F3">_xll.FDS(D3,"JULIAN(FMA_DIV_YLD(NTMA,NOW,NOW,M,""PORTAGG"",""MEANR"").dates)")</f>
        <v>45412</v>
      </c>
      <c r="G3" s="4" cm="1">
        <f t="array" ref="G3">_xll.FDS(D3,"FMA_PE(LTM,0,,,""PORTAGG"",""MEANR"")")</f>
        <v>29.640436079903601</v>
      </c>
      <c r="H3" s="4" cm="1">
        <f t="array" ref="H3">_xll.FDS(D3,"FMA_PE(NTMA,0,,,""PORTAGG"",""MEANR"")")</f>
        <v>25.130026594059402</v>
      </c>
      <c r="I3" cm="1">
        <f t="array" ref="I3">_xll.FDS(D3,"FMA_DIV_YLD(NTMA,NOW,NOW,M,""PORTAGG"",""MEANR"")")</f>
        <v>2.7464295125372198</v>
      </c>
      <c r="J3" s="52" cm="1">
        <f t="array" ref="J3">IFERROR(_xll.FDS(D3,"FG_FCF_YIELD_NTM(0)"),(1/G3*100))</f>
        <v>0.341647670437009</v>
      </c>
      <c r="K3" s="3" cm="1">
        <f t="array" ref="K3">_xll.FDS(D3,"FMA_EVAL_EBITDA(NTMA,0,,,""PORTAGG"",""MEANR"")")</f>
        <v>12.2839801917931</v>
      </c>
      <c r="L3" cm="1">
        <f t="array" ref="L3">_xll.FDS(D3,"FMA_EVAL_EBIT(LTMA,NOW,NOW,M,""PORTAGG"",""MEANR"")")</f>
        <v>20.613268481445701</v>
      </c>
      <c r="M3">
        <f>HLOOKUP(D3,'Index ROE'!$A$1:$N$25,25,FALSE)</f>
        <v>6.5791075391831502</v>
      </c>
      <c r="N3">
        <f>VLOOKUP(A3,'LIQIDITY 2'!$A$3:$E$16,5,FALSE)</f>
        <v>4.7396000000000003</v>
      </c>
      <c r="O3" cm="1">
        <f t="array" ref="O3">IFERROR(IFERROR(IFERROR(IFERROR(_xll.FDS(B3,"IMF_IFS_RCPI_Q(0)"),_xll.FDS(B3,"IMF_IFS_RCPI_Q(-1AM)")),_xll.FDS(B3,"IMF_IFS_RCPI_Q(-2AM)")),_xll.FDS(B3,"IMF_IFS_RCPI_Q(-3AM)")),$D$31)</f>
        <v>4.0229889999999999</v>
      </c>
      <c r="P3">
        <f>VLOOKUP(E3,GDP_GROWTH!$B$10:$W$165,22,FALSE)</f>
        <v>2.7196134550164452</v>
      </c>
      <c r="Q3">
        <f t="shared" ref="Q3:Q11" si="0">I3-N3</f>
        <v>-1.9931704874627805</v>
      </c>
      <c r="R3" s="52">
        <f t="shared" ref="R3:R11" si="1">J3-N3</f>
        <v>-4.3979523295629912</v>
      </c>
      <c r="S3">
        <f t="shared" ref="S3:S11" si="2">M3-N3</f>
        <v>1.8395075391831499</v>
      </c>
      <c r="T3">
        <f t="shared" ref="T3:T11" si="3">M3-O3</f>
        <v>2.5561185391831502</v>
      </c>
      <c r="U3" cm="1">
        <f t="array" ref="U3">_xlfn.PERCENTRANK.EXC(_xlfn._xlws.FILTER(Q$3:Q$15, ISNUMBER(Q$3:Q$15)),Q3)*100</f>
        <v>21.4</v>
      </c>
      <c r="V3" cm="1">
        <f t="array" ref="V3">_xlfn.PERCENTRANK.EXC(_xlfn._xlws.FILTER(R$3:R$15, ISNUMBER(R$3:R$15)),R3)*100</f>
        <v>7.1</v>
      </c>
      <c r="W3" cm="1">
        <f t="array" ref="W3">_xlfn.PERCENTRANK.EXC(_xlfn._xlws.FILTER(S$3:S$15, ISNUMBER(S$3:S$15)),S3)*100</f>
        <v>7.1</v>
      </c>
      <c r="X3" cm="1">
        <f t="array" ref="X3">(1-_xlfn.PERCENTRANK.EXC(_xlfn._xlws.FILTER(G$3:G$15, ISNUMBER(G$3:G$15)),G3))*100</f>
        <v>14.3</v>
      </c>
      <c r="Y3" cm="1">
        <f t="array" ref="Y3">(1-_xlfn.PERCENTRANK.EXC(_xlfn._xlws.FILTER(H$3:H$15, ISNUMBER(H$3:H$15)),H3))*100</f>
        <v>14.3</v>
      </c>
      <c r="Z3" cm="1">
        <f t="array" ref="Z3">_xlfn.PERCENTRANK.EXC(_xlfn._xlws.FILTER(T$3:T$15, ISNUMBER(T$3:T$15)),T3)*100</f>
        <v>7.1</v>
      </c>
      <c r="AA3" cm="1">
        <f t="array" ref="AA3">_xlfn.PERCENTRANK.EXC(_xlfn._xlws.FILTER(P$3:P$15, ISNUMBER(P$3:P$15)),P3)*100</f>
        <v>92.800000000000011</v>
      </c>
      <c r="AB3">
        <f>U3*Assumption!$E$40 + V3*Assumption!$F$40 + X3*Assumption!$G$40 + Y3*Assumption!$H$40 + W3*Assumption!$I$40 +Z3* Assumption!$K$40 + AA3* Assumption!$J$40</f>
        <v>11.415000000000003</v>
      </c>
      <c r="AC3" cm="1">
        <f t="array" ref="AC3">_xlfn.PERCENTRANK.EXC(_xlfn._xlws.FILTER(AB$3:AB$15, ISNUMBER(AB$3:AB$15)),AB3)*100</f>
        <v>7.1</v>
      </c>
    </row>
    <row r="4" spans="1:29" x14ac:dyDescent="0.35">
      <c r="A4" t="s">
        <v>44</v>
      </c>
      <c r="B4" t="s">
        <v>174</v>
      </c>
      <c r="C4" t="str" cm="1">
        <f t="array" ref="C4">_xll.FDS(A4,"FG_COMPANY_NAME")</f>
        <v>iShares MSCI Australia ETF</v>
      </c>
      <c r="D4" t="s">
        <v>44</v>
      </c>
      <c r="E4" t="s">
        <v>576</v>
      </c>
      <c r="F4" s="2" cm="1">
        <f t="array" ref="F4">_xll.FDS(D4,"JULIAN(FMA_DIV_YLD(NTMA,NOW,NOW,M,""PORTAGG"",""MEANR"").dates)")</f>
        <v>45412</v>
      </c>
      <c r="G4" s="4" cm="1">
        <f t="array" ref="G4">_xll.FDS(D4,"FMA_PE(LTM,0,,,""PORTAGG"",""MEANR"")")</f>
        <v>18.5053902355655</v>
      </c>
      <c r="H4" s="4" cm="1">
        <f t="array" ref="H4">_xll.FDS(D4,"FMA_PE(NTMA,0,,,""PORTAGG"",""MEANR"")")</f>
        <v>16.5960932435882</v>
      </c>
      <c r="I4" cm="1">
        <f t="array" ref="I4">_xll.FDS(D4,"FMA_DIV_YLD(NTMA,NOW,NOW,M,""PORTAGG"",""MEANR"")")</f>
        <v>4.0156778768555998</v>
      </c>
      <c r="J4" s="52" cm="1">
        <f t="array" ref="J4">IFERROR(_xll.FDS(D4,"FG_FCF_YIELD_NTM(0)"),(1/G4*100))</f>
        <v>4.94636723079552</v>
      </c>
      <c r="K4" s="3" cm="1">
        <f t="array" ref="K4">_xll.FDS(D4,"FMA_EVAL_EBITDA(NTMA,0,,,""PORTAGG"",""MEANR"")")</f>
        <v>8.5681435246478994</v>
      </c>
      <c r="L4" cm="1">
        <f t="array" ref="L4">_xll.FDS(D4,"FMA_EVAL_EBIT(LTMA,NOW,NOW,M,""PORTAGG"",""MEANR"")")</f>
        <v>12.373696676200799</v>
      </c>
      <c r="M4">
        <f>HLOOKUP(D4,'Index ROE'!$A$1:$N$25,25,FALSE)</f>
        <v>13.226137995013501</v>
      </c>
      <c r="N4">
        <f>VLOOKUP(A4,'LIQIDITY 2'!$A$3:$E$16,5,FALSE)</f>
        <v>4.351</v>
      </c>
      <c r="O4" cm="1">
        <f t="array" ref="O4">IFERROR(IFERROR(IFERROR(IFERROR(_xll.FDS(B4,"IMF_IFS_RCPI_Q(0)"),_xll.FDS(B4,"IMF_IFS_RCPI_Q(-1AM)")),_xll.FDS(B4,"IMF_IFS_RCPI_Q(-2AM)")),_xll.FDS(B4,"IMF_IFS_RCPI_Q(-3AM)")),$D$31)</f>
        <v>3.61991</v>
      </c>
      <c r="P4">
        <f>VLOOKUP(E4,GDP_GROWTH!$B$10:$W$165,22,FALSE)</f>
        <v>2.0879441195558623</v>
      </c>
      <c r="Q4">
        <f t="shared" si="0"/>
        <v>-0.33532212314440013</v>
      </c>
      <c r="R4" s="52">
        <f t="shared" si="1"/>
        <v>0.59536723079552001</v>
      </c>
      <c r="S4">
        <f t="shared" si="2"/>
        <v>8.8751379950134996</v>
      </c>
      <c r="T4">
        <f t="shared" si="3"/>
        <v>9.6062279950135014</v>
      </c>
      <c r="U4" cm="1">
        <f t="array" ref="U4">_xlfn.PERCENTRANK.EXC(_xlfn._xlws.FILTER(Q$3:Q$15, ISNUMBER(Q$3:Q$15)),Q4)*100</f>
        <v>35.699999999999996</v>
      </c>
      <c r="V4" cm="1">
        <f t="array" ref="V4">_xlfn.PERCENTRANK.EXC(_xlfn._xlws.FILTER(R$3:R$15, ISNUMBER(R$3:R$15)),R4)*100</f>
        <v>28.499999999999996</v>
      </c>
      <c r="W4" cm="1">
        <f t="array" ref="W4">_xlfn.PERCENTRANK.EXC(_xlfn._xlws.FILTER(S$3:S$15, ISNUMBER(S$3:S$15)),S4)*100</f>
        <v>21.4</v>
      </c>
      <c r="X4" cm="1">
        <f t="array" ref="X4">(1-_xlfn.PERCENTRANK.EXC(_xlfn._xlws.FILTER(G$3:G$15, ISNUMBER(G$3:G$15)),G4))*100</f>
        <v>35.799999999999997</v>
      </c>
      <c r="Y4" cm="1">
        <f t="array" ref="Y4">(1-_xlfn.PERCENTRANK.EXC(_xlfn._xlws.FILTER(H$3:H$15, ISNUMBER(H$3:H$15)),H4))*100</f>
        <v>35.799999999999997</v>
      </c>
      <c r="Z4" cm="1">
        <f t="array" ref="Z4">_xlfn.PERCENTRANK.EXC(_xlfn._xlws.FILTER(T$3:T$15, ISNUMBER(T$3:T$15)),T4)*100</f>
        <v>28.499999999999996</v>
      </c>
      <c r="AA4" cm="1">
        <f t="array" ref="AA4">_xlfn.PERCENTRANK.EXC(_xlfn._xlws.FILTER(P$3:P$15, ISNUMBER(P$3:P$15)),P4)*100</f>
        <v>85.7</v>
      </c>
      <c r="AB4">
        <f>U4*Assumption!$E$40 + V4*Assumption!$F$40 + X4*Assumption!$G$40 + Y4*Assumption!$H$40 + W4*Assumption!$I$40 +Z4* Assumption!$K$40 + AA4* Assumption!$J$40</f>
        <v>31.799999999999997</v>
      </c>
      <c r="AC4" cm="1">
        <f t="array" ref="AC4">_xlfn.PERCENTRANK.EXC(_xlfn._xlws.FILTER(AB$3:AB$15, ISNUMBER(AB$3:AB$15)),AB4)*100</f>
        <v>21.4</v>
      </c>
    </row>
    <row r="5" spans="1:29" x14ac:dyDescent="0.35">
      <c r="A5" t="s">
        <v>49</v>
      </c>
      <c r="B5" t="s">
        <v>157</v>
      </c>
      <c r="C5" t="str" cm="1">
        <f t="array" ref="C5">_xll.FDS(A5,"FG_COMPANY_NAME")</f>
        <v>iShares MSCI Canada ETF</v>
      </c>
      <c r="D5" t="s">
        <v>49</v>
      </c>
      <c r="E5" t="s">
        <v>598</v>
      </c>
      <c r="F5" s="2" cm="1">
        <f t="array" ref="F5">_xll.FDS(D5,"JULIAN(FMA_DIV_YLD(NTMA,NOW,NOW,M,""PORTAGG"",""MEANR"").dates)")</f>
        <v>45412</v>
      </c>
      <c r="G5" s="4" cm="1">
        <f t="array" ref="G5">_xll.FDS(D5,"FMA_PE(LTM,0,,,""PORTAGG"",""MEANR"")")</f>
        <v>16.998124328995399</v>
      </c>
      <c r="H5" s="4" cm="1">
        <f t="array" ref="H5">_xll.FDS(D5,"FMA_PE(NTMA,0,,,""PORTAGG"",""MEANR"")")</f>
        <v>14.476496736899</v>
      </c>
      <c r="I5" cm="1">
        <f t="array" ref="I5">_xll.FDS(D5,"FMA_DIV_YLD(NTMA,NOW,NOW,M,""PORTAGG"",""MEANR"")")</f>
        <v>3.1418897346583798</v>
      </c>
      <c r="J5" s="52" cm="1">
        <f t="array" ref="J5">IFERROR(_xll.FDS(D5,"FG_FCF_YIELD_NTM(0)"),(1/G5*100))</f>
        <v>5.0960220827683997</v>
      </c>
      <c r="K5" s="3" cm="1">
        <f t="array" ref="K5">_xll.FDS(D5,"FMA_EVAL_EBITDA(NTMA,0,,,""PORTAGG"",""MEANR"")")</f>
        <v>9.9190902826586207</v>
      </c>
      <c r="L5" cm="1">
        <f t="array" ref="L5">_xll.FDS(D5,"FMA_EVAL_EBIT(LTMA,NOW,NOW,M,""PORTAGG"",""MEANR"")")</f>
        <v>16.228862466300299</v>
      </c>
      <c r="M5">
        <f>HLOOKUP(D5,'Index ROE'!$A$1:$N$25,25,FALSE)</f>
        <v>13.147116166704</v>
      </c>
      <c r="N5">
        <f>VLOOKUP(A5,'LIQIDITY 2'!$A$3:$E$16,5,FALSE)</f>
        <v>3.6206</v>
      </c>
      <c r="O5" cm="1">
        <f t="array" ref="O5">IFERROR(IFERROR(IFERROR(IFERROR(_xll.FDS(B5,"IMF_IFS_RCPI_Q(0)"),_xll.FDS(B5,"IMF_IFS_RCPI_Q(-1AM)")),_xll.FDS(B5,"IMF_IFS_RCPI_Q(-2AM)")),_xll.FDS(B5,"IMF_IFS_RCPI_Q(-3AM)")),$D$31)</f>
        <v>2.8466705999999999</v>
      </c>
      <c r="P5">
        <f>VLOOKUP(E5,GDP_GROWTH!$B$10:$W$165,22,FALSE)</f>
        <v>1.4598842535213041</v>
      </c>
      <c r="Q5">
        <f t="shared" si="0"/>
        <v>-0.4787102653416202</v>
      </c>
      <c r="R5" s="52">
        <f t="shared" si="1"/>
        <v>1.4754220827683997</v>
      </c>
      <c r="S5">
        <f t="shared" si="2"/>
        <v>9.5265161667040008</v>
      </c>
      <c r="T5">
        <f t="shared" si="3"/>
        <v>10.300445566704001</v>
      </c>
      <c r="U5" cm="1">
        <f t="array" ref="U5">_xlfn.PERCENTRANK.EXC(_xlfn._xlws.FILTER(Q$3:Q$15, ISNUMBER(Q$3:Q$15)),Q5)*100</f>
        <v>28.499999999999996</v>
      </c>
      <c r="V5" cm="1">
        <f t="array" ref="V5">_xlfn.PERCENTRANK.EXC(_xlfn._xlws.FILTER(R$3:R$15, ISNUMBER(R$3:R$15)),R5)*100</f>
        <v>42.8</v>
      </c>
      <c r="W5" cm="1">
        <f t="array" ref="W5">_xlfn.PERCENTRANK.EXC(_xlfn._xlws.FILTER(S$3:S$15, ISNUMBER(S$3:S$15)),S5)*100</f>
        <v>35.699999999999996</v>
      </c>
      <c r="X5" cm="1">
        <f t="array" ref="X5">(1-_xlfn.PERCENTRANK.EXC(_xlfn._xlws.FILTER(G$3:G$15, ISNUMBER(G$3:G$15)),G5))*100</f>
        <v>42.900000000000006</v>
      </c>
      <c r="Y5" cm="1">
        <f t="array" ref="Y5">(1-_xlfn.PERCENTRANK.EXC(_xlfn._xlws.FILTER(H$3:H$15, ISNUMBER(H$3:H$15)),H5))*100</f>
        <v>64.3</v>
      </c>
      <c r="Z5" cm="1">
        <f t="array" ref="Z5">_xlfn.PERCENTRANK.EXC(_xlfn._xlws.FILTER(T$3:T$15, ISNUMBER(T$3:T$15)),T5)*100</f>
        <v>42.8</v>
      </c>
      <c r="AA5" cm="1">
        <f t="array" ref="AA5">_xlfn.PERCENTRANK.EXC(_xlfn._xlws.FILTER(P$3:P$15, ISNUMBER(P$3:P$15)),P5)*100</f>
        <v>42.8</v>
      </c>
      <c r="AB5">
        <f>U5*Assumption!$E$40 + V5*Assumption!$F$40 + X5*Assumption!$G$40 + Y5*Assumption!$H$40 + W5*Assumption!$I$40 +Z5* Assumption!$K$40 + AA5* Assumption!$J$40</f>
        <v>46.774999999999999</v>
      </c>
      <c r="AC5" cm="1">
        <f t="array" ref="AC5">_xlfn.PERCENTRANK.EXC(_xlfn._xlws.FILTER(AB$3:AB$15, ISNUMBER(AB$3:AB$15)),AB5)*100</f>
        <v>42.8</v>
      </c>
    </row>
    <row r="6" spans="1:29" x14ac:dyDescent="0.35">
      <c r="A6" t="s">
        <v>11</v>
      </c>
      <c r="B6" t="s">
        <v>555</v>
      </c>
      <c r="C6" t="str" cm="1">
        <f t="array" ref="C6">_xll.FDS(A6,"FG_COMPANY_NAME")</f>
        <v>iShares MSCI Germany ETF</v>
      </c>
      <c r="D6" t="s">
        <v>11</v>
      </c>
      <c r="E6" t="s">
        <v>625</v>
      </c>
      <c r="F6" s="2" cm="1">
        <f t="array" ref="F6">_xll.FDS(D6,"JULIAN(FMA_DIV_YLD(NTMA,NOW,NOW,M,""PORTAGG"",""MEANR"").dates)")</f>
        <v>45412</v>
      </c>
      <c r="G6" s="4" cm="1">
        <f t="array" ref="G6">_xll.FDS(D6,"FMA_PE(LTM,0,,,""PORTAGG"",""MEANR"")")</f>
        <v>12.631122151266799</v>
      </c>
      <c r="H6" s="4" cm="1">
        <f t="array" ref="H6">_xll.FDS(D6,"FMA_PE(NTMA,0,,,""PORTAGG"",""MEANR"")")</f>
        <v>12.020971132023201</v>
      </c>
      <c r="I6" cm="1">
        <f t="array" ref="I6">_xll.FDS(D6,"FMA_DIV_YLD(NTMA,NOW,NOW,M,""PORTAGG"",""MEANR"")")</f>
        <v>3.3906448019886999</v>
      </c>
      <c r="J6" s="52" cm="1">
        <f t="array" ref="J6">IFERROR(_xll.FDS(D6,"FG_FCF_YIELD_NTM(0)"),(1/G6*100))</f>
        <v>6.0116520401079496</v>
      </c>
      <c r="K6" s="3" cm="1">
        <f t="array" ref="K6">_xll.FDS(D6,"FMA_EVAL_EBITDA(NTMA,0,,,""PORTAGG"",""MEANR"")")</f>
        <v>8.3515064218531201</v>
      </c>
      <c r="L6" cm="1">
        <f t="array" ref="L6">_xll.FDS(D6,"FMA_EVAL_EBIT(LTMA,NOW,NOW,M,""PORTAGG"",""MEANR"")")</f>
        <v>13.277566921622901</v>
      </c>
      <c r="M6">
        <f>HLOOKUP(D6,'Index ROE'!$A$1:$N$25,25,FALSE)</f>
        <v>11.9387910002122</v>
      </c>
      <c r="N6">
        <f>VLOOKUP(A6,'LIQIDITY 2'!$A$3:$E$16,5,FALSE)</f>
        <v>2.4950000000000001</v>
      </c>
      <c r="O6" cm="1">
        <f t="array" ref="O6">IFERROR(IFERROR(IFERROR(IFERROR(_xll.FDS(B6,"IMF_IFS_RCPI_Q(0)"),_xll.FDS(B6,"IMF_IFS_RCPI_Q(-1AM)")),_xll.FDS(B6,"IMF_IFS_RCPI_Q(-2AM)")),_xll.FDS(B6,"IMF_IFS_RCPI_Q(-3AM)")),$D$31)</f>
        <v>2.5173564000000002</v>
      </c>
      <c r="P6">
        <f>VLOOKUP(E6,GDP_GROWTH!$B$10:$W$165,22,FALSE)</f>
        <v>0.863192929992318</v>
      </c>
      <c r="Q6">
        <f t="shared" si="0"/>
        <v>0.89564480198869978</v>
      </c>
      <c r="R6" s="52">
        <f t="shared" si="1"/>
        <v>3.5166520401079495</v>
      </c>
      <c r="S6">
        <f t="shared" si="2"/>
        <v>9.443791000212201</v>
      </c>
      <c r="T6">
        <f t="shared" si="3"/>
        <v>9.4214346002121996</v>
      </c>
      <c r="U6" cm="1">
        <f t="array" ref="U6">_xlfn.PERCENTRANK.EXC(_xlfn._xlws.FILTER(Q$3:Q$15, ISNUMBER(Q$3:Q$15)),Q6)*100</f>
        <v>64.2</v>
      </c>
      <c r="V6" cm="1">
        <f t="array" ref="V6">_xlfn.PERCENTRANK.EXC(_xlfn._xlws.FILTER(R$3:R$15, ISNUMBER(R$3:R$15)),R6)*100</f>
        <v>85.7</v>
      </c>
      <c r="W6" cm="1">
        <f t="array" ref="W6">_xlfn.PERCENTRANK.EXC(_xlfn._xlws.FILTER(S$3:S$15, ISNUMBER(S$3:S$15)),S6)*100</f>
        <v>28.499999999999996</v>
      </c>
      <c r="X6" cm="1">
        <f t="array" ref="X6">(1-_xlfn.PERCENTRANK.EXC(_xlfn._xlws.FILTER(G$3:G$15, ISNUMBER(G$3:G$15)),G6))*100</f>
        <v>78.600000000000009</v>
      </c>
      <c r="Y6" cm="1">
        <f t="array" ref="Y6">(1-_xlfn.PERCENTRANK.EXC(_xlfn._xlws.FILTER(H$3:H$15, ISNUMBER(H$3:H$15)),H6))*100</f>
        <v>78.600000000000009</v>
      </c>
      <c r="Z6" cm="1">
        <f t="array" ref="Z6">_xlfn.PERCENTRANK.EXC(_xlfn._xlws.FILTER(T$3:T$15, ISNUMBER(T$3:T$15)),T6)*100</f>
        <v>21.4</v>
      </c>
      <c r="AA6" cm="1">
        <f t="array" ref="AA6">_xlfn.PERCENTRANK.EXC(_xlfn._xlws.FILTER(P$3:P$15, ISNUMBER(P$3:P$15)),P6)*100</f>
        <v>21.4</v>
      </c>
      <c r="AB6">
        <f>U6*Assumption!$E$40 + V6*Assumption!$F$40 + X6*Assumption!$G$40 + Y6*Assumption!$H$40 + W6*Assumption!$I$40 +Z6* Assumption!$K$40 + AA6* Assumption!$J$40</f>
        <v>68.924999999999997</v>
      </c>
      <c r="AC6" cm="1">
        <f t="array" ref="AC6">_xlfn.PERCENTRANK.EXC(_xlfn._xlws.FILTER(AB$3:AB$15, ISNUMBER(AB$3:AB$15)),AB6)*100</f>
        <v>78.5</v>
      </c>
    </row>
    <row r="7" spans="1:29" x14ac:dyDescent="0.35">
      <c r="A7" t="s">
        <v>46</v>
      </c>
      <c r="B7" t="s">
        <v>164</v>
      </c>
      <c r="C7" t="str" cm="1">
        <f t="array" ref="C7">_xll.FDS(A7,"FG_COMPANY_NAME")</f>
        <v>iShares MSCI Japan ETF</v>
      </c>
      <c r="D7" t="s">
        <v>46</v>
      </c>
      <c r="E7" t="s">
        <v>643</v>
      </c>
      <c r="F7" s="2" cm="1">
        <f t="array" ref="F7">_xll.FDS(D7,"JULIAN(FMA_DIV_YLD(NTMA,NOW,NOW,M,""PORTAGG"",""MEANR"").dates)")</f>
        <v>45412</v>
      </c>
      <c r="G7" s="4" cm="1">
        <f t="array" ref="G7">_xll.FDS(D7,"FMA_PE(LTM,0,,,""PORTAGG"",""MEANR"")")</f>
        <v>16.2585223680551</v>
      </c>
      <c r="H7" s="4" cm="1">
        <f t="array" ref="H7">_xll.FDS(D7,"FMA_PE(NTMA,0,,,""PORTAGG"",""MEANR"")")</f>
        <v>15.4346607368914</v>
      </c>
      <c r="I7" cm="1">
        <f t="array" ref="I7">_xll.FDS(D7,"FMA_DIV_YLD(NTMA,NOW,NOW,M,""PORTAGG"",""MEANR"")")</f>
        <v>2.2050032152181802</v>
      </c>
      <c r="J7" s="52" cm="1">
        <f t="array" ref="J7">IFERROR(_xll.FDS(D7,"FG_FCF_YIELD_NTM(0)"),(1/G7*100))</f>
        <v>4.10562164085355</v>
      </c>
      <c r="K7" s="3" cm="1">
        <f t="array" ref="K7">_xll.FDS(D7,"FMA_EVAL_EBITDA(NTMA,0,,,""PORTAGG"",""MEANR"")")</f>
        <v>10.6535783024538</v>
      </c>
      <c r="L7" cm="1">
        <f t="array" ref="L7">_xll.FDS(D7,"FMA_EVAL_EBIT(LTMA,NOW,NOW,M,""PORTAGG"",""MEANR"")")</f>
        <v>17.982157638315901</v>
      </c>
      <c r="M7">
        <f>HLOOKUP(D7,'Index ROE'!$A$1:$N$25,25,FALSE)</f>
        <v>9.2990104649465799</v>
      </c>
      <c r="N7">
        <f>VLOOKUP(A7,'LIQIDITY 2'!$A$3:$E$16,5,FALSE)</f>
        <v>0.90690000000000004</v>
      </c>
      <c r="O7" cm="1">
        <f t="array" ref="O7">IFERROR(IFERROR(IFERROR(IFERROR(_xll.FDS(B7,"IMF_IFS_RCPI_Q(0)"),_xll.FDS(B7,"IMF_IFS_RCPI_Q(-1AM)")),_xll.FDS(B7,"IMF_IFS_RCPI_Q(-2AM)")),_xll.FDS(B7,"IMF_IFS_RCPI_Q(-3AM)")),$D$31)</f>
        <v>2.5231561999999998</v>
      </c>
      <c r="P7">
        <f>VLOOKUP(E7,GDP_GROWTH!$B$10:$W$165,22,FALSE)</f>
        <v>0.31456851442112077</v>
      </c>
      <c r="Q7">
        <f t="shared" si="0"/>
        <v>1.2981032152181802</v>
      </c>
      <c r="R7" s="52">
        <f t="shared" si="1"/>
        <v>3.1987216408535497</v>
      </c>
      <c r="S7">
        <f t="shared" si="2"/>
        <v>8.3921104649465796</v>
      </c>
      <c r="T7">
        <f t="shared" si="3"/>
        <v>6.7758542649465801</v>
      </c>
      <c r="U7" cm="1">
        <f t="array" ref="U7">_xlfn.PERCENTRANK.EXC(_xlfn._xlws.FILTER(Q$3:Q$15, ISNUMBER(Q$3:Q$15)),Q7)*100</f>
        <v>78.5</v>
      </c>
      <c r="V7" cm="1">
        <f t="array" ref="V7">_xlfn.PERCENTRANK.EXC(_xlfn._xlws.FILTER(R$3:R$15, ISNUMBER(R$3:R$15)),R7)*100</f>
        <v>78.5</v>
      </c>
      <c r="W7" cm="1">
        <f t="array" ref="W7">_xlfn.PERCENTRANK.EXC(_xlfn._xlws.FILTER(S$3:S$15, ISNUMBER(S$3:S$15)),S7)*100</f>
        <v>14.2</v>
      </c>
      <c r="X7" cm="1">
        <f t="array" ref="X7">(1-_xlfn.PERCENTRANK.EXC(_xlfn._xlws.FILTER(G$3:G$15, ISNUMBER(G$3:G$15)),G7))*100</f>
        <v>57.2</v>
      </c>
      <c r="Y7" cm="1">
        <f t="array" ref="Y7">(1-_xlfn.PERCENTRANK.EXC(_xlfn._xlws.FILTER(H$3:H$15, ISNUMBER(H$3:H$15)),H7))*100</f>
        <v>57.2</v>
      </c>
      <c r="Z7" cm="1">
        <f t="array" ref="Z7">_xlfn.PERCENTRANK.EXC(_xlfn._xlws.FILTER(T$3:T$15, ISNUMBER(T$3:T$15)),T7)*100</f>
        <v>14.2</v>
      </c>
      <c r="AA7" cm="1">
        <f t="array" ref="AA7">_xlfn.PERCENTRANK.EXC(_xlfn._xlws.FILTER(P$3:P$15, ISNUMBER(P$3:P$15)),P7)*100</f>
        <v>7.1</v>
      </c>
      <c r="AB7">
        <f>U7*Assumption!$E$40 + V7*Assumption!$F$40 + X7*Assumption!$G$40 + Y7*Assumption!$H$40 + W7*Assumption!$I$40 +Z7* Assumption!$K$40 + AA7* Assumption!$J$40</f>
        <v>54.990000000000009</v>
      </c>
      <c r="AC7" cm="1">
        <f t="array" ref="AC7">_xlfn.PERCENTRANK.EXC(_xlfn._xlws.FILTER(AB$3:AB$15, ISNUMBER(AB$3:AB$15)),AB7)*100</f>
        <v>50</v>
      </c>
    </row>
    <row r="8" spans="1:29" x14ac:dyDescent="0.35">
      <c r="A8" t="s">
        <v>42</v>
      </c>
      <c r="B8" t="s">
        <v>276</v>
      </c>
      <c r="C8" t="str" cm="1">
        <f t="array" ref="C8">_xll.FDS(A8,"FG_COMPANY_NAME")</f>
        <v>iShares MSCI Switzerland ETF</v>
      </c>
      <c r="D8" t="s">
        <v>42</v>
      </c>
      <c r="E8" t="s">
        <v>706</v>
      </c>
      <c r="F8" s="2" cm="1">
        <f t="array" ref="F8">_xll.FDS(D8,"JULIAN(FMA_DIV_YLD(NTMA,NOW,NOW,M,""PORTAGG"",""MEANR"").dates)")</f>
        <v>45412</v>
      </c>
      <c r="G8" s="4" cm="1">
        <f t="array" ref="G8">_xll.FDS(D8,"FMA_PE(LTM,0,,,""PORTAGG"",""MEANR"")")</f>
        <v>15.234973408208001</v>
      </c>
      <c r="H8" s="4" cm="1">
        <f t="array" ref="H8">_xll.FDS(D8,"FMA_PE(NTMA,0,,,""PORTAGG"",""MEANR"")")</f>
        <v>16.74284061865</v>
      </c>
      <c r="I8" cm="1">
        <f t="array" ref="I8">_xll.FDS(D8,"FMA_DIV_YLD(NTMA,NOW,NOW,M,""PORTAGG"",""MEANR"")")</f>
        <v>3.4144094278527302</v>
      </c>
      <c r="J8" s="52" cm="1">
        <f t="array" ref="J8">IFERROR(_xll.FDS(D8,"FG_FCF_YIELD_NTM(0)"),(1/G8*100))</f>
        <v>5.1214209008646101</v>
      </c>
      <c r="K8" s="3" cm="1">
        <f t="array" ref="K8">_xll.FDS(D8,"FMA_EVAL_EBITDA(NTMA,0,,,""PORTAGG"",""MEANR"")")</f>
        <v>12.430999351047401</v>
      </c>
      <c r="L8" cm="1">
        <f t="array" ref="L8">_xll.FDS(D8,"FMA_EVAL_EBIT(LTMA,NOW,NOW,M,""PORTAGG"",""MEANR"")")</f>
        <v>16.415835178020899</v>
      </c>
      <c r="M8">
        <f>HLOOKUP(D8,'Index ROE'!$A$1:$N$25,25,FALSE)</f>
        <v>19.299686812780902</v>
      </c>
      <c r="N8">
        <f>VLOOKUP(A8,'LIQIDITY 2'!$A$3:$E$16,5,FALSE)</f>
        <v>0.74099999999999999</v>
      </c>
      <c r="O8" cm="1">
        <f t="array" ref="O8">IFERROR(IFERROR(IFERROR(IFERROR(_xll.FDS(B8,"IMF_IFS_RCPI_Q(0)"),_xll.FDS(B8,"IMF_IFS_RCPI_Q(-1AM)")),_xll.FDS(B8,"IMF_IFS_RCPI_Q(-2AM)")),_xll.FDS(B8,"IMF_IFS_RCPI_Q(-3AM)")),$D$31)</f>
        <v>1.1636324</v>
      </c>
      <c r="P8">
        <f>VLOOKUP(E8,GDP_GROWTH!$B$10:$W$165,22,FALSE)</f>
        <v>2.077185911672963</v>
      </c>
      <c r="Q8">
        <f t="shared" si="0"/>
        <v>2.6734094278527301</v>
      </c>
      <c r="R8" s="52">
        <f t="shared" si="1"/>
        <v>4.3804209008646104</v>
      </c>
      <c r="S8">
        <f t="shared" si="2"/>
        <v>18.558686812780902</v>
      </c>
      <c r="T8">
        <f t="shared" si="3"/>
        <v>18.136054412780901</v>
      </c>
      <c r="U8" cm="1">
        <f t="array" ref="U8">_xlfn.PERCENTRANK.EXC(_xlfn._xlws.FILTER(Q$3:Q$15, ISNUMBER(Q$3:Q$15)),Q8)*100</f>
        <v>92.800000000000011</v>
      </c>
      <c r="V8" cm="1">
        <f t="array" ref="V8">_xlfn.PERCENTRANK.EXC(_xlfn._xlws.FILTER(R$3:R$15, ISNUMBER(R$3:R$15)),R8)*100</f>
        <v>92.800000000000011</v>
      </c>
      <c r="W8" cm="1">
        <f t="array" ref="W8">_xlfn.PERCENTRANK.EXC(_xlfn._xlws.FILTER(S$3:S$15, ISNUMBER(S$3:S$15)),S8)*100</f>
        <v>85.7</v>
      </c>
      <c r="X8" cm="1">
        <f t="array" ref="X8">(1-_xlfn.PERCENTRANK.EXC(_xlfn._xlws.FILTER(G$3:G$15, ISNUMBER(G$3:G$15)),G8))*100</f>
        <v>64.3</v>
      </c>
      <c r="Y8" cm="1">
        <f t="array" ref="Y8">(1-_xlfn.PERCENTRANK.EXC(_xlfn._xlws.FILTER(H$3:H$15, ISNUMBER(H$3:H$15)),H8))*100</f>
        <v>28.6</v>
      </c>
      <c r="Z8" cm="1">
        <f t="array" ref="Z8">_xlfn.PERCENTRANK.EXC(_xlfn._xlws.FILTER(T$3:T$15, ISNUMBER(T$3:T$15)),T8)*100</f>
        <v>85.7</v>
      </c>
      <c r="AA8" cm="1">
        <f t="array" ref="AA8">_xlfn.PERCENTRANK.EXC(_xlfn._xlws.FILTER(P$3:P$15, ISNUMBER(P$3:P$15)),P8)*100</f>
        <v>64.2</v>
      </c>
      <c r="AB8">
        <f>U8*Assumption!$E$40 + V8*Assumption!$F$40 + X8*Assumption!$G$40 + Y8*Assumption!$H$40 + W8*Assumption!$I$40 +Z8* Assumption!$K$40 + AA8* Assumption!$J$40</f>
        <v>68.205000000000013</v>
      </c>
      <c r="AC8" cm="1">
        <f t="array" ref="AC8">_xlfn.PERCENTRANK.EXC(_xlfn._xlws.FILTER(AB$3:AB$15, ISNUMBER(AB$3:AB$15)),AB8)*100</f>
        <v>71.399999999999991</v>
      </c>
    </row>
    <row r="9" spans="1:29" x14ac:dyDescent="0.35">
      <c r="A9" t="s">
        <v>48</v>
      </c>
      <c r="B9" t="s">
        <v>167</v>
      </c>
      <c r="C9" t="str" cm="1">
        <f t="array" ref="C9">_xll.FDS(A9,"FG_COMPANY_NAME")</f>
        <v>iShares MSCI United Kingdom ETF</v>
      </c>
      <c r="D9" t="s">
        <v>48</v>
      </c>
      <c r="E9" t="s">
        <v>719</v>
      </c>
      <c r="F9" s="2" cm="1">
        <f t="array" ref="F9">_xll.FDS(D9,"JULIAN(FMA_DIV_YLD(NTMA,NOW,NOW,M,""PORTAGG"",""MEANR"").dates)")</f>
        <v>45412</v>
      </c>
      <c r="G9" s="4" cm="1">
        <f t="array" ref="G9">_xll.FDS(D9,"FMA_PE(LTM,0,,,""PORTAGG"",""MEANR"")")</f>
        <v>11.0790773810785</v>
      </c>
      <c r="H9" s="4" cm="1">
        <f t="array" ref="H9">_xll.FDS(D9,"FMA_PE(NTMA,0,,,""PORTAGG"",""MEANR"")")</f>
        <v>11.636116309003601</v>
      </c>
      <c r="I9" cm="1">
        <f t="array" ref="I9">_xll.FDS(D9,"FMA_DIV_YLD(NTMA,NOW,NOW,M,""PORTAGG"",""MEANR"")")</f>
        <v>3.9357745718311201</v>
      </c>
      <c r="J9" s="52" cm="1">
        <f t="array" ref="J9">IFERROR(_xll.FDS(D9,"FG_FCF_YIELD_NTM(0)"),(1/G9*100))</f>
        <v>6.1789003401992604</v>
      </c>
      <c r="K9" s="3" cm="1">
        <f t="array" ref="K9">_xll.FDS(D9,"FMA_EVAL_EBITDA(NTMA,0,,,""PORTAGG"",""MEANR"")")</f>
        <v>7.5310101030515302</v>
      </c>
      <c r="L9" cm="1">
        <f t="array" ref="L9">_xll.FDS(D9,"FMA_EVAL_EBIT(LTMA,NOW,NOW,M,""PORTAGG"",""MEANR"")")</f>
        <v>10.530381449473399</v>
      </c>
      <c r="M9">
        <f>HLOOKUP(D9,'Index ROE'!$A$1:$N$25,25,FALSE)</f>
        <v>14.7207289002436</v>
      </c>
      <c r="N9">
        <f>VLOOKUP(A9,'LIQIDITY 2'!$A$3:$E$16,5,FALSE)</f>
        <v>4.1420000000000003</v>
      </c>
      <c r="O9" cm="1">
        <f t="array" ref="O9">IFERROR(IFERROR(IFERROR(IFERROR(_xll.FDS(B9,"IMF_IFS_RCPI_Q(0)"),_xll.FDS(B9,"IMF_IFS_RCPI_Q(-1AM)")),_xll.FDS(B9,"IMF_IFS_RCPI_Q(-2AM)")),_xll.FDS(B9,"IMF_IFS_RCPI_Q(-3AM)")),$D$31)</f>
        <v>3.9194993999999999</v>
      </c>
      <c r="P9">
        <f>VLOOKUP(E9,GDP_GROWTH!$B$10:$W$165,22,FALSE)</f>
        <v>1.0976426250664972</v>
      </c>
      <c r="Q9">
        <f t="shared" si="0"/>
        <v>-0.20622542816888023</v>
      </c>
      <c r="R9" s="52">
        <f t="shared" si="1"/>
        <v>2.03690034019926</v>
      </c>
      <c r="S9">
        <f t="shared" si="2"/>
        <v>10.5787289002436</v>
      </c>
      <c r="T9">
        <f t="shared" si="3"/>
        <v>10.801229500243601</v>
      </c>
      <c r="U9" cm="1">
        <f t="array" ref="U9">_xlfn.PERCENTRANK.EXC(_xlfn._xlws.FILTER(Q$3:Q$15, ISNUMBER(Q$3:Q$15)),Q9)*100</f>
        <v>42.8</v>
      </c>
      <c r="V9" cm="1">
        <f t="array" ref="V9">_xlfn.PERCENTRANK.EXC(_xlfn._xlws.FILTER(R$3:R$15, ISNUMBER(R$3:R$15)),R9)*100</f>
        <v>50</v>
      </c>
      <c r="W9" cm="1">
        <f t="array" ref="W9">_xlfn.PERCENTRANK.EXC(_xlfn._xlws.FILTER(S$3:S$15, ISNUMBER(S$3:S$15)),S9)*100</f>
        <v>64.2</v>
      </c>
      <c r="X9" cm="1">
        <f t="array" ref="X9">(1-_xlfn.PERCENTRANK.EXC(_xlfn._xlws.FILTER(G$3:G$15, ISNUMBER(G$3:G$15)),G9))*100</f>
        <v>85.8</v>
      </c>
      <c r="Y9" cm="1">
        <f t="array" ref="Y9">(1-_xlfn.PERCENTRANK.EXC(_xlfn._xlws.FILTER(H$3:H$15, ISNUMBER(H$3:H$15)),H9))*100</f>
        <v>85.8</v>
      </c>
      <c r="Z9" cm="1">
        <f t="array" ref="Z9">_xlfn.PERCENTRANK.EXC(_xlfn._xlws.FILTER(T$3:T$15, ISNUMBER(T$3:T$15)),T9)*100</f>
        <v>64.2</v>
      </c>
      <c r="AA9" cm="1">
        <f t="array" ref="AA9">_xlfn.PERCENTRANK.EXC(_xlfn._xlws.FILTER(P$3:P$15, ISNUMBER(P$3:P$15)),P9)*100</f>
        <v>35.699999999999996</v>
      </c>
      <c r="AB9">
        <f>U9*Assumption!$E$40 + V9*Assumption!$F$40 + X9*Assumption!$G$40 + Y9*Assumption!$H$40 + W9*Assumption!$I$40 +Z9* Assumption!$K$40 + AA9* Assumption!$J$40</f>
        <v>70.38000000000001</v>
      </c>
      <c r="AC9" cm="1">
        <f t="array" ref="AC9">_xlfn.PERCENTRANK.EXC(_xlfn._xlws.FILTER(AB$3:AB$15, ISNUMBER(AB$3:AB$15)),AB9)*100</f>
        <v>85.7</v>
      </c>
    </row>
    <row r="10" spans="1:29" x14ac:dyDescent="0.35">
      <c r="A10" t="s">
        <v>51</v>
      </c>
      <c r="B10" t="s">
        <v>170</v>
      </c>
      <c r="C10" t="str" cm="1">
        <f t="array" ref="C10">_xll.FDS(A10,"FG_COMPANY_NAME")</f>
        <v>Invesco QQQ Trust Series I</v>
      </c>
      <c r="D10" t="s">
        <v>51</v>
      </c>
      <c r="E10" t="s">
        <v>720</v>
      </c>
      <c r="F10" s="2" cm="1">
        <f t="array" ref="F10">_xll.FDS(D10,"JULIAN(FMA_DIV_YLD(NTMA,NOW,NOW,M,""PORTAGG"",""MEANR"").dates)")</f>
        <v>45412</v>
      </c>
      <c r="G10" s="4" cm="1">
        <f t="array" ref="G10">_xll.FDS(D10,"FMA_PE(LTM,0,,,""PORTAGG"",""MEANR"")")</f>
        <v>33.549624086545798</v>
      </c>
      <c r="H10" s="4" cm="1">
        <f t="array" ref="H10">_xll.FDS(D10,"FMA_PE(NTMA,0,,,""PORTAGG"",""MEANR"")")</f>
        <v>25.5439841689895</v>
      </c>
      <c r="I10" cm="1">
        <f t="array" ref="I10">_xll.FDS(D10,"FMA_DIV_YLD(NTMA,NOW,NOW,M,""PORTAGG"",""MEANR"")")</f>
        <v>0.94389688030197405</v>
      </c>
      <c r="J10" s="52" cm="1">
        <f t="array" ref="J10">IFERROR(_xll.FDS(D10,"FG_FCF_YIELD_NTM(0)"),(1/G10*100))</f>
        <v>3.6958742325989702</v>
      </c>
      <c r="K10" s="3" cm="1">
        <f t="array" ref="K10">_xll.FDS(D10,"FMA_EVAL_EBITDA(NTMA,0,,,""PORTAGG"",""MEANR"")")</f>
        <v>15.985688484800001</v>
      </c>
      <c r="L10" cm="1">
        <f t="array" ref="L10">_xll.FDS(D10,"FMA_EVAL_EBIT(LTMA,NOW,NOW,M,""PORTAGG"",""MEANR"")")</f>
        <v>24.242590437279102</v>
      </c>
      <c r="M10">
        <f>HLOOKUP(D10,'Index ROE'!$A$1:$N$25,25,FALSE)</f>
        <v>25.319915596446201</v>
      </c>
      <c r="N10">
        <f>VLOOKUP(A10,'LIQIDITY 2'!$A$3:$E$16,5,FALSE)</f>
        <v>4.4574999999999996</v>
      </c>
      <c r="O10" cm="1">
        <f t="array" ref="O10">IFERROR(IFERROR(IFERROR(IFERROR(_xll.FDS(B10,"IMF_IFS_RCPI_Q(0)"),_xll.FDS(B10,"IMF_IFS_RCPI_Q(-1AM)")),_xll.FDS(B10,"IMF_IFS_RCPI_Q(-2AM)")),_xll.FDS(B10,"IMF_IFS_RCPI_Q(-3AM)")),$D$31)</f>
        <v>3.2095159999999998</v>
      </c>
      <c r="P10">
        <f>VLOOKUP(E10,GDP_GROWTH!$B$10:$W$165,22,FALSE)</f>
        <v>2.0868572594445189</v>
      </c>
      <c r="Q10">
        <f t="shared" si="0"/>
        <v>-3.5136031196980255</v>
      </c>
      <c r="R10" s="52">
        <f t="shared" si="1"/>
        <v>-0.76162576740102939</v>
      </c>
      <c r="S10">
        <f t="shared" si="2"/>
        <v>20.862415596446201</v>
      </c>
      <c r="T10">
        <f t="shared" si="3"/>
        <v>22.1103995964462</v>
      </c>
      <c r="U10" cm="1">
        <f t="array" ref="U10">_xlfn.PERCENTRANK.EXC(_xlfn._xlws.FILTER(Q$3:Q$15, ISNUMBER(Q$3:Q$15)),Q10)*100</f>
        <v>7.1</v>
      </c>
      <c r="V10" cm="1">
        <f t="array" ref="V10">_xlfn.PERCENTRANK.EXC(_xlfn._xlws.FILTER(R$3:R$15, ISNUMBER(R$3:R$15)),R10)*100</f>
        <v>14.2</v>
      </c>
      <c r="W10" cm="1">
        <f t="array" ref="W10">_xlfn.PERCENTRANK.EXC(_xlfn._xlws.FILTER(S$3:S$15, ISNUMBER(S$3:S$15)),S10)*100</f>
        <v>92.800000000000011</v>
      </c>
      <c r="X10" cm="1">
        <f t="array" ref="X10">(1-_xlfn.PERCENTRANK.EXC(_xlfn._xlws.FILTER(G$3:G$15, ISNUMBER(G$3:G$15)),G10))*100</f>
        <v>7.1999999999999957</v>
      </c>
      <c r="Y10" cm="1">
        <f t="array" ref="Y10">(1-_xlfn.PERCENTRANK.EXC(_xlfn._xlws.FILTER(H$3:H$15, ISNUMBER(H$3:H$15)),H10))*100</f>
        <v>7.1999999999999957</v>
      </c>
      <c r="Z10" cm="1">
        <f t="array" ref="Z10">_xlfn.PERCENTRANK.EXC(_xlfn._xlws.FILTER(T$3:T$15, ISNUMBER(T$3:T$15)),T10)*100</f>
        <v>92.800000000000011</v>
      </c>
      <c r="AA10" cm="1">
        <f t="array" ref="AA10">_xlfn.PERCENTRANK.EXC(_xlfn._xlws.FILTER(P$3:P$15, ISNUMBER(P$3:P$15)),P10)*100</f>
        <v>71.399999999999991</v>
      </c>
      <c r="AB10">
        <f>U10*Assumption!$E$40 + V10*Assumption!$F$40 + X10*Assumption!$G$40 + Y10*Assumption!$H$40 + W10*Assumption!$I$40 +Z10* Assumption!$K$40 + AA10* Assumption!$J$40</f>
        <v>26.064999999999998</v>
      </c>
      <c r="AC10" cm="1">
        <f t="array" ref="AC10">_xlfn.PERCENTRANK.EXC(_xlfn._xlws.FILTER(AB$3:AB$15, ISNUMBER(AB$3:AB$15)),AB10)*100</f>
        <v>14.2</v>
      </c>
    </row>
    <row r="11" spans="1:29" x14ac:dyDescent="0.35">
      <c r="A11" t="s">
        <v>1</v>
      </c>
      <c r="B11" t="s">
        <v>170</v>
      </c>
      <c r="C11" t="str" cm="1">
        <f t="array" ref="C11">_xll.FDS(A11,"FG_COMPANY_NAME")</f>
        <v>SPDR S&amp;P 500 ETF Trust</v>
      </c>
      <c r="D11" t="s">
        <v>1</v>
      </c>
      <c r="E11" t="s">
        <v>720</v>
      </c>
      <c r="F11" s="2" cm="1">
        <f t="array" ref="F11">_xll.FDS(D11,"JULIAN(FMA_DIV_YLD(NTMA,NOW,NOW,M,""PORTAGG"",""MEANR"").dates)")</f>
        <v>45412</v>
      </c>
      <c r="G11" s="4" cm="1">
        <f t="array" ref="G11">_xll.FDS(D11,"FMA_PE(LTM,0,,,""PORTAGG"",""MEANR"")")</f>
        <v>25.557694538247201</v>
      </c>
      <c r="H11" s="4" cm="1">
        <f t="array" ref="H11">_xll.FDS(D11,"FMA_PE(NTMA,0,,,""PORTAGG"",""MEANR"")")</f>
        <v>20.349688941604001</v>
      </c>
      <c r="I11" cm="1">
        <f t="array" ref="I11">_xll.FDS(D11,"FMA_DIV_YLD(NTMA,NOW,NOW,M,""PORTAGG"",""MEANR"")")</f>
        <v>1.50895004444709</v>
      </c>
      <c r="J11" s="52" cm="1">
        <f t="array" ref="J11">IFERROR(_xll.FDS(D11,"FG_FCF_YIELD_NTM(0)"),(1/G11*100))</f>
        <v>4.1560000753131199</v>
      </c>
      <c r="K11" s="3" cm="1">
        <f t="array" ref="K11">_xll.FDS(D11,"FMA_EVAL_EBITDA(NTMA,0,,,""PORTAGG"",""MEANR"")")</f>
        <v>14.0167075178041</v>
      </c>
      <c r="L11" cm="1">
        <f t="array" ref="L11">_xll.FDS(D11,"FMA_EVAL_EBIT(LTMA,NOW,NOW,M,""PORTAGG"",""MEANR"")")</f>
        <v>20.348989371001601</v>
      </c>
      <c r="M11">
        <f>HLOOKUP(D11,'Index ROE'!$A$1:$N$25,25,FALSE)</f>
        <v>20.348689231368802</v>
      </c>
      <c r="N11">
        <f>VLOOKUP(A11,'LIQIDITY 2'!$A$3:$E$16,5,FALSE)</f>
        <v>4.4574999999999996</v>
      </c>
      <c r="O11" cm="1">
        <f t="array" ref="O11">IFERROR(IFERROR(IFERROR(IFERROR(_xll.FDS(B11,"IMF_IFS_RCPI_Q(0)"),_xll.FDS(B11,"IMF_IFS_RCPI_Q(-1AM)")),_xll.FDS(B11,"IMF_IFS_RCPI_Q(-2AM)")),_xll.FDS(B11,"IMF_IFS_RCPI_Q(-3AM)")),$D$31)</f>
        <v>3.2095159999999998</v>
      </c>
      <c r="P11">
        <f>VLOOKUP(E11,GDP_GROWTH!$B$10:$W$165,22,FALSE)</f>
        <v>2.0868572594445189</v>
      </c>
      <c r="Q11">
        <f t="shared" si="0"/>
        <v>-2.9485499555529096</v>
      </c>
      <c r="R11" s="52">
        <f t="shared" si="1"/>
        <v>-0.30149992468687969</v>
      </c>
      <c r="S11">
        <f t="shared" si="2"/>
        <v>15.891189231368802</v>
      </c>
      <c r="T11">
        <f t="shared" si="3"/>
        <v>17.139173231368801</v>
      </c>
      <c r="U11" cm="1">
        <f t="array" ref="U11">_xlfn.PERCENTRANK.EXC(_xlfn._xlws.FILTER(Q$3:Q$15, ISNUMBER(Q$3:Q$15)),Q11)*100</f>
        <v>14.2</v>
      </c>
      <c r="V11" cm="1">
        <f t="array" ref="V11">_xlfn.PERCENTRANK.EXC(_xlfn._xlws.FILTER(R$3:R$15, ISNUMBER(R$3:R$15)),R11)*100</f>
        <v>21.4</v>
      </c>
      <c r="W11" cm="1">
        <f t="array" ref="W11">_xlfn.PERCENTRANK.EXC(_xlfn._xlws.FILTER(S$3:S$15, ISNUMBER(S$3:S$15)),S11)*100</f>
        <v>78.5</v>
      </c>
      <c r="X11" cm="1">
        <f t="array" ref="X11">(1-_xlfn.PERCENTRANK.EXC(_xlfn._xlws.FILTER(G$3:G$15, ISNUMBER(G$3:G$15)),G11))*100</f>
        <v>21.499999999999996</v>
      </c>
      <c r="Y11" cm="1">
        <f t="array" ref="Y11">(1-_xlfn.PERCENTRANK.EXC(_xlfn._xlws.FILTER(H$3:H$15, ISNUMBER(H$3:H$15)),H11))*100</f>
        <v>21.499999999999996</v>
      </c>
      <c r="Z11" cm="1">
        <f t="array" ref="Z11">_xlfn.PERCENTRANK.EXC(_xlfn._xlws.FILTER(T$3:T$15, ISNUMBER(T$3:T$15)),T11)*100</f>
        <v>78.5</v>
      </c>
      <c r="AA11" cm="1">
        <f t="array" ref="AA11">_xlfn.PERCENTRANK.EXC(_xlfn._xlws.FILTER(P$3:P$15, ISNUMBER(P$3:P$15)),P11)*100</f>
        <v>71.399999999999991</v>
      </c>
      <c r="AB11">
        <f>U11*Assumption!$E$40 + V11*Assumption!$F$40 + X11*Assumption!$G$40 + Y11*Assumption!$H$40 + W11*Assumption!$I$40 +Z11* Assumption!$K$40 + AA11* Assumption!$J$40</f>
        <v>32.51</v>
      </c>
      <c r="AC11" cm="1">
        <f t="array" ref="AC11">_xlfn.PERCENTRANK.EXC(_xlfn._xlws.FILTER(AB$3:AB$15, ISNUMBER(AB$3:AB$15)),AB11)*100</f>
        <v>28.499999999999996</v>
      </c>
    </row>
    <row r="12" spans="1:29" x14ac:dyDescent="0.35">
      <c r="A12" t="s">
        <v>865</v>
      </c>
      <c r="B12" t="s">
        <v>869</v>
      </c>
      <c r="C12" t="str" cm="1">
        <f t="array" ref="C12">_xll.FDS(A12,"FG_COMPANY_NAME")</f>
        <v>iShares MSCI France ETF</v>
      </c>
      <c r="D12" t="s">
        <v>865</v>
      </c>
      <c r="E12" t="s">
        <v>621</v>
      </c>
      <c r="F12" s="2" cm="1">
        <f t="array" ref="F12">_xll.FDS(D12,"JULIAN(FMA_DIV_YLD(NTMA,NOW,NOW,M,""PORTAGG"",""MEANR"").dates)")</f>
        <v>45412</v>
      </c>
      <c r="G12" s="4" cm="1">
        <f t="array" ref="G12">_xll.FDS(D12,"FMA_PE(LTM,0,,,""PORTAGG"",""MEANR"")")</f>
        <v>16.462349632695901</v>
      </c>
      <c r="H12" s="4" cm="1">
        <f t="array" ref="H12">_xll.FDS(D12,"FMA_PE(NTMA,0,,,""PORTAGG"",""MEANR"")")</f>
        <v>14.3981260506018</v>
      </c>
      <c r="I12" cm="1">
        <f t="array" ref="I12">_xll.FDS(D12,"FMA_DIV_YLD(NTMA,NOW,NOW,M,""PORTAGG"",""MEANR"")")</f>
        <v>3.1467813718039501</v>
      </c>
      <c r="J12" s="52" cm="1">
        <f t="array" ref="J12">IFERROR(_xll.FDS(D12,"FG_FCF_YIELD_NTM(0)"),(1/G12*100))</f>
        <v>5.6477342474593097</v>
      </c>
      <c r="K12" s="3" cm="1">
        <f t="array" ref="K12">_xll.FDS(D12,"FMA_EVAL_EBITDA(NTMA,0,,,""PORTAGG"",""MEANR"")")</f>
        <v>9.2985387228585203</v>
      </c>
      <c r="L12" cm="1">
        <f t="array" ref="L12">_xll.FDS(D12,"FMA_EVAL_EBIT(LTMA,NOW,NOW,M,""PORTAGG"",""MEANR"")")</f>
        <v>13.2382433903233</v>
      </c>
      <c r="M12">
        <f>HLOOKUP(D12,'Index ROE'!$A$1:$N$25,25,FALSE)</f>
        <v>13.2209624057671</v>
      </c>
      <c r="N12">
        <f>VLOOKUP(A12,'LIQIDITY 2'!$A$3:$E$16,5,FALSE)</f>
        <v>2.98</v>
      </c>
      <c r="O12" cm="1">
        <f t="array" ref="O12">IFERROR(IFERROR(IFERROR(IFERROR(_xll.FDS(B12,"IMF_IFS_RCPI_Q(0)"),_xll.FDS(B12,"IMF_IFS_RCPI_Q(-1AM)")),_xll.FDS(B12,"IMF_IFS_RCPI_Q(-2AM)")),_xll.FDS(B12,"IMF_IFS_RCPI_Q(-3AM)")),$D$31)</f>
        <v>2.7940200000000002</v>
      </c>
      <c r="P12">
        <f>VLOOKUP(E12,GDP_GROWTH!$B$10:$W$165,22,FALSE)</f>
        <v>0.9426946158151317</v>
      </c>
      <c r="Q12">
        <f t="shared" ref="Q12:Q15" si="4">I12-N12</f>
        <v>0.16678137180395014</v>
      </c>
      <c r="R12" s="52">
        <f t="shared" ref="R12:R15" si="5">J12-N12</f>
        <v>2.6677342474593098</v>
      </c>
      <c r="S12">
        <f t="shared" ref="S12:S15" si="6">M12-N12</f>
        <v>10.2409624057671</v>
      </c>
      <c r="T12">
        <f t="shared" ref="T12:T15" si="7">M12-O12</f>
        <v>10.4269424057671</v>
      </c>
      <c r="U12" cm="1">
        <f t="array" ref="U12">_xlfn.PERCENTRANK.EXC(_xlfn._xlws.FILTER(Q$3:Q$15, ISNUMBER(Q$3:Q$15)),Q12)*100</f>
        <v>57.099999999999994</v>
      </c>
      <c r="V12" cm="1">
        <f t="array" ref="V12">_xlfn.PERCENTRANK.EXC(_xlfn._xlws.FILTER(R$3:R$15, ISNUMBER(R$3:R$15)),R12)*100</f>
        <v>64.2</v>
      </c>
      <c r="W12" cm="1">
        <f t="array" ref="W12">_xlfn.PERCENTRANK.EXC(_xlfn._xlws.FILTER(S$3:S$15, ISNUMBER(S$3:S$15)),S12)*100</f>
        <v>57.099999999999994</v>
      </c>
      <c r="X12" cm="1">
        <f t="array" ref="X12">(1-_xlfn.PERCENTRANK.EXC(_xlfn._xlws.FILTER(G$3:G$15, ISNUMBER(G$3:G$15)),G12))*100</f>
        <v>50</v>
      </c>
      <c r="Y12" cm="1">
        <f t="array" ref="Y12">(1-_xlfn.PERCENTRANK.EXC(_xlfn._xlws.FILTER(H$3:H$15, ISNUMBER(H$3:H$15)),H12))*100</f>
        <v>71.500000000000014</v>
      </c>
      <c r="Z12" cm="1">
        <f t="array" ref="Z12">_xlfn.PERCENTRANK.EXC(_xlfn._xlws.FILTER(T$3:T$15, ISNUMBER(T$3:T$15)),T12)*100</f>
        <v>50</v>
      </c>
      <c r="AA12" cm="1">
        <f t="array" ref="AA12">_xlfn.PERCENTRANK.EXC(_xlfn._xlws.FILTER(P$3:P$15, ISNUMBER(P$3:P$15)),P12)*100</f>
        <v>28.499999999999996</v>
      </c>
      <c r="AB12">
        <f>U12*Assumption!$E$40 + V12*Assumption!$F$40 + X12*Assumption!$G$40 + Y12*Assumption!$H$40 + W12*Assumption!$I$40 +Z12* Assumption!$K$40 + AA12* Assumption!$J$40</f>
        <v>59.99</v>
      </c>
      <c r="AC12" cm="1">
        <f t="array" ref="AC12">_xlfn.PERCENTRANK.EXC(_xlfn._xlws.FILTER(AB$3:AB$15, ISNUMBER(AB$3:AB$15)),AB12)*100</f>
        <v>57.099999999999994</v>
      </c>
    </row>
    <row r="13" spans="1:29" x14ac:dyDescent="0.35">
      <c r="A13" t="s">
        <v>867</v>
      </c>
      <c r="B13" t="s">
        <v>870</v>
      </c>
      <c r="C13" t="str" cm="1">
        <f t="array" ref="C13">_xll.FDS(A13,"FG_COMPANY_NAME")</f>
        <v>iShares MSCI Netherlands ETF</v>
      </c>
      <c r="D13" t="s">
        <v>867</v>
      </c>
      <c r="E13" t="s">
        <v>673</v>
      </c>
      <c r="F13" s="2" cm="1">
        <f t="array" ref="F13">_xll.FDS(D13,"JULIAN(FMA_DIV_YLD(NTMA,NOW,NOW,M,""PORTAGG"",""MEANR"").dates)")</f>
        <v>45412</v>
      </c>
      <c r="G13" s="4" cm="1">
        <f t="array" ref="G13">_xll.FDS(D13,"FMA_PE(LTM,0,,,""PORTAGG"",""MEANR"")")</f>
        <v>19.626014432255701</v>
      </c>
      <c r="H13" s="4" cm="1">
        <f t="array" ref="H13">_xll.FDS(D13,"FMA_PE(NTMA,0,,,""PORTAGG"",""MEANR"")")</f>
        <v>15.954832645632701</v>
      </c>
      <c r="I13" cm="1">
        <f t="array" ref="I13">_xll.FDS(D13,"FMA_DIV_YLD(NTMA,NOW,NOW,M,""PORTAGG"",""MEANR"")")</f>
        <v>2.5916189807977101</v>
      </c>
      <c r="J13" s="52" cm="1">
        <f t="array" ref="J13">IFERROR(_xll.FDS(D13,"FG_FCF_YIELD_NTM(0)"),(1/G13*100))</f>
        <v>3.6877249697800498</v>
      </c>
      <c r="K13" s="3" cm="1">
        <f t="array" ref="K13">_xll.FDS(D13,"FMA_EVAL_EBITDA(NTMA,0,,,""PORTAGG"",""MEANR"")")</f>
        <v>12.483661084871899</v>
      </c>
      <c r="L13" cm="1">
        <f t="array" ref="L13">_xll.FDS(D13,"FMA_EVAL_EBIT(LTMA,NOW,NOW,M,""PORTAGG"",""MEANR"")")</f>
        <v>21.9357074692719</v>
      </c>
      <c r="M13">
        <f>HLOOKUP(D13,'Index ROE'!$A$1:$N$25,25,FALSE)</f>
        <v>12.745985668805799</v>
      </c>
      <c r="N13">
        <f>VLOOKUP(A13,'LIQIDITY 2'!$A$3:$E$16,5,FALSE)</f>
        <v>2.7959999999999998</v>
      </c>
      <c r="O13" cm="1">
        <f t="array" ref="O13">IFERROR(IFERROR(IFERROR(IFERROR(_xll.FDS(B13,"IMF_IFS_RCPI_Q(0)"),_xll.FDS(B13,"IMF_IFS_RCPI_Q(-1AM)")),_xll.FDS(B13,"IMF_IFS_RCPI_Q(-2AM)")),_xll.FDS(B13,"IMF_IFS_RCPI_Q(-3AM)")),$D$31)</f>
        <v>3.0237905999999999</v>
      </c>
      <c r="P13">
        <f>VLOOKUP(E13,GDP_GROWTH!$B$10:$W$165,22,FALSE)</f>
        <v>1.7793785730007783</v>
      </c>
      <c r="Q13">
        <f t="shared" si="4"/>
        <v>-0.20438101920228968</v>
      </c>
      <c r="R13" s="52">
        <f t="shared" si="5"/>
        <v>0.89172496978005</v>
      </c>
      <c r="S13">
        <f t="shared" si="6"/>
        <v>9.9499856688057999</v>
      </c>
      <c r="T13">
        <f t="shared" si="7"/>
        <v>9.7221950688057994</v>
      </c>
      <c r="U13" cm="1">
        <f t="array" ref="U13">_xlfn.PERCENTRANK.EXC(_xlfn._xlws.FILTER(Q$3:Q$15, ISNUMBER(Q$3:Q$15)),Q13)*100</f>
        <v>50</v>
      </c>
      <c r="V13" cm="1">
        <f t="array" ref="V13">_xlfn.PERCENTRANK.EXC(_xlfn._xlws.FILTER(R$3:R$15, ISNUMBER(R$3:R$15)),R13)*100</f>
        <v>35.699999999999996</v>
      </c>
      <c r="W13" cm="1">
        <f t="array" ref="W13">_xlfn.PERCENTRANK.EXC(_xlfn._xlws.FILTER(S$3:S$15, ISNUMBER(S$3:S$15)),S13)*100</f>
        <v>50</v>
      </c>
      <c r="X13" cm="1">
        <f t="array" ref="X13">(1-_xlfn.PERCENTRANK.EXC(_xlfn._xlws.FILTER(G$3:G$15, ISNUMBER(G$3:G$15)),G13))*100</f>
        <v>28.6</v>
      </c>
      <c r="Y13" cm="1">
        <f t="array" ref="Y13">(1-_xlfn.PERCENTRANK.EXC(_xlfn._xlws.FILTER(H$3:H$15, ISNUMBER(H$3:H$15)),H13))*100</f>
        <v>50</v>
      </c>
      <c r="Z13" cm="1">
        <f t="array" ref="Z13">_xlfn.PERCENTRANK.EXC(_xlfn._xlws.FILTER(T$3:T$15, ISNUMBER(T$3:T$15)),T13)*100</f>
        <v>35.699999999999996</v>
      </c>
      <c r="AA13" cm="1">
        <f t="array" ref="AA13">_xlfn.PERCENTRANK.EXC(_xlfn._xlws.FILTER(P$3:P$15, ISNUMBER(P$3:P$15)),P13)*100</f>
        <v>50</v>
      </c>
      <c r="AB13">
        <f>U13*Assumption!$E$40 + V13*Assumption!$F$40 + X13*Assumption!$G$40 + Y13*Assumption!$H$40 + W13*Assumption!$I$40 +Z13* Assumption!$K$40 + AA13* Assumption!$J$40</f>
        <v>39.645000000000003</v>
      </c>
      <c r="AC13" cm="1">
        <f t="array" ref="AC13">_xlfn.PERCENTRANK.EXC(_xlfn._xlws.FILTER(AB$3:AB$15, ISNUMBER(AB$3:AB$15)),AB13)*100</f>
        <v>35.699999999999996</v>
      </c>
    </row>
    <row r="14" spans="1:29" x14ac:dyDescent="0.35">
      <c r="A14" t="s">
        <v>864</v>
      </c>
      <c r="B14" t="s">
        <v>273</v>
      </c>
      <c r="C14" t="str" cm="1">
        <f t="array" ref="C14">_xll.FDS(A14,"FG_COMPANY_NAME")</f>
        <v>iShares MSCI Sweden ETF</v>
      </c>
      <c r="D14" t="s">
        <v>864</v>
      </c>
      <c r="E14" t="s">
        <v>705</v>
      </c>
      <c r="F14" s="2" cm="1">
        <f t="array" ref="F14">_xll.FDS(D14,"JULIAN(FMA_DIV_YLD(NTMA,NOW,NOW,M,""PORTAGG"",""MEANR"").dates)")</f>
        <v>45412</v>
      </c>
      <c r="G14" s="4" cm="1">
        <f t="array" ref="G14">_xll.FDS(D14,"FMA_PE(LTM,0,,,""PORTAGG"",""MEANR"")")</f>
        <v>14.350711362081899</v>
      </c>
      <c r="H14" s="4" cm="1">
        <f t="array" ref="H14">_xll.FDS(D14,"FMA_PE(NTMA,0,,,""PORTAGG"",""MEANR"")")</f>
        <v>16.064083251889802</v>
      </c>
      <c r="I14" cm="1">
        <f t="array" ref="I14">_xll.FDS(D14,"FMA_DIV_YLD(NTMA,NOW,NOW,M,""PORTAGG"",""MEANR"")")</f>
        <v>3.2707026325540398</v>
      </c>
      <c r="J14" s="52" cm="1">
        <f t="array" ref="J14">IFERROR(_xll.FDS(D14,"FG_FCF_YIELD_NTM(0)"),(1/G14*100))</f>
        <v>5.0929720138121901</v>
      </c>
      <c r="K14" s="3" cm="1">
        <f t="array" ref="K14">_xll.FDS(D14,"FMA_EVAL_EBITDA(NTMA,0,,,""PORTAGG"",""MEANR"")")</f>
        <v>11.1026437451997</v>
      </c>
      <c r="L14" cm="1">
        <f t="array" ref="L14">_xll.FDS(D14,"FMA_EVAL_EBIT(LTMA,NOW,NOW,M,""PORTAGG"",""MEANR"")")</f>
        <v>15.9134277089997</v>
      </c>
      <c r="M14">
        <f>HLOOKUP(D14,'Index ROE'!$A$1:$N$25,25,FALSE)</f>
        <v>15.409983039588701</v>
      </c>
      <c r="N14">
        <f>VLOOKUP(A14,'LIQIDITY 2'!$A$3:$E$16,5,FALSE)</f>
        <v>2.3570000000000002</v>
      </c>
      <c r="O14" cm="1">
        <f t="array" ref="O14">IFERROR(IFERROR(IFERROR(IFERROR(_xll.FDS(B14,"IMF_IFS_RCPI_Q(0)"),_xll.FDS(B14,"IMF_IFS_RCPI_Q(-1AM)")),_xll.FDS(B14,"IMF_IFS_RCPI_Q(-2AM)")),_xll.FDS(B14,"IMF_IFS_RCPI_Q(-3AM)")),$D$31)</f>
        <v>4.6701535999999999</v>
      </c>
      <c r="P14">
        <f>VLOOKUP(E14,GDP_GROWTH!$B$10:$W$165,22,FALSE)</f>
        <v>1.8182767577278436</v>
      </c>
      <c r="Q14">
        <f t="shared" si="4"/>
        <v>0.91370263255403961</v>
      </c>
      <c r="R14" s="52">
        <f t="shared" si="5"/>
        <v>2.7359720138121899</v>
      </c>
      <c r="S14">
        <f t="shared" si="6"/>
        <v>13.0529830395887</v>
      </c>
      <c r="T14">
        <f t="shared" si="7"/>
        <v>10.7398294395887</v>
      </c>
      <c r="U14" cm="1">
        <f t="array" ref="U14">_xlfn.PERCENTRANK.EXC(_xlfn._xlws.FILTER(Q$3:Q$15, ISNUMBER(Q$3:Q$15)),Q14)*100</f>
        <v>71.399999999999991</v>
      </c>
      <c r="V14" cm="1">
        <f t="array" ref="V14">_xlfn.PERCENTRANK.EXC(_xlfn._xlws.FILTER(R$3:R$15, ISNUMBER(R$3:R$15)),R14)*100</f>
        <v>71.399999999999991</v>
      </c>
      <c r="W14" cm="1">
        <f t="array" ref="W14">_xlfn.PERCENTRANK.EXC(_xlfn._xlws.FILTER(S$3:S$15, ISNUMBER(S$3:S$15)),S14)*100</f>
        <v>71.399999999999991</v>
      </c>
      <c r="X14" cm="1">
        <f t="array" ref="X14">(1-_xlfn.PERCENTRANK.EXC(_xlfn._xlws.FILTER(G$3:G$15, ISNUMBER(G$3:G$15)),G14))*100</f>
        <v>71.500000000000014</v>
      </c>
      <c r="Y14" cm="1">
        <f t="array" ref="Y14">(1-_xlfn.PERCENTRANK.EXC(_xlfn._xlws.FILTER(H$3:H$15, ISNUMBER(H$3:H$15)),H14))*100</f>
        <v>42.900000000000006</v>
      </c>
      <c r="Z14" cm="1">
        <f t="array" ref="Z14">_xlfn.PERCENTRANK.EXC(_xlfn._xlws.FILTER(T$3:T$15, ISNUMBER(T$3:T$15)),T14)*100</f>
        <v>57.099999999999994</v>
      </c>
      <c r="AA14" cm="1">
        <f t="array" ref="AA14">_xlfn.PERCENTRANK.EXC(_xlfn._xlws.FILTER(P$3:P$15, ISNUMBER(P$3:P$15)),P14)*100</f>
        <v>57.099999999999994</v>
      </c>
      <c r="AB14">
        <f>U14*Assumption!$E$40 + V14*Assumption!$F$40 + X14*Assumption!$G$40 + Y14*Assumption!$H$40 + W14*Assumption!$I$40 +Z14* Assumption!$K$40 + AA14* Assumption!$J$40</f>
        <v>62.870000000000005</v>
      </c>
      <c r="AC14" cm="1">
        <f t="array" ref="AC14">_xlfn.PERCENTRANK.EXC(_xlfn._xlws.FILTER(AB$3:AB$15, ISNUMBER(AB$3:AB$15)),AB14)*100</f>
        <v>64.2</v>
      </c>
    </row>
    <row r="15" spans="1:29" x14ac:dyDescent="0.35">
      <c r="A15" t="s">
        <v>866</v>
      </c>
      <c r="B15" t="s">
        <v>868</v>
      </c>
      <c r="C15" t="str" cm="1">
        <f t="array" ref="C15">_xll.FDS(A15,"FG_COMPANY_NAME")</f>
        <v>iShares MSCI Italy ETF</v>
      </c>
      <c r="D15" t="s">
        <v>866</v>
      </c>
      <c r="E15" t="s">
        <v>641</v>
      </c>
      <c r="F15" s="2" cm="1">
        <f t="array" ref="F15">_xll.FDS(D15,"JULIAN(FMA_DIV_YLD(NTMA,NOW,NOW,M,""PORTAGG"",""MEANR"").dates)")</f>
        <v>45412</v>
      </c>
      <c r="G15" s="4" cm="1">
        <f t="array" ref="G15">_xll.FDS(D15,"FMA_PE(LTM,0,,,""PORTAGG"",""MEANR"")")</f>
        <v>9.8590325298191601</v>
      </c>
      <c r="H15" s="4" cm="1">
        <f t="array" ref="H15">_xll.FDS(D15,"FMA_PE(NTMA,0,,,""PORTAGG"",""MEANR"")")</f>
        <v>9.6846014404841299</v>
      </c>
      <c r="I15" cm="1">
        <f t="array" ref="I15">_xll.FDS(D15,"FMA_DIV_YLD(NTMA,NOW,NOW,M,""PORTAGG"",""MEANR"")")</f>
        <v>5.3077584436945999</v>
      </c>
      <c r="J15" s="52" cm="1">
        <f t="array" ref="J15">IFERROR(_xll.FDS(D15,"FG_FCF_YIELD_NTM(0)"),(1/G15*100))</f>
        <v>6.2933730231682601</v>
      </c>
      <c r="K15" s="3" cm="1">
        <f t="array" ref="K15">_xll.FDS(D15,"FMA_EVAL_EBITDA(NTMA,0,,,""PORTAGG"",""MEANR"")")</f>
        <v>6.9868066845955603</v>
      </c>
      <c r="L15" cm="1">
        <f t="array" ref="L15">_xll.FDS(D15,"FMA_EVAL_EBIT(LTMA,NOW,NOW,M,""PORTAGG"",""MEANR"")")</f>
        <v>10.8145323962168</v>
      </c>
      <c r="M15">
        <f>HLOOKUP(D15,'Index ROE'!$A$1:$N$25,25,FALSE)</f>
        <v>13.357216205566599</v>
      </c>
      <c r="N15">
        <f>VLOOKUP(A15,'LIQIDITY 2'!$A$3:$E$16,5,FALSE)</f>
        <v>3.8090000000000002</v>
      </c>
      <c r="O15" cm="1">
        <f t="array" ref="O15">IFERROR(IFERROR(IFERROR(IFERROR(_xll.FDS(B15,"IMF_IFS_RCPI_Q(0)"),_xll.FDS(B15,"IMF_IFS_RCPI_Q(-1AM)")),_xll.FDS(B15,"IMF_IFS_RCPI_Q(-2AM)")),_xll.FDS(B15,"IMF_IFS_RCPI_Q(-3AM)")),$D$31)</f>
        <v>0.92385905999999995</v>
      </c>
      <c r="P15">
        <f>VLOOKUP(E15,GDP_GROWTH!$B$10:$W$165,22,FALSE)</f>
        <v>0.32855305426654491</v>
      </c>
      <c r="Q15">
        <f t="shared" si="4"/>
        <v>1.4987584436945998</v>
      </c>
      <c r="R15" s="52">
        <f t="shared" si="5"/>
        <v>2.4843730231682599</v>
      </c>
      <c r="S15">
        <f t="shared" si="6"/>
        <v>9.5482162055666002</v>
      </c>
      <c r="T15">
        <f t="shared" si="7"/>
        <v>12.4333571455666</v>
      </c>
      <c r="U15" cm="1">
        <f t="array" ref="U15">_xlfn.PERCENTRANK.EXC(_xlfn._xlws.FILTER(Q$3:Q$15, ISNUMBER(Q$3:Q$15)),Q15)*100</f>
        <v>85.7</v>
      </c>
      <c r="V15" cm="1">
        <f t="array" ref="V15">_xlfn.PERCENTRANK.EXC(_xlfn._xlws.FILTER(R$3:R$15, ISNUMBER(R$3:R$15)),R15)*100</f>
        <v>57.099999999999994</v>
      </c>
      <c r="W15" cm="1">
        <f t="array" ref="W15">_xlfn.PERCENTRANK.EXC(_xlfn._xlws.FILTER(S$3:S$15, ISNUMBER(S$3:S$15)),S15)*100</f>
        <v>42.8</v>
      </c>
      <c r="X15" cm="1">
        <f t="array" ref="X15">(1-_xlfn.PERCENTRANK.EXC(_xlfn._xlws.FILTER(G$3:G$15, ISNUMBER(G$3:G$15)),G15))*100</f>
        <v>92.9</v>
      </c>
      <c r="Y15" cm="1">
        <f t="array" ref="Y15">(1-_xlfn.PERCENTRANK.EXC(_xlfn._xlws.FILTER(H$3:H$15, ISNUMBER(H$3:H$15)),H15))*100</f>
        <v>92.9</v>
      </c>
      <c r="Z15" cm="1">
        <f t="array" ref="Z15">_xlfn.PERCENTRANK.EXC(_xlfn._xlws.FILTER(T$3:T$15, ISNUMBER(T$3:T$15)),T15)*100</f>
        <v>71.399999999999991</v>
      </c>
      <c r="AA15" cm="1">
        <f t="array" ref="AA15">_xlfn.PERCENTRANK.EXC(_xlfn._xlws.FILTER(P$3:P$15, ISNUMBER(P$3:P$15)),P15)*100</f>
        <v>14.2</v>
      </c>
      <c r="AB15">
        <f>U15*Assumption!$E$40 + V15*Assumption!$F$40 + X15*Assumption!$G$40 + Y15*Assumption!$H$40 + W15*Assumption!$I$40 +Z15* Assumption!$K$40 + AA15* Assumption!$J$40</f>
        <v>76.429999999999993</v>
      </c>
      <c r="AC15" cm="1">
        <f t="array" ref="AC15">_xlfn.PERCENTRANK.EXC(_xlfn._xlws.FILTER(AB$3:AB$15, ISNUMBER(AB$3:AB$15)),AB15)*100</f>
        <v>92.800000000000011</v>
      </c>
    </row>
    <row r="16" spans="1:29" x14ac:dyDescent="0.35">
      <c r="F16" s="2"/>
      <c r="G16" s="4"/>
      <c r="H16" s="4"/>
      <c r="J16" s="52"/>
      <c r="K16" s="3"/>
    </row>
    <row r="17" spans="1:12" x14ac:dyDescent="0.35">
      <c r="F17" s="2"/>
      <c r="G17" s="4"/>
      <c r="H17" s="4"/>
      <c r="J17" s="52"/>
      <c r="K17" s="3"/>
    </row>
    <row r="18" spans="1:12" x14ac:dyDescent="0.35">
      <c r="A18" t="s">
        <v>535</v>
      </c>
      <c r="F18" s="2"/>
      <c r="G18" s="4"/>
      <c r="H18" s="4"/>
      <c r="J18" s="52"/>
      <c r="K18" s="3"/>
    </row>
    <row r="19" spans="1:12" x14ac:dyDescent="0.35">
      <c r="A19" t="s">
        <v>536</v>
      </c>
      <c r="B19" t="s">
        <v>161</v>
      </c>
      <c r="C19" t="s">
        <v>537</v>
      </c>
      <c r="D19" t="str">
        <f>A19</f>
        <v>VGK</v>
      </c>
      <c r="F19" s="2" cm="1">
        <f t="array" ref="F19">_xll.FDS(D19,"JULIAN(FMA_DIV_YLD(NTMA,NOW,NOW,M,""PORTAGG"",""MEANR"").dates)")</f>
        <v>45379</v>
      </c>
      <c r="G19" s="4" cm="1">
        <f t="array" ref="G19">_xll.FDS(D19,"FG_PE(0)")</f>
        <v>13.154570170531301</v>
      </c>
      <c r="H19" s="4" cm="1">
        <f t="array" ref="H19">_xll.FDS(D19,"FG_PE_NTM(0,,,90,0)")</f>
        <v>13.6709040597542</v>
      </c>
      <c r="I19" cm="1">
        <f t="array" ref="I19">_xll.FDS(D19,"FMA_DIV_YLD(NTMA,NOW,NOW,M,""PORTAGG"",""MEANR"")")</f>
        <v>3.44734513782547</v>
      </c>
      <c r="J19" s="52" cm="1">
        <f t="array" ref="J19">_xll.FDS(D19,"FG_FCF_YIELD_NTM(0)")</f>
        <v>5.1990732989571597</v>
      </c>
      <c r="K19" s="3" cm="1">
        <f t="array" ref="K19">_xll.FDS(D19,"FMA_EVAL_EBITDA(NTMA,0,,,""PORTAGG"",""MEANR"")")</f>
        <v>9.0196502976949091</v>
      </c>
      <c r="L19" cm="1">
        <f t="array" ref="L19">_xll.FDS(D19,"FMA_EVAL_EBIT(LTMA,NOW,NOW,M,""PORTAGG"",""MEANR"")")</f>
        <v>13.260949007199001</v>
      </c>
    </row>
    <row r="20" spans="1:12" x14ac:dyDescent="0.35">
      <c r="A20" t="s">
        <v>6</v>
      </c>
      <c r="C20" t="s">
        <v>538</v>
      </c>
      <c r="D20" t="str">
        <f>A20</f>
        <v>VWO</v>
      </c>
      <c r="F20" s="2" cm="1">
        <f t="array" ref="F20">_xll.FDS(D20,"JULIAN(FMA_DIV_YLD(NTMA,NOW,NOW,M,""PORTAGG"",""MEANR"").dates)")</f>
        <v>45379</v>
      </c>
      <c r="G20" s="4" cm="1">
        <f t="array" ref="G20">_xll.FDS(D20,"FG_PE(0)")</f>
        <v>14.067881058869499</v>
      </c>
      <c r="H20" s="4" cm="1">
        <f t="array" ref="H20">_xll.FDS(D20,"FG_PE_NTM(0,,,90,0)")</f>
        <v>12.476827384102799</v>
      </c>
      <c r="I20" cm="1">
        <f t="array" ref="I20">_xll.FDS(D20,"FMA_DIV_YLD(NTMA,NOW,NOW,M,""PORTAGG"",""MEANR"")")</f>
        <v>3.0752082052836398</v>
      </c>
      <c r="J20" s="52" cm="1">
        <f t="array" ref="J20">_xll.FDS(D20,"FG_FCF_YIELD_NTM(0)")</f>
        <v>5.4311419466618398</v>
      </c>
      <c r="K20" s="3" cm="1">
        <f t="array" ref="K20">_xll.FDS(D20,"FMA_EVAL_EBITDA(NTMA,0,,,""PORTAGG"",""MEANR"")")</f>
        <v>8.8251278368619204</v>
      </c>
      <c r="L20" cm="1">
        <f t="array" ref="L20">_xll.FDS(D20,"FMA_EVAL_EBIT(LTMA,NOW,NOW,M,""PORTAGG"",""MEANR"")")</f>
        <v>14.385557395162801</v>
      </c>
    </row>
    <row r="21" spans="1:12" x14ac:dyDescent="0.35">
      <c r="F21" s="2"/>
      <c r="G21" s="4"/>
      <c r="H21" s="4"/>
      <c r="J21" s="52"/>
      <c r="K21" s="3"/>
    </row>
    <row r="22" spans="1:12" x14ac:dyDescent="0.35">
      <c r="B22" t="s">
        <v>776</v>
      </c>
      <c r="C22" t="s">
        <v>544</v>
      </c>
      <c r="D22" t="s">
        <v>777</v>
      </c>
      <c r="F22" s="2"/>
      <c r="G22" s="4"/>
      <c r="H22" s="4"/>
      <c r="J22" s="52"/>
      <c r="K22" s="3"/>
    </row>
    <row r="23" spans="1:12" x14ac:dyDescent="0.35">
      <c r="B23" t="s">
        <v>170</v>
      </c>
      <c r="C23" t="s">
        <v>720</v>
      </c>
      <c r="D23" cm="1">
        <f t="array" ref="D23">IFERROR(IFERROR(IFERROR(_xll.FDS(B23,"IMF_IFS_RCPI_Q(0)"),_xll.FDS(B23,"IMF_IFS_RCPI_Q(-1AM)")),_xll.FDS(B23,"IMF_IFS_RCPI_Q(-2AM)")),_xll.FDS(B23,"IMF_IFS_RCPI_Q(-3AM)"))</f>
        <v>3.2095159999999998</v>
      </c>
    </row>
    <row r="33" spans="4:5" x14ac:dyDescent="0.35">
      <c r="D33" s="1"/>
      <c r="E33" s="1"/>
    </row>
    <row r="40" spans="4:5" x14ac:dyDescent="0.35">
      <c r="D40" s="1"/>
      <c r="E40" s="1"/>
    </row>
    <row r="45" spans="4:5" x14ac:dyDescent="0.35">
      <c r="D45" s="1"/>
      <c r="E45" s="1"/>
    </row>
    <row r="50" spans="4:5" x14ac:dyDescent="0.35">
      <c r="D50" s="1"/>
      <c r="E50" s="1"/>
    </row>
    <row r="51" spans="4:5" x14ac:dyDescent="0.35">
      <c r="D51" s="1"/>
      <c r="E51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1"/>
  <sheetViews>
    <sheetView topLeftCell="A2" zoomScale="145" zoomScaleNormal="145" workbookViewId="0">
      <selection activeCell="G3" sqref="G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525</v>
      </c>
      <c r="G2" s="25" t="s">
        <v>907</v>
      </c>
      <c r="H2" s="25" t="s">
        <v>381</v>
      </c>
      <c r="I2" s="25" t="s">
        <v>490</v>
      </c>
      <c r="L2" s="25" t="s">
        <v>526</v>
      </c>
      <c r="S2" s="5" t="s">
        <v>459</v>
      </c>
      <c r="T2" s="5" t="s">
        <v>458</v>
      </c>
      <c r="U2" t="s">
        <v>382</v>
      </c>
      <c r="V2" s="46"/>
      <c r="X2" t="s">
        <v>552</v>
      </c>
    </row>
    <row r="3" spans="1:24" x14ac:dyDescent="0.35">
      <c r="A3" t="s">
        <v>431</v>
      </c>
      <c r="B3" t="s">
        <v>197</v>
      </c>
      <c r="C3" t="s">
        <v>449</v>
      </c>
      <c r="D3" s="26" t="str" cm="1">
        <f t="array" ref="D3">_xll.FDSB(C3,"FG_YIELD_NAME")</f>
        <v>New Zealand Benchmark Bond - 10 Year</v>
      </c>
      <c r="E3" s="26" cm="1">
        <f t="array" ref="E3">IFERROR(_xll.FDS(C3,"FG_YIELD(0,,,,""YTM"")"),$E$18)</f>
        <v>4.7396000000000003</v>
      </c>
      <c r="G3" s="26" cm="1">
        <f t="array" ref="G3">_xll.FDSB(C3,"PCTCHG(FG_YIELD(0,,,,""YTM""),FG_YIELD(-1AM,,,,""YTM""))")</f>
        <v>-0.58938299999999999</v>
      </c>
      <c r="H3" s="26" cm="1">
        <f t="array" ref="H3">_xll.FDSB(C3,"PCTCHG(FG_YIELD(0,,,,""YTM""),FG_YIELD(-3AM,,,,""YTM""))")</f>
        <v>-2.1249359999999999</v>
      </c>
      <c r="I3" s="26"/>
      <c r="J3" s="26" t="str">
        <f>VLOOKUP(B3,mnemonics!$A$4:$D$78, 4, FALSE)</f>
        <v>REFNZOCR-FDS</v>
      </c>
      <c r="K3" s="26" t="str" cm="1">
        <f t="array" ref="K3">_xll.FDSB(J3,"PROPER_NAME(0,,,""SECURITY"",""NAME"")")</f>
        <v>New Zealand Official Cash Rate</v>
      </c>
      <c r="L3" s="26" cm="1">
        <f t="array" ref="L3">_xll.FDSB(J3,"FG_YIELD(NOW,,,0)")</f>
        <v>5.5</v>
      </c>
      <c r="M3" s="36" cm="1">
        <f t="array" ref="M3">_xll.FDSB(J3,"(SUBARRAY(NOT_NA(NO_REPEAT_F(FG_YIELD(now,-10AY,D))),0,1)-SUBARRAY(NOT_NA(NO_REPEAT_F(FG_YIELD(now,-10AY,D))),1,1))*100")</f>
        <v>25</v>
      </c>
      <c r="N3" s="38">
        <f t="shared" ref="N3:N15" si="0">M3*-1</f>
        <v>-25</v>
      </c>
      <c r="O3" s="26">
        <f>L3-E3</f>
        <v>0.76039999999999974</v>
      </c>
      <c r="S3">
        <f t="shared" ref="S3:S15" si="1">IF(M3&gt; 0, 0, 1)</f>
        <v>0</v>
      </c>
      <c r="T3">
        <f t="shared" ref="T3:T15" si="2">IF(G3&lt;0, 1, 0)</f>
        <v>1</v>
      </c>
      <c r="U3">
        <f t="shared" ref="U3:U15" si="3">IF(H3&lt;0, 1, 0)</f>
        <v>1</v>
      </c>
      <c r="V3" s="47">
        <f t="shared" ref="V3:V15" si="4">SUMPRODUCT($S$1:$U$1,S3:U3)</f>
        <v>0.5</v>
      </c>
      <c r="X3">
        <f>_xlfn.PERCENTRANK.EXC($V$3:$V$15,V3)*100</f>
        <v>78.5</v>
      </c>
    </row>
    <row r="4" spans="1:24" x14ac:dyDescent="0.35">
      <c r="A4" t="s">
        <v>44</v>
      </c>
      <c r="B4" t="s">
        <v>113</v>
      </c>
      <c r="C4" t="s">
        <v>138</v>
      </c>
      <c r="D4" s="26" t="str" cm="1">
        <f t="array" ref="D4">_xll.FDSB(C4,"FG_YIELD_NAME")</f>
        <v>Australia Benchmark Bond - 10 Year</v>
      </c>
      <c r="E4" s="26" cm="1">
        <f t="array" ref="E4">IFERROR(_xll.FDS(C4,"FG_YIELD(0,,,,""YTM"")"),$E$18)</f>
        <v>4.351</v>
      </c>
      <c r="G4" s="26" cm="1">
        <f t="array" ref="G4">_xll.FDSB(C4,"PCTCHG(FG_YIELD(0,,,,""YTM""),FG_YIELD(-1AM,,,,""YTM""))")</f>
        <v>4.2155604000000002</v>
      </c>
      <c r="H4" s="26" cm="1">
        <f t="array" ref="H4">_xll.FDSB(C4,"PCTCHG(FG_YIELD(0,,,,""YTM""),FG_YIELD(-3AM,,,,""YTM""))")</f>
        <v>5.4021330000000001</v>
      </c>
      <c r="I4" s="26"/>
      <c r="J4" s="26" t="str">
        <f>VLOOKUP(B4,mnemonics!$A$4:$D$78, 4, FALSE)</f>
        <v>REFAUCASH-FDS</v>
      </c>
      <c r="K4" s="26" t="str" cm="1">
        <f t="array" ref="K4">_xll.FDSB(J4,"PROPER_NAME(0,,,""SECURITY"",""NAME"")")</f>
        <v>Australia Target Cash Rate</v>
      </c>
      <c r="L4" s="26" cm="1">
        <f t="array" ref="L4">_xll.FDSB(J4,"FG_YIELD(NOW,,,0)")</f>
        <v>4.3499999999999996</v>
      </c>
      <c r="M4" s="36" cm="1">
        <f t="array" ref="M4">_xll.FDSB(J4,"(SUBARRAY(NOT_NA(NO_REPEAT_F(FG_YIELD(now,-10AY,D))),0,1)-SUBARRAY(NOT_NA(NO_REPEAT_F(FG_YIELD(now,-10AY,D))),1,1))*100")</f>
        <v>25</v>
      </c>
      <c r="N4" s="38">
        <f t="shared" si="0"/>
        <v>-25</v>
      </c>
      <c r="O4" s="26">
        <f t="shared" ref="O4:O15" si="5">L4-E4</f>
        <v>-1.000000000000334E-3</v>
      </c>
      <c r="S4">
        <f t="shared" si="1"/>
        <v>0</v>
      </c>
      <c r="T4">
        <f t="shared" si="2"/>
        <v>0</v>
      </c>
      <c r="U4">
        <f t="shared" si="3"/>
        <v>0</v>
      </c>
      <c r="V4" s="47">
        <f t="shared" si="4"/>
        <v>0</v>
      </c>
      <c r="X4">
        <f t="shared" ref="X4:X15" si="6">_xlfn.PERCENTRANK.EXC($V$3:$V$15,V4)*100</f>
        <v>7.1</v>
      </c>
    </row>
    <row r="5" spans="1:24" x14ac:dyDescent="0.35">
      <c r="A5" t="s">
        <v>49</v>
      </c>
      <c r="B5" t="s">
        <v>116</v>
      </c>
      <c r="C5" t="s">
        <v>142</v>
      </c>
      <c r="D5" s="26" t="str" cm="1">
        <f t="array" ref="D5">_xll.FDSB(C5,"FG_YIELD_NAME")</f>
        <v>Canada Benchmark Bond - 10 Year</v>
      </c>
      <c r="E5" s="26" cm="1">
        <f t="array" ref="E5">IFERROR(_xll.FDS(C5,"FG_YIELD(0,,,,""YTM"")"),$E$18)</f>
        <v>3.6206</v>
      </c>
      <c r="G5" s="26" cm="1">
        <f t="array" ref="G5">_xll.FDSB(C5,"PCTCHG(FG_YIELD(0,,,,""YTM""),FG_YIELD(-1AM,,,,""YTM""))")</f>
        <v>1.8481548000000001</v>
      </c>
      <c r="H5" s="26" cm="1">
        <f t="array" ref="H5">_xll.FDSB(C5,"PCTCHG(FG_YIELD(0,,,,""YTM""),FG_YIELD(-3AM,,,,""YTM""))")</f>
        <v>2.1556356000000001</v>
      </c>
      <c r="I5" s="26"/>
      <c r="J5" s="26" t="str">
        <f>VLOOKUP(B5,mnemonics!$A$4:$D$78, 4, FALSE)</f>
        <v>REFCATARG-FDS</v>
      </c>
      <c r="K5" s="26" t="str" cm="1">
        <f t="array" ref="K5">_xll.FDSB(J5,"PROPER_NAME(0,,,""SECURITY"",""NAME"")")</f>
        <v>Canada Target Rate</v>
      </c>
      <c r="L5" s="26" cm="1">
        <f t="array" ref="L5">_xll.FDSB(J5,"FG_YIELD(NOW,,,0)")</f>
        <v>5</v>
      </c>
      <c r="M5" s="36" cm="1">
        <f t="array" ref="M5">_xll.FDSB(J5,"(SUBARRAY(NOT_NA(NO_REPEAT_F(FG_YIELD(now,-10AY,D))),0,1)-SUBARRAY(NOT_NA(NO_REPEAT_F(FG_YIELD(now,-10AY,D))),1,1))*100")</f>
        <v>25</v>
      </c>
      <c r="N5" s="38">
        <f t="shared" si="0"/>
        <v>-25</v>
      </c>
      <c r="O5" s="26">
        <f t="shared" si="5"/>
        <v>1.3794</v>
      </c>
      <c r="S5">
        <f t="shared" si="1"/>
        <v>0</v>
      </c>
      <c r="T5">
        <f t="shared" si="2"/>
        <v>0</v>
      </c>
      <c r="U5">
        <f t="shared" si="3"/>
        <v>0</v>
      </c>
      <c r="V5" s="47">
        <f t="shared" si="4"/>
        <v>0</v>
      </c>
      <c r="X5">
        <f t="shared" si="6"/>
        <v>7.1</v>
      </c>
    </row>
    <row r="6" spans="1:24" x14ac:dyDescent="0.35">
      <c r="A6" t="s">
        <v>11</v>
      </c>
      <c r="B6" t="s">
        <v>102</v>
      </c>
      <c r="C6" t="s">
        <v>19</v>
      </c>
      <c r="D6" s="26" t="str" cm="1">
        <f t="array" ref="D6">_xll.FDSB(C6,"FG_YIELD_NAME")</f>
        <v>Germany Benchmark Bond - 10 Year</v>
      </c>
      <c r="E6" s="26" cm="1">
        <f t="array" ref="E6">IFERROR(_xll.FDS(C6,"FG_YIELD(0,,,,""YTM"")"),$E$18)</f>
        <v>2.4950000000000001</v>
      </c>
      <c r="G6" s="26" cm="1">
        <f t="array" ref="G6">_xll.FDSB(C6,"PCTCHG(FG_YIELD(0,,,,""YTM""),FG_YIELD(-1AM,,,,""YTM""))")</f>
        <v>5.1411705000000003</v>
      </c>
      <c r="H6" s="26" cm="1">
        <f t="array" ref="H6">_xll.FDSB(C6,"PCTCHG(FG_YIELD(0,,,,""YTM""),FG_YIELD(-3AM,,,,""YTM""))")</f>
        <v>4.8319229999999997</v>
      </c>
      <c r="I6" s="26"/>
      <c r="J6" s="26" t="str">
        <f>VLOOKUP(B6,mnemonics!$A$4:$D$78, 4, FALSE)</f>
        <v>REFEUREFI-FDS</v>
      </c>
      <c r="K6" s="26" t="str" cm="1">
        <f t="array" ref="K6">_xll.FDSB(J6,"PROPER_NAME(0,,,""SECURITY"",""NAME"")")</f>
        <v>Eurozone Main Refinancing Operations Minimum Bid Rate</v>
      </c>
      <c r="L6" s="26" cm="1">
        <f t="array" ref="L6">_xll.FDSB(J6,"FG_YIELD(NOW,,,0)")</f>
        <v>4.5</v>
      </c>
      <c r="M6" s="36" cm="1">
        <f t="array" ref="M6">_xll.FDSB(J6,"(SUBARRAY(NOT_NA(NO_REPEAT_F(FG_YIELD(now,-10AY,D))),0,1)-SUBARRAY(NOT_NA(NO_REPEAT_F(FG_YIELD(now,-10AY,D))),1,1))*100")</f>
        <v>25</v>
      </c>
      <c r="N6" s="38">
        <f t="shared" si="0"/>
        <v>-25</v>
      </c>
      <c r="O6" s="26">
        <f t="shared" si="5"/>
        <v>2.0049999999999999</v>
      </c>
      <c r="S6">
        <f t="shared" si="1"/>
        <v>0</v>
      </c>
      <c r="T6">
        <f t="shared" si="2"/>
        <v>0</v>
      </c>
      <c r="U6">
        <f t="shared" si="3"/>
        <v>0</v>
      </c>
      <c r="V6" s="47">
        <f t="shared" si="4"/>
        <v>0</v>
      </c>
      <c r="X6">
        <f t="shared" si="6"/>
        <v>7.1</v>
      </c>
    </row>
    <row r="7" spans="1:24" x14ac:dyDescent="0.35">
      <c r="A7" t="s">
        <v>46</v>
      </c>
      <c r="B7" t="s">
        <v>114</v>
      </c>
      <c r="C7" t="s">
        <v>139</v>
      </c>
      <c r="D7" s="26" t="str" cm="1">
        <f t="array" ref="D7">_xll.FDSB(C7,"FG_YIELD_NAME")</f>
        <v>Japan Benchmark Bond - 10 Year</v>
      </c>
      <c r="E7" s="26" cm="1">
        <f t="array" ref="E7">IFERROR(_xll.FDS(C7,"FG_YIELD(0,,,,""YTM"")"),$E$18)</f>
        <v>0.90690000000000004</v>
      </c>
      <c r="G7" s="26" cm="1">
        <f t="array" ref="G7">_xll.FDSB(C7,"PCTCHG(FG_YIELD(0,,,,""YTM""),FG_YIELD(-1AM,,,,""YTM""))")</f>
        <v>15.602293</v>
      </c>
      <c r="H7" s="26" cm="1">
        <f t="array" ref="H7">_xll.FDSB(C7,"PCTCHG(FG_YIELD(0,,,,""YTM""),FG_YIELD(-3AM,,,,""YTM""))")</f>
        <v>26.063386999999999</v>
      </c>
      <c r="I7" s="26"/>
      <c r="J7" s="26" t="str">
        <f>VLOOKUP(B7,mnemonics!$A$4:$D$78, 4, FALSE)</f>
        <v>REFJPTON-FDS</v>
      </c>
      <c r="K7" s="26" t="str" cm="1">
        <f t="array" ref="K7">_xll.FDSB(J7,"PROPER_NAME(0,,,""SECURITY"",""NAME"")")</f>
        <v>Japan Policy Rate</v>
      </c>
      <c r="L7" s="26" cm="1">
        <f t="array" ref="L7">_xll.FDSB(J7,"FG_YIELD(NOW,,,0)")</f>
        <v>0.1</v>
      </c>
      <c r="M7" s="36" cm="1">
        <f t="array" ref="M7">_xll.FDSB(J7,"(SUBARRAY(NOT_NA(NO_REPEAT_F(FG_YIELD(now,-10AY,D))),0,1)-SUBARRAY(NOT_NA(NO_REPEAT_F(FG_YIELD(now,-10AY,D))),1,1))*100")</f>
        <v>10</v>
      </c>
      <c r="N7" s="38">
        <f t="shared" si="0"/>
        <v>-10</v>
      </c>
      <c r="O7" s="26">
        <f t="shared" si="5"/>
        <v>-0.80690000000000006</v>
      </c>
      <c r="S7">
        <f t="shared" si="1"/>
        <v>0</v>
      </c>
      <c r="T7">
        <f t="shared" si="2"/>
        <v>0</v>
      </c>
      <c r="U7">
        <f t="shared" si="3"/>
        <v>0</v>
      </c>
      <c r="V7" s="47">
        <f t="shared" si="4"/>
        <v>0</v>
      </c>
      <c r="X7">
        <f t="shared" si="6"/>
        <v>7.1</v>
      </c>
    </row>
    <row r="8" spans="1:24" x14ac:dyDescent="0.35">
      <c r="A8" t="s">
        <v>42</v>
      </c>
      <c r="B8" t="s">
        <v>110</v>
      </c>
      <c r="C8" t="s">
        <v>135</v>
      </c>
      <c r="D8" s="26" t="str" cm="1">
        <f t="array" ref="D8">_xll.FDSB(C8,"FG_YIELD_NAME")</f>
        <v>Treasury - Switzerland Benchmark Bond 10Y</v>
      </c>
      <c r="E8" s="26" cm="1">
        <f t="array" ref="E8">IFERROR(_xll.FDS(C8,"FG_YIELD(0,,,,""YTM"")"),$E$18)</f>
        <v>0.74099999999999999</v>
      </c>
      <c r="G8" s="26" cm="1">
        <f t="array" ref="G8">_xll.FDSB(C8,"PCTCHG(FG_YIELD(0,,,,""YTM""),FG_YIELD(-1AM,,,,""YTM""))")</f>
        <v>1.5068463000000001</v>
      </c>
      <c r="H8" s="26" cm="1">
        <f t="array" ref="H8">_xll.FDSB(C8,"PCTCHG(FG_YIELD(0,,,,""YTM""),FG_YIELD(-3AM,,,,""YTM""))")</f>
        <v>-21.917808999999998</v>
      </c>
      <c r="I8" s="26"/>
      <c r="J8" s="26" t="str">
        <f>VLOOKUP(B8,mnemonics!$A$4:$D$78, 4, FALSE)</f>
        <v>REFCHMPR-FDS</v>
      </c>
      <c r="K8" s="26" t="str" cm="1">
        <f t="array" ref="K8">_xll.FDSB(J8,"PROPER_NAME(0,,,""SECURITY"",""NAME"")")</f>
        <v>Swiss Policy Rate - Sight Deposit Rate</v>
      </c>
      <c r="L8" s="26" cm="1">
        <f t="array" ref="L8">_xll.FDSB(J8,"FG_YIELD(NOW,,,0)")</f>
        <v>1.5</v>
      </c>
      <c r="M8" s="36" cm="1">
        <f t="array" ref="M8">_xll.FDSB(J8,"(SUBARRAY(NOT_NA(NO_REPEAT_F(FG_YIELD(now,-10AY,D))),0,1)-SUBARRAY(NOT_NA(NO_REPEAT_F(FG_YIELD(now,-10AY,D))),1,1))*100")</f>
        <v>-25</v>
      </c>
      <c r="N8" s="38">
        <f t="shared" si="0"/>
        <v>25</v>
      </c>
      <c r="O8" s="26">
        <f t="shared" si="5"/>
        <v>0.75900000000000001</v>
      </c>
      <c r="S8">
        <f t="shared" si="1"/>
        <v>1</v>
      </c>
      <c r="T8">
        <f t="shared" si="2"/>
        <v>0</v>
      </c>
      <c r="U8">
        <f t="shared" si="3"/>
        <v>1</v>
      </c>
      <c r="V8" s="47">
        <f t="shared" si="4"/>
        <v>0.75</v>
      </c>
      <c r="X8">
        <f t="shared" si="6"/>
        <v>92.800000000000011</v>
      </c>
    </row>
    <row r="9" spans="1:24" x14ac:dyDescent="0.35">
      <c r="A9" t="s">
        <v>48</v>
      </c>
      <c r="B9" t="s">
        <v>115</v>
      </c>
      <c r="C9" t="s">
        <v>141</v>
      </c>
      <c r="D9" s="26" t="str" cm="1">
        <f t="array" ref="D9">_xll.FDSB(C9,"FG_YIELD_NAME")</f>
        <v>United Kingdom Benchmark Bond - 10 Year</v>
      </c>
      <c r="E9" s="26" cm="1">
        <f t="array" ref="E9">IFERROR(_xll.FDS(C9,"FG_YIELD(0,,,,""YTM"")"),$E$18)</f>
        <v>4.1420000000000003</v>
      </c>
      <c r="G9" s="26" cm="1">
        <f t="array" ref="G9">_xll.FDSB(C9,"PCTCHG(FG_YIELD(0,,,,""YTM""),FG_YIELD(-1AM,,,,""YTM""))")</f>
        <v>2.7027079999999999</v>
      </c>
      <c r="H9" s="26" cm="1">
        <f t="array" ref="H9">_xll.FDSB(C9,"PCTCHG(FG_YIELD(0,,,,""YTM""),FG_YIELD(-3AM,,,,""YTM""))")</f>
        <v>1.5445011</v>
      </c>
      <c r="I9" s="26"/>
      <c r="J9" s="26" t="str">
        <f>VLOOKUP(B9,mnemonics!$A$4:$D$78, 4, FALSE)</f>
        <v>REFGBBANK-FDS</v>
      </c>
      <c r="K9" s="26" t="str" cm="1">
        <f t="array" ref="K9">_xll.FDSB(J9,"PROPER_NAME(0,,,""SECURITY"",""NAME"")")</f>
        <v>UK Bank Rate</v>
      </c>
      <c r="L9" s="26" cm="1">
        <f t="array" ref="L9">_xll.FDSB(J9,"FG_YIELD(NOW,,,0)")</f>
        <v>5.25</v>
      </c>
      <c r="M9" s="36" cm="1">
        <f t="array" ref="M9">_xll.FDSB(J9,"(SUBARRAY(NOT_NA(NO_REPEAT_F(FG_YIELD(now,-10AY,D))),0,1)-SUBARRAY(NOT_NA(NO_REPEAT_F(FG_YIELD(now,-10AY,D))),1,1))*100")</f>
        <v>25</v>
      </c>
      <c r="N9" s="38">
        <f t="shared" si="0"/>
        <v>-25</v>
      </c>
      <c r="O9" s="26">
        <f t="shared" si="5"/>
        <v>1.1079999999999997</v>
      </c>
      <c r="S9">
        <f t="shared" si="1"/>
        <v>0</v>
      </c>
      <c r="T9">
        <f t="shared" si="2"/>
        <v>0</v>
      </c>
      <c r="U9">
        <f t="shared" si="3"/>
        <v>0</v>
      </c>
      <c r="V9" s="47">
        <f t="shared" si="4"/>
        <v>0</v>
      </c>
      <c r="X9">
        <f t="shared" si="6"/>
        <v>7.1</v>
      </c>
    </row>
    <row r="10" spans="1:24" x14ac:dyDescent="0.35">
      <c r="A10" t="s">
        <v>51</v>
      </c>
      <c r="B10" t="s">
        <v>119</v>
      </c>
      <c r="C10" t="s">
        <v>14</v>
      </c>
      <c r="D10" s="26" t="str" cm="1">
        <f t="array" ref="D10">_xll.FDSB(C10,"FG_YIELD_NAME")</f>
        <v>US Benchmark Bond - 10 Year</v>
      </c>
      <c r="E10" s="26" cm="1">
        <f t="array" ref="E10">IFERROR(_xll.FDS(C10,"FG_YIELD(0,,,,""YTM"")"),$E$18)</f>
        <v>4.4574999999999996</v>
      </c>
      <c r="G10" s="26" cm="1">
        <f t="array" ref="G10">_xll.FDSB(C10,"PCTCHG(FG_YIELD(0,,,,""YTM""),FG_YIELD(-1AM,,,,""YTM""))")</f>
        <v>2.1401892</v>
      </c>
      <c r="H10" s="26" cm="1">
        <f t="array" ref="H10">_xll.FDSB(C10,"PCTCHG(FG_YIELD(0,,,,""YTM""),FG_YIELD(-3AM,,,,""YTM""))")</f>
        <v>6.8816733000000001</v>
      </c>
      <c r="I10" s="26"/>
      <c r="J10" s="26" t="str">
        <f>VLOOKUP(B10,mnemonics!$A$4:$D$78, 4, FALSE)</f>
        <v>REFFFUND-FDS</v>
      </c>
      <c r="K10" s="26" t="str" cm="1">
        <f t="array" ref="K10">_xll.FDSB(J10,"PROPER_NAME(0,,,""SECURITY"",""NAME"")")</f>
        <v>US Federal Funds Target Rate</v>
      </c>
      <c r="L10" s="26" cm="1">
        <f t="array" ref="L10">_xll.FDSB(J10,"FG_YIELD(NOW,,,0)")</f>
        <v>5.5</v>
      </c>
      <c r="M10" s="36" cm="1">
        <f t="array" ref="M10">_xll.FDSB(J10,"(SUBARRAY(NOT_NA(NO_REPEAT_F(FG_YIELD(now,-10AY,D))),0,1)-SUBARRAY(NOT_NA(NO_REPEAT_F(FG_YIELD(now,-10AY,D))),1,1))*100")</f>
        <v>25</v>
      </c>
      <c r="N10" s="38">
        <f t="shared" si="0"/>
        <v>-25</v>
      </c>
      <c r="O10" s="26">
        <f t="shared" si="5"/>
        <v>1.0425000000000004</v>
      </c>
      <c r="S10">
        <f t="shared" si="1"/>
        <v>0</v>
      </c>
      <c r="T10">
        <f t="shared" si="2"/>
        <v>0</v>
      </c>
      <c r="U10">
        <f t="shared" si="3"/>
        <v>0</v>
      </c>
      <c r="V10" s="47">
        <f t="shared" si="4"/>
        <v>0</v>
      </c>
      <c r="X10">
        <f t="shared" si="6"/>
        <v>7.1</v>
      </c>
    </row>
    <row r="11" spans="1:24" x14ac:dyDescent="0.35">
      <c r="A11" t="s">
        <v>1</v>
      </c>
      <c r="B11" t="s">
        <v>119</v>
      </c>
      <c r="C11" t="s">
        <v>14</v>
      </c>
      <c r="D11" s="26" t="str" cm="1">
        <f t="array" ref="D11">_xll.FDSB(C11,"FG_YIELD_NAME")</f>
        <v>US Benchmark Bond - 10 Year</v>
      </c>
      <c r="E11" s="26" cm="1">
        <f t="array" ref="E11">IFERROR(_xll.FDS(C11,"FG_YIELD(0,,,,""YTM"")"),$E$18)</f>
        <v>4.4574999999999996</v>
      </c>
      <c r="G11" s="26" cm="1">
        <f t="array" ref="G11">_xll.FDSB(C11,"PCTCHG(FG_YIELD(0,,,,""YTM""),FG_YIELD(-1AM,,,,""YTM""))")</f>
        <v>2.1401892</v>
      </c>
      <c r="H11" s="26" cm="1">
        <f t="array" ref="H11">_xll.FDSB(C11,"PCTCHG(FG_YIELD(0,,,,""YTM""),FG_YIELD(-3AM,,,,""YTM""))")</f>
        <v>6.8816733000000001</v>
      </c>
      <c r="I11" s="26"/>
      <c r="J11" s="26" t="str">
        <f>VLOOKUP(B11,mnemonics!$A$4:$D$78, 4, FALSE)</f>
        <v>REFFFUND-FDS</v>
      </c>
      <c r="K11" s="26" t="str" cm="1">
        <f t="array" ref="K11">_xll.FDSB(J11,"PROPER_NAME(0,,,""SECURITY"",""NAME"")")</f>
        <v>US Federal Funds Target Rate</v>
      </c>
      <c r="L11" s="26" cm="1">
        <f t="array" ref="L11">_xll.FDSB(J11,"FG_YIELD(NOW,,,0)")</f>
        <v>5.5</v>
      </c>
      <c r="M11" s="36" cm="1">
        <f t="array" ref="M11">_xll.FDSB(J11,"(SUBARRAY(NOT_NA(NO_REPEAT_F(FG_YIELD(now,-10AY,D))),0,1)-SUBARRAY(NOT_NA(NO_REPEAT_F(FG_YIELD(now,-10AY,D))),1,1))*100")</f>
        <v>25</v>
      </c>
      <c r="N11" s="38">
        <f t="shared" si="0"/>
        <v>-25</v>
      </c>
      <c r="O11" s="26">
        <f t="shared" si="5"/>
        <v>1.0425000000000004</v>
      </c>
      <c r="S11">
        <f t="shared" si="1"/>
        <v>0</v>
      </c>
      <c r="T11">
        <f t="shared" si="2"/>
        <v>0</v>
      </c>
      <c r="U11">
        <f t="shared" si="3"/>
        <v>0</v>
      </c>
      <c r="V11" s="47">
        <f t="shared" si="4"/>
        <v>0</v>
      </c>
      <c r="X11">
        <f t="shared" si="6"/>
        <v>7.1</v>
      </c>
    </row>
    <row r="12" spans="1:24" x14ac:dyDescent="0.35">
      <c r="A12" t="s">
        <v>865</v>
      </c>
      <c r="B12" t="s">
        <v>106</v>
      </c>
      <c r="C12" t="s">
        <v>133</v>
      </c>
      <c r="D12" s="26" t="str" cm="1">
        <f t="array" ref="D12">_xll.FDSB(C12,"FG_YIELD_NAME")</f>
        <v>France Benchmark Bond - 10 Year</v>
      </c>
      <c r="E12" s="26" cm="1">
        <f t="array" ref="E12">IFERROR(_xll.FDS(C12,"FG_YIELD(0,,,,""YTM"")"),$E$18)</f>
        <v>2.98</v>
      </c>
      <c r="G12" s="26" cm="1">
        <f t="array" ref="G12">_xll.FDSB(C12,"PCTCHG(FG_YIELD(0,,,,""YTM""),FG_YIELD(-1AM,,,,""YTM""))")</f>
        <v>4.122992</v>
      </c>
      <c r="H12" s="26" cm="1">
        <f t="array" ref="H12">_xll.FDSB(C12,"PCTCHG(FG_YIELD(0,,,,""YTM""),FG_YIELD(-3AM,,,,""YTM""))")</f>
        <v>3.2213346999999999</v>
      </c>
      <c r="I12" s="26"/>
      <c r="J12" s="26" t="str">
        <f>VLOOKUP(B12,mnemonics!$A$4:$D$78, 4, FALSE)</f>
        <v>REFEUREFI-FDS</v>
      </c>
      <c r="K12" s="26" t="str" cm="1">
        <f t="array" ref="K12">_xll.FDSB(J12,"PROPER_NAME(0,,,""SECURITY"",""NAME"")")</f>
        <v>Eurozone Main Refinancing Operations Minimum Bid Rate</v>
      </c>
      <c r="L12" s="26" cm="1">
        <f t="array" ref="L12">_xll.FDSB(J12,"FG_YIELD(NOW,,,0)")</f>
        <v>4.5</v>
      </c>
      <c r="M12" s="36" cm="1">
        <f t="array" ref="M12">_xll.FDSB(J12,"(SUBARRAY(NOT_NA(NO_REPEAT_F(FG_YIELD(now,-10AY,D))),0,1)-SUBARRAY(NOT_NA(NO_REPEAT_F(FG_YIELD(now,-10AY,D))),1,1))*100")</f>
        <v>25</v>
      </c>
      <c r="N12" s="38">
        <f t="shared" si="0"/>
        <v>-25</v>
      </c>
      <c r="O12" s="26">
        <f t="shared" si="5"/>
        <v>1.52</v>
      </c>
      <c r="S12">
        <f t="shared" si="1"/>
        <v>0</v>
      </c>
      <c r="T12">
        <f t="shared" si="2"/>
        <v>0</v>
      </c>
      <c r="U12">
        <f t="shared" si="3"/>
        <v>0</v>
      </c>
      <c r="V12" s="47">
        <f t="shared" si="4"/>
        <v>0</v>
      </c>
      <c r="X12">
        <f t="shared" si="6"/>
        <v>7.1</v>
      </c>
    </row>
    <row r="13" spans="1:24" x14ac:dyDescent="0.35">
      <c r="A13" t="s">
        <v>867</v>
      </c>
      <c r="B13" t="s">
        <v>875</v>
      </c>
      <c r="C13" t="s">
        <v>877</v>
      </c>
      <c r="D13" s="26" t="str" cm="1">
        <f t="array" ref="D13">_xll.FDSB(C13,"FG_YIELD_NAME")</f>
        <v>Netherlands Benchmark Bond - 10 Year</v>
      </c>
      <c r="E13" s="26" cm="1">
        <f t="array" ref="E13">IFERROR(_xll.FDS(C13,"FG_YIELD(0,,,,""YTM"")"),$E$18)</f>
        <v>2.7959999999999998</v>
      </c>
      <c r="G13" s="26" cm="1">
        <f t="array" ref="G13">_xll.FDSB(C13,"PCTCHG(FG_YIELD(0,,,,""YTM""),FG_YIELD(-1AM,,,,""YTM""))")</f>
        <v>4.9155736000000001</v>
      </c>
      <c r="H13" s="26" cm="1">
        <f t="array" ref="H13">_xll.FDSB(C13,"PCTCHG(FG_YIELD(0,,,,""YTM""),FG_YIELD(-3AM,,,,""YTM""))")</f>
        <v>2.9455054000000001</v>
      </c>
      <c r="I13" s="26"/>
      <c r="J13" s="26" t="str">
        <f>VLOOKUP(B13,mnemonics!$A$4:$D$78, 4, FALSE)</f>
        <v>REFEUREFI-FDS</v>
      </c>
      <c r="K13" s="26" t="str" cm="1">
        <f t="array" ref="K13">_xll.FDSB(J13,"PROPER_NAME(0,,,""SECURITY"",""NAME"")")</f>
        <v>Eurozone Main Refinancing Operations Minimum Bid Rate</v>
      </c>
      <c r="L13" s="26" cm="1">
        <f t="array" ref="L13">_xll.FDSB(J13,"FG_YIELD(NOW,,,0)")</f>
        <v>4.5</v>
      </c>
      <c r="M13" s="36" cm="1">
        <f t="array" ref="M13">_xll.FDSB(J13,"(SUBARRAY(NOT_NA(NO_REPEAT_F(FG_YIELD(now,-10AY,D))),0,1)-SUBARRAY(NOT_NA(NO_REPEAT_F(FG_YIELD(now,-10AY,D))),1,1))*100")</f>
        <v>25</v>
      </c>
      <c r="N13" s="38">
        <f t="shared" si="0"/>
        <v>-25</v>
      </c>
      <c r="O13" s="26">
        <f t="shared" si="5"/>
        <v>1.7040000000000002</v>
      </c>
      <c r="S13">
        <f t="shared" si="1"/>
        <v>0</v>
      </c>
      <c r="T13">
        <f t="shared" si="2"/>
        <v>0</v>
      </c>
      <c r="U13">
        <f t="shared" si="3"/>
        <v>0</v>
      </c>
      <c r="V13" s="47">
        <f t="shared" si="4"/>
        <v>0</v>
      </c>
      <c r="X13">
        <f t="shared" si="6"/>
        <v>7.1</v>
      </c>
    </row>
    <row r="14" spans="1:24" x14ac:dyDescent="0.35">
      <c r="A14" t="s">
        <v>864</v>
      </c>
      <c r="B14" t="s">
        <v>272</v>
      </c>
      <c r="C14" t="s">
        <v>878</v>
      </c>
      <c r="D14" s="26" t="str" cm="1">
        <f t="array" ref="D14">_xll.FDSB(C14,"FG_YIELD_NAME")</f>
        <v>Sweden Benchmark Bond - 10 Year</v>
      </c>
      <c r="E14" s="26" cm="1">
        <f t="array" ref="E14">IFERROR(_xll.FDS(C14,"FG_YIELD(0,,,,""YTM"")"),$E$18)</f>
        <v>2.3570000000000002</v>
      </c>
      <c r="G14" s="26" cm="1">
        <f t="array" ref="G14">_xll.FDSB(C14,"PCTCHG(FG_YIELD(0,,,,""YTM""),FG_YIELD(-1AM,,,,""YTM""))")</f>
        <v>-5.2652654999999999</v>
      </c>
      <c r="H14" s="26" cm="1">
        <f t="array" ref="H14">_xll.FDSB(C14,"PCTCHG(FG_YIELD(0,,,,""YTM""),FG_YIELD(-3AM,,,,""YTM""))")</f>
        <v>-1.7916658999999999</v>
      </c>
      <c r="I14" s="26"/>
      <c r="J14" s="26" t="str">
        <f>VLOOKUP(B14,mnemonics!$A$4:$D$78, 4, FALSE)</f>
        <v>REFSEREPO-FDS</v>
      </c>
      <c r="K14" s="26" t="str" cm="1">
        <f t="array" ref="K14">_xll.FDSB(J14,"PROPER_NAME(0,,,""SECURITY"",""NAME"")")</f>
        <v>Sweden Repo Rate</v>
      </c>
      <c r="L14" s="26" cm="1">
        <f t="array" ref="L14">_xll.FDSB(J14,"FG_YIELD(NOW,,,0)")</f>
        <v>4</v>
      </c>
      <c r="M14" s="36" cm="1">
        <f t="array" ref="M14">_xll.FDSB(J14,"(SUBARRAY(NOT_NA(NO_REPEAT_F(FG_YIELD(now,-10AY,D))),0,1)-SUBARRAY(NOT_NA(NO_REPEAT_F(FG_YIELD(now,-10AY,D))),1,1))*100")</f>
        <v>25</v>
      </c>
      <c r="N14" s="38">
        <f t="shared" si="0"/>
        <v>-25</v>
      </c>
      <c r="O14" s="26">
        <f t="shared" si="5"/>
        <v>1.6429999999999998</v>
      </c>
      <c r="S14">
        <f t="shared" si="1"/>
        <v>0</v>
      </c>
      <c r="T14">
        <f t="shared" si="2"/>
        <v>1</v>
      </c>
      <c r="U14">
        <f t="shared" si="3"/>
        <v>1</v>
      </c>
      <c r="V14" s="47">
        <f t="shared" si="4"/>
        <v>0.5</v>
      </c>
      <c r="X14">
        <f t="shared" si="6"/>
        <v>78.5</v>
      </c>
    </row>
    <row r="15" spans="1:24" x14ac:dyDescent="0.35">
      <c r="A15" t="s">
        <v>866</v>
      </c>
      <c r="B15" t="s">
        <v>876</v>
      </c>
      <c r="C15" t="s">
        <v>879</v>
      </c>
      <c r="D15" s="26" t="str" cm="1">
        <f t="array" ref="D15">_xll.FDSB(C15,"FG_YIELD_NAME")</f>
        <v>Italy Benchmark Bond - 10 Year</v>
      </c>
      <c r="E15" s="26" cm="1">
        <f t="array" ref="E15">IFERROR(_xll.FDS(C15,"FG_YIELD(0,,,,""YTM"")"),$E$18)</f>
        <v>3.8090000000000002</v>
      </c>
      <c r="G15" s="26" cm="1">
        <f t="array" ref="G15">_xll.FDSB(C15,"PCTCHG(FG_YIELD(0,,,,""YTM""),FG_YIELD(-1AM,,,,""YTM""))")</f>
        <v>2.7238421000000002</v>
      </c>
      <c r="H15" s="26" cm="1">
        <f t="array" ref="H15">_xll.FDSB(C15,"PCTCHG(FG_YIELD(0,,,,""YTM""),FG_YIELD(-3AM,,,,""YTM""))")</f>
        <v>-3.7645257000000001</v>
      </c>
      <c r="I15" s="26"/>
      <c r="J15" s="26" t="str">
        <f>VLOOKUP(B15,mnemonics!$A$4:$D$78,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4.5</v>
      </c>
      <c r="M15" s="36" cm="1">
        <f t="array" ref="M15">_xll.FDSB(J15,"(SUBARRAY(NOT_NA(NO_REPEAT_F(FG_YIELD(now,-10AY,D))),0,1)-SUBARRAY(NOT_NA(NO_REPEAT_F(FG_YIELD(now,-10AY,D))),1,1))*100")</f>
        <v>25</v>
      </c>
      <c r="N15" s="38">
        <f t="shared" si="0"/>
        <v>-25</v>
      </c>
      <c r="O15" s="26">
        <f t="shared" si="5"/>
        <v>0.69099999999999984</v>
      </c>
      <c r="S15">
        <f t="shared" si="1"/>
        <v>0</v>
      </c>
      <c r="T15">
        <f t="shared" si="2"/>
        <v>0</v>
      </c>
      <c r="U15">
        <f t="shared" si="3"/>
        <v>1</v>
      </c>
      <c r="V15" s="47">
        <f t="shared" si="4"/>
        <v>0.25</v>
      </c>
      <c r="X15">
        <f t="shared" si="6"/>
        <v>71.399999999999991</v>
      </c>
    </row>
    <row r="16" spans="1:24" x14ac:dyDescent="0.35">
      <c r="D16" s="26"/>
      <c r="E16" s="26"/>
      <c r="G16" s="26"/>
      <c r="H16" s="26"/>
      <c r="J16" s="26"/>
      <c r="K16" s="26"/>
      <c r="L16" s="26"/>
      <c r="M16" s="36"/>
      <c r="N16" s="38"/>
      <c r="V16" s="50"/>
    </row>
    <row r="17" spans="1:22" x14ac:dyDescent="0.35">
      <c r="D17" s="26"/>
      <c r="E17" s="26"/>
      <c r="G17" s="26"/>
      <c r="H17" s="26"/>
      <c r="J17" s="26"/>
      <c r="K17" s="26"/>
      <c r="L17" s="26"/>
      <c r="M17" s="36"/>
      <c r="N17" s="38"/>
      <c r="V17" s="50"/>
    </row>
    <row r="18" spans="1:22" x14ac:dyDescent="0.35">
      <c r="A18" t="s">
        <v>1</v>
      </c>
      <c r="B18" t="s">
        <v>119</v>
      </c>
      <c r="C18" t="s">
        <v>14</v>
      </c>
      <c r="D18" s="26" t="str" cm="1">
        <f t="array" ref="D18">_xll.FDSB(C18,"FG_YIELD_NAME")</f>
        <v>US Benchmark Bond - 10 Year</v>
      </c>
      <c r="E18" s="26" cm="1">
        <f t="array" ref="E18">IFERROR(_xll.FDS(C18,"FG_YIELD(0,,,,""YTM"")"),E47)</f>
        <v>4.4574999999999996</v>
      </c>
      <c r="G18" s="26"/>
      <c r="H18" s="26"/>
      <c r="J18" s="26"/>
      <c r="K18" s="26"/>
      <c r="L18" s="26"/>
      <c r="M18" s="36"/>
      <c r="N18" s="38"/>
      <c r="V18" s="50"/>
    </row>
    <row r="19" spans="1:22" x14ac:dyDescent="0.35">
      <c r="D19" s="26"/>
      <c r="E19" s="26"/>
      <c r="G19" s="26"/>
      <c r="H19" s="26"/>
      <c r="J19" s="26"/>
      <c r="K19" s="26"/>
      <c r="L19" s="26"/>
      <c r="M19" s="36"/>
      <c r="N19" s="38"/>
      <c r="V19" s="50"/>
    </row>
    <row r="20" spans="1:22" x14ac:dyDescent="0.35">
      <c r="D20" s="26"/>
      <c r="E20" s="26"/>
      <c r="G20" s="26"/>
      <c r="H20" s="26"/>
      <c r="J20" s="26"/>
      <c r="K20" s="26"/>
      <c r="L20" s="26"/>
      <c r="M20" s="36"/>
      <c r="N20" s="38"/>
      <c r="V20" s="50"/>
    </row>
    <row r="21" spans="1:22" x14ac:dyDescent="0.35">
      <c r="D21" s="26"/>
      <c r="E21" s="26"/>
      <c r="G21" s="26"/>
      <c r="H21" s="26"/>
      <c r="J21" s="26"/>
      <c r="K21" s="26"/>
      <c r="L21" s="26"/>
      <c r="M21" s="36"/>
      <c r="N21" s="38"/>
      <c r="V21" s="50"/>
    </row>
    <row r="22" spans="1:22" x14ac:dyDescent="0.35">
      <c r="D22" s="26"/>
      <c r="E22" s="26"/>
      <c r="G22" s="26"/>
      <c r="H22" s="26"/>
      <c r="J22" s="26"/>
      <c r="K22" s="26"/>
      <c r="L22" s="26"/>
      <c r="M22" s="36"/>
      <c r="N22" s="38"/>
      <c r="V22" s="50"/>
    </row>
    <row r="27" spans="1:22" ht="18.5" x14ac:dyDescent="0.45">
      <c r="A27" s="34"/>
      <c r="B27" s="35"/>
      <c r="C27" s="35"/>
      <c r="D27" s="35"/>
      <c r="E27" s="35"/>
      <c r="F27" s="35"/>
      <c r="G27" s="35"/>
      <c r="H27" s="35"/>
    </row>
    <row r="34" spans="3:6" x14ac:dyDescent="0.35">
      <c r="C34" s="1"/>
      <c r="D34" s="1"/>
      <c r="E34" s="1"/>
      <c r="F34" s="1"/>
    </row>
    <row r="35" spans="3:6" x14ac:dyDescent="0.35">
      <c r="C35" s="1"/>
      <c r="D35" s="1"/>
      <c r="E35" s="1"/>
      <c r="F35" s="1"/>
    </row>
    <row r="36" spans="3:6" x14ac:dyDescent="0.35">
      <c r="C36" s="1"/>
      <c r="D36" s="1"/>
      <c r="E36" s="1"/>
      <c r="F36" s="1"/>
    </row>
    <row r="55" spans="3:6" x14ac:dyDescent="0.35">
      <c r="C55" s="1"/>
      <c r="D55" s="1"/>
      <c r="E55" s="1"/>
      <c r="F55" s="1"/>
    </row>
    <row r="71" spans="4:6" x14ac:dyDescent="0.35">
      <c r="D71" s="1"/>
      <c r="E71" s="1"/>
      <c r="F71" s="1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N3:N22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14"/>
  <sheetViews>
    <sheetView workbookViewId="0">
      <selection activeCell="A2" sqref="A2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0.453125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4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2" t="s">
        <v>531</v>
      </c>
      <c r="B1" s="72" t="s">
        <v>518</v>
      </c>
      <c r="C1" s="72" t="s">
        <v>519</v>
      </c>
      <c r="D1" s="72" t="s">
        <v>96</v>
      </c>
      <c r="E1" s="72" t="s">
        <v>97</v>
      </c>
      <c r="F1" s="72" t="s">
        <v>98</v>
      </c>
      <c r="G1" s="75" t="s">
        <v>380</v>
      </c>
      <c r="H1" s="75" t="s">
        <v>408</v>
      </c>
      <c r="I1" s="75" t="s">
        <v>529</v>
      </c>
      <c r="J1" s="75" t="s">
        <v>532</v>
      </c>
      <c r="K1" s="76" t="s">
        <v>735</v>
      </c>
      <c r="L1" s="75" t="s">
        <v>528</v>
      </c>
      <c r="M1" s="75" t="s">
        <v>540</v>
      </c>
      <c r="N1" s="72" t="s">
        <v>733</v>
      </c>
      <c r="O1" s="72" t="s">
        <v>734</v>
      </c>
      <c r="P1" s="72" t="s">
        <v>736</v>
      </c>
      <c r="Q1" s="72" t="s">
        <v>533</v>
      </c>
      <c r="R1" s="72" t="s">
        <v>534</v>
      </c>
      <c r="S1" s="72" t="s">
        <v>542</v>
      </c>
    </row>
    <row r="2" spans="1:19" x14ac:dyDescent="0.35">
      <c r="A2" t="s">
        <v>431</v>
      </c>
      <c r="B2" t="s">
        <v>431</v>
      </c>
      <c r="C2" t="str" cm="1">
        <f t="array" ref="C2">_xll.FDS(B2,"FG_COMPANY_NAME")</f>
        <v>iShares MSCI New Zealand ETF</v>
      </c>
      <c r="D2" t="s">
        <v>197</v>
      </c>
      <c r="E2" t="s">
        <v>449</v>
      </c>
      <c r="F2" t="str" cm="1">
        <f t="array" ref="F2">_xll.FDS(E2,"FG_YIELD_NAME")</f>
        <v>New Zealand Benchmark Bond - 10 Year</v>
      </c>
      <c r="G2">
        <f>VLOOKUP(A2,'LIQIDITY 2'!$A$3:$E$15,5,FALSE)</f>
        <v>4.7396000000000003</v>
      </c>
      <c r="H2" cm="1">
        <f t="array" ref="H2">_xll.FDS(B2,"FG_ROE(0)")</f>
        <v>5.6143610895856897</v>
      </c>
      <c r="I2">
        <f>HLOOKUP(B2,'Index ROE'!$B$1:$N$25,24,FALSE)</f>
        <v>9.8238973987983247</v>
      </c>
      <c r="J2" cm="1">
        <f t="array" ref="J2">_xll.FDS(B2, "FMA_RBICS_REV_CURRENT(30, LOC, ""PORTAGG"")")</f>
        <v>14.5670087916152</v>
      </c>
      <c r="K2" s="74">
        <f>HLOOKUP(B2,'Index earnings'!$B$1:$N$25,25,FALSE)</f>
        <v>-9.3828148339384354E-3</v>
      </c>
      <c r="L2">
        <f>HLOOKUP(A2,'Yearly returns'!$B$1:$N$128,126,FALSE)</f>
        <v>-31.843626</v>
      </c>
      <c r="M2">
        <f t="shared" ref="M2:M10" si="0">I2-G2</f>
        <v>5.0842973987983244</v>
      </c>
      <c r="N2" cm="1">
        <f t="array" ref="N2">_xlfn.PERCENTRANK.EXC(_xlfn._xlws.FILTER(M$2:M$14, ISNUMBER(M$2:M$14)),M2)*100</f>
        <v>7.1</v>
      </c>
      <c r="O2" cm="1">
        <f t="array" ref="O2">(1-_xlfn.PERCENTRANK.EXC(_xlfn._xlws.FILTER(J$2:J$14, ISNUMBER(J$2:J$14)),J2))*100</f>
        <v>71.500000000000014</v>
      </c>
      <c r="P2" cm="1">
        <f t="array" ref="P2">_xlfn.PERCENTRANK.EXC(_xlfn._xlws.FILTER(K$2:K$14, ISNUMBER(K$2:K$14)),K2)*100</f>
        <v>7.1</v>
      </c>
      <c r="Q2" cm="1">
        <f t="array" ref="Q2">_xlfn.PERCENTRANK.EXC(_xlfn._xlws.FILTER(L$2:L$14, ISNUMBER(L$2:L$14)),L2)*100</f>
        <v>35.699999999999996</v>
      </c>
      <c r="R2">
        <f>N2*Assumption!$F$64 + O2*Assumption!$F$61 + P2*Assumption!$F$62 + Q2*Assumption!$F$63</f>
        <v>30.35</v>
      </c>
      <c r="S2" cm="1">
        <f t="array" ref="S2">_xlfn.PERCENTRANK.EXC(_xlfn._xlws.FILTER(R$2:R$14, ISNUMBER(R$2:R$14)),R2)*100</f>
        <v>21.4</v>
      </c>
    </row>
    <row r="3" spans="1:19" x14ac:dyDescent="0.35">
      <c r="A3" t="s">
        <v>44</v>
      </c>
      <c r="B3" t="s">
        <v>44</v>
      </c>
      <c r="C3" t="str" cm="1">
        <f t="array" ref="C3">_xll.FDS(B3,"FG_COMPANY_NAME")</f>
        <v>iShares MSCI Australia ETF</v>
      </c>
      <c r="D3" t="s">
        <v>113</v>
      </c>
      <c r="E3" t="s">
        <v>138</v>
      </c>
      <c r="F3" t="str" cm="1">
        <f t="array" ref="F3">_xll.FDS(E3,"FG_YIELD_NAME")</f>
        <v>Australia Benchmark Bond - 10 Year</v>
      </c>
      <c r="G3">
        <f>VLOOKUP(A3,'LIQIDITY 2'!$A$3:$E$15,5,FALSE)</f>
        <v>4.351</v>
      </c>
      <c r="H3" cm="1">
        <f t="array" ref="H3">_xll.FDS(B3,"FG_ROE(0)")</f>
        <v>12.8360337781145</v>
      </c>
      <c r="I3">
        <f>HLOOKUP(B3,'Index ROE'!$B$1:$N$25,24,FALSE)</f>
        <v>13.020733299173699</v>
      </c>
      <c r="J3" cm="1">
        <f t="array" ref="J3">_xll.FDS(B3, "FMA_RBICS_REV_CURRENT(30, LOC, ""PORTAGG"")")</f>
        <v>40.999425073797099</v>
      </c>
      <c r="K3" s="74">
        <f>HLOOKUP(B3,'Index earnings'!$B$1:$N$25,25,FALSE)</f>
        <v>1.1173841089814562E-2</v>
      </c>
      <c r="L3">
        <f>HLOOKUP(A3,'Yearly returns'!$B$1:$N$128,126,FALSE)</f>
        <v>-27.461939999999998</v>
      </c>
      <c r="M3">
        <f t="shared" si="0"/>
        <v>8.6697332991736999</v>
      </c>
      <c r="N3" cm="1">
        <f t="array" ref="N3">_xlfn.PERCENTRANK.EXC(_xlfn._xlws.FILTER(M$2:M$14, ISNUMBER(M$2:M$14)),M3)*100</f>
        <v>35.699999999999996</v>
      </c>
      <c r="O3" cm="1">
        <f t="array" ref="O3">(1-_xlfn.PERCENTRANK.EXC(_xlfn._xlws.FILTER(J$2:J$14, ISNUMBER(J$2:J$14)),J3))*100</f>
        <v>7.1999999999999957</v>
      </c>
      <c r="P3" cm="1">
        <f t="array" ref="P3">_xlfn.PERCENTRANK.EXC(_xlfn._xlws.FILTER(K$2:K$14, ISNUMBER(K$2:K$14)),K3)*100</f>
        <v>28.499999999999996</v>
      </c>
      <c r="Q3" cm="1">
        <f t="array" ref="Q3">_xlfn.PERCENTRANK.EXC(_xlfn._xlws.FILTER(L$2:L$14, ISNUMBER(L$2:L$14)),L3)*100</f>
        <v>50</v>
      </c>
      <c r="R3">
        <f>N3*Assumption!$F$64 + O3*Assumption!$F$61 + P3*Assumption!$F$62 + Q3*Assumption!$F$63</f>
        <v>30.349999999999998</v>
      </c>
      <c r="S3" cm="1">
        <f t="array" ref="S3">_xlfn.PERCENTRANK.EXC(_xlfn._xlws.FILTER(R$2:R$14, ISNUMBER(R$2:R$14)),R3)*100</f>
        <v>14.2</v>
      </c>
    </row>
    <row r="4" spans="1:19" x14ac:dyDescent="0.35">
      <c r="A4" t="s">
        <v>49</v>
      </c>
      <c r="B4" t="s">
        <v>49</v>
      </c>
      <c r="C4" t="str" cm="1">
        <f t="array" ref="C4">_xll.FDS(B4,"FG_COMPANY_NAME")</f>
        <v>iShares MSCI Canada ETF</v>
      </c>
      <c r="D4" t="s">
        <v>116</v>
      </c>
      <c r="E4" t="s">
        <v>142</v>
      </c>
      <c r="F4" t="str" cm="1">
        <f t="array" ref="F4">_xll.FDS(E4,"FG_YIELD_NAME")</f>
        <v>Canada Benchmark Bond - 10 Year</v>
      </c>
      <c r="G4">
        <f>VLOOKUP(A4,'LIQIDITY 2'!$A$3:$E$15,5,FALSE)</f>
        <v>3.6206</v>
      </c>
      <c r="H4" cm="1">
        <f t="array" ref="H4">_xll.FDS(B4,"FG_ROE(0)")</f>
        <v>11.352188551576701</v>
      </c>
      <c r="I4">
        <f>HLOOKUP(B4,'Index ROE'!$B$1:$N$25,24,FALSE)</f>
        <v>12.7516875895064</v>
      </c>
      <c r="J4" cm="1">
        <f t="array" ref="J4">_xll.FDS(B4, "FMA_RBICS_REV_CURRENT(30, LOC, ""PORTAGG"")")</f>
        <v>40.030818174670401</v>
      </c>
      <c r="K4" s="74">
        <f>HLOOKUP(B4,'Index earnings'!$B$1:$N$25,25,FALSE)</f>
        <v>4.0909866878857226E-2</v>
      </c>
      <c r="L4">
        <f>HLOOKUP(A4,'Yearly returns'!$B$1:$N$128,126,FALSE)</f>
        <v>-26.546794999999999</v>
      </c>
      <c r="M4">
        <f t="shared" si="0"/>
        <v>9.1310875895064001</v>
      </c>
      <c r="N4" cm="1">
        <f t="array" ref="N4">_xlfn.PERCENTRANK.EXC(_xlfn._xlws.FILTER(M$2:M$14, ISNUMBER(M$2:M$14)),M4)*100</f>
        <v>42.8</v>
      </c>
      <c r="O4" cm="1">
        <f t="array" ref="O4">(1-_xlfn.PERCENTRANK.EXC(_xlfn._xlws.FILTER(J$2:J$14, ISNUMBER(J$2:J$14)),J4))*100</f>
        <v>14.3</v>
      </c>
      <c r="P4" cm="1">
        <f t="array" ref="P4">_xlfn.PERCENTRANK.EXC(_xlfn._xlws.FILTER(K$2:K$14, ISNUMBER(K$2:K$14)),K4)*100</f>
        <v>71.399999999999991</v>
      </c>
      <c r="Q4" cm="1">
        <f t="array" ref="Q4">_xlfn.PERCENTRANK.EXC(_xlfn._xlws.FILTER(L$2:L$14, ISNUMBER(L$2:L$14)),L4)*100</f>
        <v>57.099999999999994</v>
      </c>
      <c r="R4">
        <f>N4*Assumption!$F$64 + O4*Assumption!$F$61 + P4*Assumption!$F$62 + Q4*Assumption!$F$63</f>
        <v>46.4</v>
      </c>
      <c r="S4" cm="1">
        <f t="array" ref="S4">_xlfn.PERCENTRANK.EXC(_xlfn._xlws.FILTER(R$2:R$14, ISNUMBER(R$2:R$14)),R4)*100</f>
        <v>50</v>
      </c>
    </row>
    <row r="5" spans="1:19" x14ac:dyDescent="0.35">
      <c r="A5" t="s">
        <v>11</v>
      </c>
      <c r="B5" t="s">
        <v>11</v>
      </c>
      <c r="C5" t="str" cm="1">
        <f t="array" ref="C5">_xll.FDS(B5,"FG_COMPANY_NAME")</f>
        <v>iShares MSCI Germany ETF</v>
      </c>
      <c r="D5" t="s">
        <v>102</v>
      </c>
      <c r="E5" t="s">
        <v>19</v>
      </c>
      <c r="F5" t="str" cm="1">
        <f t="array" ref="F5">_xll.FDS(E5,"FG_YIELD_NAME")</f>
        <v>Germany Benchmark Bond - 10 Year</v>
      </c>
      <c r="G5">
        <f>VLOOKUP(A5,'LIQIDITY 2'!$A$3:$E$15,5,FALSE)</f>
        <v>2.4950000000000001</v>
      </c>
      <c r="H5" cm="1">
        <f t="array" ref="H5">_xll.FDS(B5,"FG_ROE(0)")</f>
        <v>12.450374484810901</v>
      </c>
      <c r="I5">
        <f>HLOOKUP(B5,'Index ROE'!$B$1:$N$25,24,FALSE)</f>
        <v>11.983627970994799</v>
      </c>
      <c r="J5" cm="1">
        <f t="array" ref="J5">_xll.FDS(B5, "FMA_RBICS_REV_CURRENT(30, LOC, ""PORTAGG"")")</f>
        <v>23.085749566205902</v>
      </c>
      <c r="K5" s="74">
        <f>HLOOKUP(B5,'Index earnings'!$B$1:$N$25,25,FALSE)</f>
        <v>2.828308165861726E-2</v>
      </c>
      <c r="L5">
        <f>HLOOKUP(A5,'Yearly returns'!$B$1:$N$128,126,FALSE)</f>
        <v>-36.433050000000001</v>
      </c>
      <c r="M5">
        <f t="shared" si="0"/>
        <v>9.4886279709947985</v>
      </c>
      <c r="N5" cm="1">
        <f t="array" ref="N5">_xlfn.PERCENTRANK.EXC(_xlfn._xlws.FILTER(M$2:M$14, ISNUMBER(M$2:M$14)),M5)*100</f>
        <v>50</v>
      </c>
      <c r="O5" cm="1">
        <f t="array" ref="O5">(1-_xlfn.PERCENTRANK.EXC(_xlfn._xlws.FILTER(J$2:J$14, ISNUMBER(J$2:J$14)),J5))*100</f>
        <v>42.900000000000006</v>
      </c>
      <c r="P5" cm="1">
        <f t="array" ref="P5">_xlfn.PERCENTRANK.EXC(_xlfn._xlws.FILTER(K$2:K$14, ISNUMBER(K$2:K$14)),K5)*100</f>
        <v>57.099999999999994</v>
      </c>
      <c r="Q5" cm="1">
        <f t="array" ref="Q5">_xlfn.PERCENTRANK.EXC(_xlfn._xlws.FILTER(L$2:L$14, ISNUMBER(L$2:L$14)),L5)*100</f>
        <v>14.2</v>
      </c>
      <c r="R5">
        <f>N5*Assumption!$F$64 + O5*Assumption!$F$61 + P5*Assumption!$F$62 + Q5*Assumption!$F$63</f>
        <v>41.05</v>
      </c>
      <c r="S5" cm="1">
        <f t="array" ref="S5">_xlfn.PERCENTRANK.EXC(_xlfn._xlws.FILTER(R$2:R$14, ISNUMBER(R$2:R$14)),R5)*100</f>
        <v>28.499999999999996</v>
      </c>
    </row>
    <row r="6" spans="1:19" x14ac:dyDescent="0.35">
      <c r="A6" t="s">
        <v>46</v>
      </c>
      <c r="B6" t="s">
        <v>46</v>
      </c>
      <c r="C6" t="str" cm="1">
        <f t="array" ref="C6">_xll.FDS(B6,"FG_COMPANY_NAME")</f>
        <v>iShares MSCI Japan ETF</v>
      </c>
      <c r="D6" t="s">
        <v>114</v>
      </c>
      <c r="E6" t="s">
        <v>139</v>
      </c>
      <c r="F6" t="str" cm="1">
        <f t="array" ref="F6">_xll.FDS(E6,"FG_YIELD_NAME")</f>
        <v>Japan Benchmark Bond - 10 Year</v>
      </c>
      <c r="G6">
        <f>VLOOKUP(A6,'LIQIDITY 2'!$A$3:$E$15,5,FALSE)</f>
        <v>0.90690000000000004</v>
      </c>
      <c r="H6" cm="1">
        <f t="array" ref="H6">_xll.FDS(B6,"FG_ROE(0)")</f>
        <v>9.8354134959049198</v>
      </c>
      <c r="I6">
        <f>HLOOKUP(B6,'Index ROE'!$B$1:$N$25,24,FALSE)</f>
        <v>8.994618118763011</v>
      </c>
      <c r="J6" cm="1">
        <f t="array" ref="J6">_xll.FDS(B6, "FMA_RBICS_REV_CURRENT(30, LOC, ""PORTAGG"")")</f>
        <v>18.3501830656637</v>
      </c>
      <c r="K6" s="74">
        <f>HLOOKUP(B6,'Index earnings'!$B$1:$N$25,25,FALSE)</f>
        <v>2.4097093341992615E-2</v>
      </c>
      <c r="L6">
        <f>HLOOKUP(A6,'Yearly returns'!$B$1:$N$128,126,FALSE)</f>
        <v>-25.503195000000002</v>
      </c>
      <c r="M6">
        <f t="shared" si="0"/>
        <v>8.0877181187630107</v>
      </c>
      <c r="N6" cm="1">
        <f t="array" ref="N6">_xlfn.PERCENTRANK.EXC(_xlfn._xlws.FILTER(M$2:M$14, ISNUMBER(M$2:M$14)),M6)*100</f>
        <v>21.4</v>
      </c>
      <c r="O6" cm="1">
        <f t="array" ref="O6">(1-_xlfn.PERCENTRANK.EXC(_xlfn._xlws.FILTER(J$2:J$14, ISNUMBER(J$2:J$14)),J6))*100</f>
        <v>57.2</v>
      </c>
      <c r="P6" cm="1">
        <f t="array" ref="P6">_xlfn.PERCENTRANK.EXC(_xlfn._xlws.FILTER(K$2:K$14, ISNUMBER(K$2:K$14)),K6)*100</f>
        <v>50</v>
      </c>
      <c r="Q6" cm="1">
        <f t="array" ref="Q6">_xlfn.PERCENTRANK.EXC(_xlfn._xlws.FILTER(L$2:L$14, ISNUMBER(L$2:L$14)),L6)*100</f>
        <v>64.2</v>
      </c>
      <c r="R6">
        <f>N6*Assumption!$F$64 + O6*Assumption!$F$61 + P6*Assumption!$F$62 + Q6*Assumption!$F$63</f>
        <v>48.2</v>
      </c>
      <c r="S6" cm="1">
        <f t="array" ref="S6">_xlfn.PERCENTRANK.EXC(_xlfn._xlws.FILTER(R$2:R$14, ISNUMBER(R$2:R$14)),R6)*100</f>
        <v>57.099999999999994</v>
      </c>
    </row>
    <row r="7" spans="1:19" x14ac:dyDescent="0.35">
      <c r="A7" t="s">
        <v>42</v>
      </c>
      <c r="B7" t="s">
        <v>42</v>
      </c>
      <c r="C7" t="str" cm="1">
        <f t="array" ref="C7">_xll.FDS(B7,"FG_COMPANY_NAME")</f>
        <v>iShares MSCI Switzerland ETF</v>
      </c>
      <c r="D7" t="s">
        <v>110</v>
      </c>
      <c r="E7" t="s">
        <v>135</v>
      </c>
      <c r="F7" t="str" cm="1">
        <f t="array" ref="F7">_xll.FDS(E7,"FG_YIELD_NAME")</f>
        <v>Treasury - Switzerland Benchmark Bond 10Y</v>
      </c>
      <c r="G7">
        <f>VLOOKUP(A7,'LIQIDITY 2'!$A$3:$E$15,5,FALSE)</f>
        <v>0.74099999999999999</v>
      </c>
      <c r="H7" cm="1">
        <f t="array" ref="H7">_xll.FDS(B7,"FG_ROE(0)")</f>
        <v>24.145886752327499</v>
      </c>
      <c r="I7">
        <f>HLOOKUP(B7,'Index ROE'!$B$1:$N$25,24,FALSE)</f>
        <v>15.55096443559315</v>
      </c>
      <c r="J7" cm="1">
        <f t="array" ref="J7">_xll.FDS(B7, "FMA_RBICS_REV_CURRENT(30, LOC, ""PORTAGG"")")</f>
        <v>17.864911264843101</v>
      </c>
      <c r="K7" s="74">
        <f>HLOOKUP(B7,'Index earnings'!$B$1:$N$25,25,FALSE)</f>
        <v>4.6608631192781802E-2</v>
      </c>
      <c r="L7">
        <f>HLOOKUP(A7,'Yearly returns'!$B$1:$N$128,126,FALSE)</f>
        <v>-20.500260999999998</v>
      </c>
      <c r="M7">
        <f t="shared" si="0"/>
        <v>14.80996443559315</v>
      </c>
      <c r="N7" cm="1">
        <f t="array" ref="N7">_xlfn.PERCENTRANK.EXC(_xlfn._xlws.FILTER(M$2:M$14, ISNUMBER(M$2:M$14)),M7)*100</f>
        <v>85.7</v>
      </c>
      <c r="O7" cm="1">
        <f t="array" ref="O7">(1-_xlfn.PERCENTRANK.EXC(_xlfn._xlws.FILTER(J$2:J$14, ISNUMBER(J$2:J$14)),J7))*100</f>
        <v>64.3</v>
      </c>
      <c r="P7" cm="1">
        <f t="array" ref="P7">_xlfn.PERCENTRANK.EXC(_xlfn._xlws.FILTER(K$2:K$14, ISNUMBER(K$2:K$14)),K7)*100</f>
        <v>78.5</v>
      </c>
      <c r="Q7" cm="1">
        <f t="array" ref="Q7">_xlfn.PERCENTRANK.EXC(_xlfn._xlws.FILTER(L$2:L$14, ISNUMBER(L$2:L$14)),L7)*100</f>
        <v>85.7</v>
      </c>
      <c r="R7">
        <f>N7*Assumption!$F$64 + O7*Assumption!$F$61 + P7*Assumption!$F$62 + Q7*Assumption!$F$63</f>
        <v>78.55</v>
      </c>
      <c r="S7" cm="1">
        <f t="array" ref="S7">_xlfn.PERCENTRANK.EXC(_xlfn._xlws.FILTER(R$2:R$14, ISNUMBER(R$2:R$14)),R7)*100</f>
        <v>85.7</v>
      </c>
    </row>
    <row r="8" spans="1:19" x14ac:dyDescent="0.35">
      <c r="A8" t="s">
        <v>48</v>
      </c>
      <c r="B8" t="s">
        <v>48</v>
      </c>
      <c r="C8" t="str" cm="1">
        <f t="array" ref="C8">_xll.FDS(B8,"FG_COMPANY_NAME")</f>
        <v>iShares MSCI United Kingdom ETF</v>
      </c>
      <c r="D8" t="s">
        <v>115</v>
      </c>
      <c r="E8" t="s">
        <v>141</v>
      </c>
      <c r="F8" t="str" cm="1">
        <f t="array" ref="F8">_xll.FDS(E8,"FG_YIELD_NAME")</f>
        <v>United Kingdom Benchmark Bond - 10 Year</v>
      </c>
      <c r="G8">
        <f>VLOOKUP(A8,'LIQIDITY 2'!$A$3:$E$15,5,FALSE)</f>
        <v>4.1420000000000003</v>
      </c>
      <c r="H8" cm="1">
        <f t="array" ref="H8">_xll.FDS(B8,"FG_ROE(0)")</f>
        <v>17.038682696993401</v>
      </c>
      <c r="I8">
        <f>HLOOKUP(B8,'Index ROE'!$B$1:$N$25,24,FALSE)</f>
        <v>14.561964916400001</v>
      </c>
      <c r="J8" cm="1">
        <f t="array" ref="J8">_xll.FDS(B8, "FMA_RBICS_REV_CURRENT(30, LOC, ""PORTAGG"")")</f>
        <v>18.8933168361866</v>
      </c>
      <c r="K8" s="74">
        <f>HLOOKUP(B8,'Index earnings'!$B$1:$N$25,25,FALSE)</f>
        <v>3.7127107321246466E-3</v>
      </c>
      <c r="L8">
        <f>HLOOKUP(A8,'Yearly returns'!$B$1:$N$128,126,FALSE)</f>
        <v>-22.542137</v>
      </c>
      <c r="M8">
        <f t="shared" si="0"/>
        <v>10.419964916400001</v>
      </c>
      <c r="N8" cm="1">
        <f t="array" ref="N8">_xlfn.PERCENTRANK.EXC(_xlfn._xlws.FILTER(M$2:M$14, ISNUMBER(M$2:M$14)),M8)*100</f>
        <v>64.2</v>
      </c>
      <c r="O8" cm="1">
        <f t="array" ref="O8">(1-_xlfn.PERCENTRANK.EXC(_xlfn._xlws.FILTER(J$2:J$14, ISNUMBER(J$2:J$14)),J8))*100</f>
        <v>50</v>
      </c>
      <c r="P8" cm="1">
        <f t="array" ref="P8">_xlfn.PERCENTRANK.EXC(_xlfn._xlws.FILTER(K$2:K$14, ISNUMBER(K$2:K$14)),K8)*100</f>
        <v>14.2</v>
      </c>
      <c r="Q8" cm="1">
        <f t="array" ref="Q8">_xlfn.PERCENTRANK.EXC(_xlfn._xlws.FILTER(L$2:L$14, ISNUMBER(L$2:L$14)),L8)*100</f>
        <v>78.5</v>
      </c>
      <c r="R8">
        <f>N8*Assumption!$F$64 + O8*Assumption!$F$61 + P8*Assumption!$F$62 + Q8*Assumption!$F$63</f>
        <v>51.725000000000001</v>
      </c>
      <c r="S8" cm="1">
        <f t="array" ref="S8">_xlfn.PERCENTRANK.EXC(_xlfn._xlws.FILTER(R$2:R$14, ISNUMBER(R$2:R$14)),R8)*100</f>
        <v>64.2</v>
      </c>
    </row>
    <row r="9" spans="1:19" x14ac:dyDescent="0.35">
      <c r="A9" t="s">
        <v>51</v>
      </c>
      <c r="B9" t="s">
        <v>51</v>
      </c>
      <c r="C9" t="str" cm="1">
        <f t="array" ref="C9">_xll.FDS(B9,"FG_COMPANY_NAME")</f>
        <v>Invesco QQQ Trust Series I</v>
      </c>
      <c r="D9" t="s">
        <v>119</v>
      </c>
      <c r="E9" t="s">
        <v>14</v>
      </c>
      <c r="F9" t="str" cm="1">
        <f t="array" ref="F9">_xll.FDS(E9,"FG_YIELD_NAME")</f>
        <v>US Benchmark Bond - 10 Year</v>
      </c>
      <c r="G9">
        <f>VLOOKUP(A9,'LIQIDITY 2'!$A$3:$E$15,5,FALSE)</f>
        <v>4.4574999999999996</v>
      </c>
      <c r="H9" cm="1">
        <f t="array" ref="H9">_xll.FDS(B9,"FG_ROE(0)")</f>
        <v>22.1044171746105</v>
      </c>
      <c r="I9">
        <f>HLOOKUP(B9,'Index ROE'!$B$1:$N$25,24,FALSE)</f>
        <v>21.036882269896502</v>
      </c>
      <c r="J9" cm="1">
        <f t="array" ref="J9">_xll.FDS(B9, "FMA_RBICS_REV_CURRENT(30, LOC, ""PORTAGG"")")</f>
        <v>0.90761789180680597</v>
      </c>
      <c r="K9" s="74">
        <f>HLOOKUP(B9,'Index earnings'!$B$1:$N$25,25,FALSE)</f>
        <v>0.12988959959671664</v>
      </c>
      <c r="L9">
        <f>HLOOKUP(A9,'Yearly returns'!$B$1:$N$128,126,FALSE)</f>
        <v>-32.977561999999999</v>
      </c>
      <c r="M9">
        <f t="shared" si="0"/>
        <v>16.579382269896502</v>
      </c>
      <c r="N9" cm="1">
        <f t="array" ref="N9">_xlfn.PERCENTRANK.EXC(_xlfn._xlws.FILTER(M$2:M$14, ISNUMBER(M$2:M$14)),M9)*100</f>
        <v>92.800000000000011</v>
      </c>
      <c r="O9" cm="1">
        <f t="array" ref="O9">(1-_xlfn.PERCENTRANK.EXC(_xlfn._xlws.FILTER(J$2:J$14, ISNUMBER(J$2:J$14)),J9))*100</f>
        <v>92.9</v>
      </c>
      <c r="P9" cm="1">
        <f t="array" ref="P9">_xlfn.PERCENTRANK.EXC(_xlfn._xlws.FILTER(K$2:K$14, ISNUMBER(K$2:K$14)),K9)*100</f>
        <v>92.800000000000011</v>
      </c>
      <c r="Q9" cm="1">
        <f t="array" ref="Q9">_xlfn.PERCENTRANK.EXC(_xlfn._xlws.FILTER(L$2:L$14, ISNUMBER(L$2:L$14)),L9)*100</f>
        <v>28.499999999999996</v>
      </c>
      <c r="R9">
        <f>N9*Assumption!$F$64 + O9*Assumption!$F$61 + P9*Assumption!$F$62 + Q9*Assumption!$F$63</f>
        <v>76.75</v>
      </c>
      <c r="S9" cm="1">
        <f t="array" ref="S9">_xlfn.PERCENTRANK.EXC(_xlfn._xlws.FILTER(R$2:R$14, ISNUMBER(R$2:R$14)),R9)*100</f>
        <v>78.5</v>
      </c>
    </row>
    <row r="10" spans="1:19" x14ac:dyDescent="0.35">
      <c r="A10" t="s">
        <v>1</v>
      </c>
      <c r="B10" t="s">
        <v>1</v>
      </c>
      <c r="C10" t="str" cm="1">
        <f t="array" ref="C10">_xll.FDS(B10,"FG_COMPANY_NAME")</f>
        <v>SPDR S&amp;P 500 ETF Trust</v>
      </c>
      <c r="D10" t="s">
        <v>119</v>
      </c>
      <c r="E10" t="s">
        <v>14</v>
      </c>
      <c r="F10" t="str" cm="1">
        <f t="array" ref="F10">_xll.FDS(E10,"FG_YIELD_NAME")</f>
        <v>US Benchmark Bond - 10 Year</v>
      </c>
      <c r="G10">
        <f>VLOOKUP(A10,'LIQIDITY 2'!$A$3:$E$15,5,FALSE)</f>
        <v>4.4574999999999996</v>
      </c>
      <c r="H10" cm="1">
        <f t="array" ref="H10">_xll.FDS(B10,"FG_ROE(0)")</f>
        <v>18.1333452674955</v>
      </c>
      <c r="I10">
        <f>HLOOKUP(B10,'Index ROE'!$B$1:$N$25,24,FALSE)</f>
        <v>16.391058174766847</v>
      </c>
      <c r="J10" cm="1">
        <f t="array" ref="J10">_xll.FDS(B10, "FMA_RBICS_REV_CURRENT(30, LOC, ""PORTAGG"")")</f>
        <v>12.637356457553199</v>
      </c>
      <c r="K10" s="74">
        <f>HLOOKUP(B10,'Index earnings'!$B$1:$N$25,25,FALSE)</f>
        <v>5.9884631689594459E-2</v>
      </c>
      <c r="L10">
        <f>HLOOKUP(A10,'Yearly returns'!$B$1:$N$128,126,FALSE)</f>
        <v>-18.737555</v>
      </c>
      <c r="M10">
        <f t="shared" si="0"/>
        <v>11.933558174766848</v>
      </c>
      <c r="N10" cm="1">
        <f t="array" ref="N10">_xlfn.PERCENTRANK.EXC(_xlfn._xlws.FILTER(M$2:M$14, ISNUMBER(M$2:M$14)),M10)*100</f>
        <v>71.399999999999991</v>
      </c>
      <c r="O10" cm="1">
        <f t="array" ref="O10">(1-_xlfn.PERCENTRANK.EXC(_xlfn._xlws.FILTER(J$2:J$14, ISNUMBER(J$2:J$14)),J10))*100</f>
        <v>78.600000000000009</v>
      </c>
      <c r="P10" cm="1">
        <f t="array" ref="P10">_xlfn.PERCENTRANK.EXC(_xlfn._xlws.FILTER(K$2:K$14, ISNUMBER(K$2:K$14)),K10)*100</f>
        <v>85.7</v>
      </c>
      <c r="Q10" cm="1">
        <f t="array" ref="Q10">_xlfn.PERCENTRANK.EXC(_xlfn._xlws.FILTER(L$2:L$14, ISNUMBER(L$2:L$14)),L10)*100</f>
        <v>92.800000000000011</v>
      </c>
      <c r="R10">
        <f>N10*Assumption!$F$64 + O10*Assumption!$F$61 + P10*Assumption!$F$62 + Q10*Assumption!$F$63</f>
        <v>82.125</v>
      </c>
      <c r="S10" cm="1">
        <f t="array" ref="S10">_xlfn.PERCENTRANK.EXC(_xlfn._xlws.FILTER(R$2:R$14, ISNUMBER(R$2:R$14)),R10)*100</f>
        <v>92.800000000000011</v>
      </c>
    </row>
    <row r="11" spans="1:19" x14ac:dyDescent="0.35">
      <c r="A11" t="s">
        <v>865</v>
      </c>
      <c r="B11" t="s">
        <v>865</v>
      </c>
      <c r="C11" t="str" cm="1">
        <f t="array" ref="C11">_xll.FDS(B11,"FG_COMPANY_NAME")</f>
        <v>iShares MSCI France ETF</v>
      </c>
      <c r="D11" t="s">
        <v>106</v>
      </c>
      <c r="E11" t="s">
        <v>133</v>
      </c>
      <c r="F11" t="str" cm="1">
        <f t="array" ref="F11">_xll.FDS(E11,"FG_YIELD_NAME")</f>
        <v>France Benchmark Bond - 10 Year</v>
      </c>
      <c r="G11">
        <f>VLOOKUP(A11,'LIQIDITY 2'!$A$3:$E$15,5,FALSE)</f>
        <v>2.98</v>
      </c>
      <c r="H11" cm="1">
        <f t="array" ref="H11">_xll.FDS(B11,"FG_ROE(0)")</f>
        <v>12.7591430496899</v>
      </c>
      <c r="I11">
        <f>HLOOKUP(B11,'Index ROE'!$B$1:$N$25,24,FALSE)</f>
        <v>11.16089938202855</v>
      </c>
      <c r="J11" cm="1">
        <f t="array" ref="J11">_xll.FDS(B11, "FMA_RBICS_REV_CURRENT(30, LOC, ""PORTAGG"")")</f>
        <v>11.627429260637699</v>
      </c>
      <c r="K11" s="74">
        <f>HLOOKUP(B11,'Index earnings'!$B$1:$N$25,25,FALSE)</f>
        <v>1.8533351282826072E-2</v>
      </c>
      <c r="L11">
        <f>HLOOKUP(A11,'Yearly returns'!$B$1:$N$128,126,FALSE)</f>
        <v>-23.097169999999998</v>
      </c>
      <c r="M11">
        <f t="shared" ref="M11:M14" si="1">I11-G11</f>
        <v>8.1808993820285494</v>
      </c>
      <c r="N11" cm="1">
        <f t="array" ref="N11">_xlfn.PERCENTRANK.EXC(_xlfn._xlws.FILTER(M$2:M$14, ISNUMBER(M$2:M$14)),M11)*100</f>
        <v>28.499999999999996</v>
      </c>
      <c r="O11" cm="1">
        <f t="array" ref="O11">(1-_xlfn.PERCENTRANK.EXC(_xlfn._xlws.FILTER(J$2:J$14, ISNUMBER(J$2:J$14)),J11))*100</f>
        <v>85.8</v>
      </c>
      <c r="P11" cm="1">
        <f t="array" ref="P11">_xlfn.PERCENTRANK.EXC(_xlfn._xlws.FILTER(K$2:K$14, ISNUMBER(K$2:K$14)),K11)*100</f>
        <v>35.699999999999996</v>
      </c>
      <c r="Q11" cm="1">
        <f t="array" ref="Q11">_xlfn.PERCENTRANK.EXC(_xlfn._xlws.FILTER(L$2:L$14, ISNUMBER(L$2:L$14)),L11)*100</f>
        <v>71.399999999999991</v>
      </c>
      <c r="R11">
        <f>N11*Assumption!$F$64 + O11*Assumption!$F$61 + P11*Assumption!$F$62 + Q11*Assumption!$F$63</f>
        <v>55.349999999999994</v>
      </c>
      <c r="S11" cm="1">
        <f t="array" ref="S11">_xlfn.PERCENTRANK.EXC(_xlfn._xlws.FILTER(R$2:R$14, ISNUMBER(R$2:R$14)),R11)*100</f>
        <v>71.399999999999991</v>
      </c>
    </row>
    <row r="12" spans="1:19" x14ac:dyDescent="0.35">
      <c r="A12" t="s">
        <v>867</v>
      </c>
      <c r="B12" t="s">
        <v>867</v>
      </c>
      <c r="C12" t="str" cm="1">
        <f t="array" ref="C12">_xll.FDS(B12,"FG_COMPANY_NAME")</f>
        <v>iShares MSCI Netherlands ETF</v>
      </c>
      <c r="D12" t="s">
        <v>875</v>
      </c>
      <c r="E12" t="s">
        <v>877</v>
      </c>
      <c r="F12" t="str" cm="1">
        <f t="array" ref="F12">_xll.FDS(E12,"FG_YIELD_NAME")</f>
        <v>Netherlands Benchmark Bond - 10 Year</v>
      </c>
      <c r="G12">
        <f>VLOOKUP(A12,'LIQIDITY 2'!$A$3:$E$15,5,FALSE)</f>
        <v>2.7959999999999998</v>
      </c>
      <c r="H12" cm="1">
        <f t="array" ref="H12">_xll.FDS(B12,"FG_ROE(0)")</f>
        <v>11.6637686072044</v>
      </c>
      <c r="I12">
        <f>HLOOKUP(B12,'Index ROE'!$B$1:$N$25,24,FALSE)</f>
        <v>13.049660814670499</v>
      </c>
      <c r="J12" cm="1">
        <f t="array" ref="J12">_xll.FDS(B12, "FMA_RBICS_REV_CURRENT(30, LOC, ""PORTAGG"")")</f>
        <v>25.182223725343501</v>
      </c>
      <c r="K12" s="74">
        <f>HLOOKUP(B12,'Index earnings'!$B$1:$N$25,25,FALSE)</f>
        <v>3.4801405239490046E-2</v>
      </c>
      <c r="L12">
        <f>HLOOKUP(A12,'Yearly returns'!$B$1:$N$128,126,FALSE)</f>
        <v>-36.635010000000001</v>
      </c>
      <c r="M12">
        <f t="shared" si="1"/>
        <v>10.2536608146705</v>
      </c>
      <c r="N12" cm="1">
        <f t="array" ref="N12">_xlfn.PERCENTRANK.EXC(_xlfn._xlws.FILTER(M$2:M$14, ISNUMBER(M$2:M$14)),M12)*100</f>
        <v>57.099999999999994</v>
      </c>
      <c r="O12" cm="1">
        <f t="array" ref="O12">(1-_xlfn.PERCENTRANK.EXC(_xlfn._xlws.FILTER(J$2:J$14, ISNUMBER(J$2:J$14)),J12))*100</f>
        <v>35.799999999999997</v>
      </c>
      <c r="P12" cm="1">
        <f t="array" ref="P12">_xlfn.PERCENTRANK.EXC(_xlfn._xlws.FILTER(K$2:K$14, ISNUMBER(K$2:K$14)),K12)*100</f>
        <v>64.2</v>
      </c>
      <c r="Q12" cm="1">
        <f t="array" ref="Q12">_xlfn.PERCENTRANK.EXC(_xlfn._xlws.FILTER(L$2:L$14, ISNUMBER(L$2:L$14)),L12)*100</f>
        <v>7.1</v>
      </c>
      <c r="R12">
        <f>N12*Assumption!$F$64 + O12*Assumption!$F$61 + P12*Assumption!$F$62 + Q12*Assumption!$F$63</f>
        <v>41.05</v>
      </c>
      <c r="S12" cm="1">
        <f t="array" ref="S12">_xlfn.PERCENTRANK.EXC(_xlfn._xlws.FILTER(R$2:R$14, ISNUMBER(R$2:R$14)),R12)*100</f>
        <v>28.499999999999996</v>
      </c>
    </row>
    <row r="13" spans="1:19" x14ac:dyDescent="0.35">
      <c r="A13" t="s">
        <v>864</v>
      </c>
      <c r="B13" t="s">
        <v>864</v>
      </c>
      <c r="C13" t="str" cm="1">
        <f t="array" ref="C13">_xll.FDS(B13,"FG_COMPANY_NAME")</f>
        <v>iShares MSCI Sweden ETF</v>
      </c>
      <c r="D13" t="s">
        <v>272</v>
      </c>
      <c r="E13" t="s">
        <v>878</v>
      </c>
      <c r="F13" t="str" cm="1">
        <f t="array" ref="F13">_xll.FDS(E13,"FG_YIELD_NAME")</f>
        <v>Sweden Benchmark Bond - 10 Year</v>
      </c>
      <c r="G13">
        <f>VLOOKUP(A13,'LIQIDITY 2'!$A$3:$E$15,5,FALSE)</f>
        <v>2.3570000000000002</v>
      </c>
      <c r="H13" cm="1">
        <f t="array" ref="H13">_xll.FDS(B13,"FG_ROE(0)")</f>
        <v>16.288725478929202</v>
      </c>
      <c r="I13">
        <f>HLOOKUP(B13,'Index ROE'!$B$1:$N$25,24,FALSE)</f>
        <v>14.442823056578451</v>
      </c>
      <c r="J13" cm="1">
        <f t="array" ref="J13">_xll.FDS(B13, "FMA_RBICS_REV_CURRENT(30, LOC, ""PORTAGG"")")</f>
        <v>25.9129717795788</v>
      </c>
      <c r="K13" s="74">
        <f>HLOOKUP(B13,'Index earnings'!$B$1:$N$25,25,FALSE)</f>
        <v>2.4009988201395327E-2</v>
      </c>
      <c r="L13">
        <f>HLOOKUP(A13,'Yearly returns'!$B$1:$N$128,126,FALSE)</f>
        <v>-36.15728</v>
      </c>
      <c r="M13">
        <f t="shared" si="1"/>
        <v>12.085823056578452</v>
      </c>
      <c r="N13" cm="1">
        <f t="array" ref="N13">_xlfn.PERCENTRANK.EXC(_xlfn._xlws.FILTER(M$2:M$14, ISNUMBER(M$2:M$14)),M13)*100</f>
        <v>78.5</v>
      </c>
      <c r="O13" cm="1">
        <f t="array" ref="O13">(1-_xlfn.PERCENTRANK.EXC(_xlfn._xlws.FILTER(J$2:J$14, ISNUMBER(J$2:J$14)),J13))*100</f>
        <v>28.6</v>
      </c>
      <c r="P13" cm="1">
        <f t="array" ref="P13">_xlfn.PERCENTRANK.EXC(_xlfn._xlws.FILTER(K$2:K$14, ISNUMBER(K$2:K$14)),K13)*100</f>
        <v>42.8</v>
      </c>
      <c r="Q13" cm="1">
        <f t="array" ref="Q13">_xlfn.PERCENTRANK.EXC(_xlfn._xlws.FILTER(L$2:L$14, ISNUMBER(L$2:L$14)),L13)*100</f>
        <v>21.4</v>
      </c>
      <c r="R13">
        <f>N13*Assumption!$F$64 + O13*Assumption!$F$61 + P13*Assumption!$F$62 + Q13*Assumption!$F$63</f>
        <v>42.824999999999996</v>
      </c>
      <c r="S13" cm="1">
        <f t="array" ref="S13">_xlfn.PERCENTRANK.EXC(_xlfn._xlws.FILTER(R$2:R$14, ISNUMBER(R$2:R$14)),R13)*100</f>
        <v>42.8</v>
      </c>
    </row>
    <row r="14" spans="1:19" x14ac:dyDescent="0.35">
      <c r="A14" t="s">
        <v>866</v>
      </c>
      <c r="B14" t="s">
        <v>866</v>
      </c>
      <c r="C14" t="str" cm="1">
        <f t="array" ref="C14">_xll.FDS(B14,"FG_COMPANY_NAME")</f>
        <v>iShares MSCI Italy ETF</v>
      </c>
      <c r="D14" t="s">
        <v>876</v>
      </c>
      <c r="E14" t="s">
        <v>879</v>
      </c>
      <c r="F14" t="str" cm="1">
        <f t="array" ref="F14">_xll.FDS(E14,"FG_YIELD_NAME")</f>
        <v>Italy Benchmark Bond - 10 Year</v>
      </c>
      <c r="G14">
        <f>VLOOKUP(A14,'LIQIDITY 2'!$A$3:$E$15,5,FALSE)</f>
        <v>3.8090000000000002</v>
      </c>
      <c r="H14" cm="1">
        <f t="array" ref="H14">_xll.FDS(B14,"FG_ROE(0)")</f>
        <v>14.5781672192801</v>
      </c>
      <c r="I14">
        <f>HLOOKUP(B14,'Index ROE'!$B$1:$N$25,24,FALSE)</f>
        <v>9.6445775045501065</v>
      </c>
      <c r="J14" cm="1">
        <f t="array" ref="J14">_xll.FDS(B14, "FMA_RBICS_REV_CURRENT(30, LOC, ""PORTAGG"")")</f>
        <v>36.608914375767398</v>
      </c>
      <c r="K14" s="74">
        <f>HLOOKUP(B14,'Index earnings'!$B$1:$N$25,25,FALSE)</f>
        <v>9.2743992574173539E-3</v>
      </c>
      <c r="L14">
        <f>HLOOKUP(A14,'Yearly returns'!$B$1:$N$128,126,FALSE)</f>
        <v>-29.157240000000002</v>
      </c>
      <c r="M14">
        <f t="shared" si="1"/>
        <v>5.8355775045501064</v>
      </c>
      <c r="N14" cm="1">
        <f t="array" ref="N14">_xlfn.PERCENTRANK.EXC(_xlfn._xlws.FILTER(M$2:M$14, ISNUMBER(M$2:M$14)),M14)*100</f>
        <v>14.2</v>
      </c>
      <c r="O14" cm="1">
        <f t="array" ref="O14">(1-_xlfn.PERCENTRANK.EXC(_xlfn._xlws.FILTER(J$2:J$14, ISNUMBER(J$2:J$14)),J14))*100</f>
        <v>21.499999999999996</v>
      </c>
      <c r="P14" cm="1">
        <f t="array" ref="P14">_xlfn.PERCENTRANK.EXC(_xlfn._xlws.FILTER(K$2:K$14, ISNUMBER(K$2:K$14)),K14)*100</f>
        <v>21.4</v>
      </c>
      <c r="Q14" cm="1">
        <f t="array" ref="Q14">_xlfn.PERCENTRANK.EXC(_xlfn._xlws.FILTER(L$2:L$14, ISNUMBER(L$2:L$14)),L14)*100</f>
        <v>42.8</v>
      </c>
      <c r="R14">
        <f>N14*Assumption!$F$64 + O14*Assumption!$F$61 + P14*Assumption!$F$62 + Q14*Assumption!$F$63</f>
        <v>24.974999999999998</v>
      </c>
      <c r="S14" cm="1">
        <f t="array" ref="S14">_xlfn.PERCENTRANK.EXC(_xlfn._xlws.FILTER(R$2:R$14, ISNUMBER(R$2:R$14)),R14)*100</f>
        <v>7.1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57"/>
  <sheetViews>
    <sheetView zoomScale="95" zoomScaleNormal="130" workbookViewId="0">
      <pane xSplit="1" topLeftCell="E1" activePane="topRight" state="frozen"/>
      <selection pane="topRight" activeCell="S15" sqref="S15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5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12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7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9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49" t="s">
        <v>861</v>
      </c>
      <c r="E1" s="72" t="s">
        <v>862</v>
      </c>
      <c r="F1" s="72" t="s">
        <v>16</v>
      </c>
      <c r="G1" s="72" t="s">
        <v>66</v>
      </c>
      <c r="H1" s="72" t="s">
        <v>62</v>
      </c>
      <c r="I1" s="72" t="s">
        <v>69</v>
      </c>
      <c r="J1" s="72" t="s">
        <v>77</v>
      </c>
      <c r="K1" t="s">
        <v>68</v>
      </c>
      <c r="L1" t="s">
        <v>389</v>
      </c>
      <c r="M1" t="s">
        <v>390</v>
      </c>
      <c r="N1" t="s">
        <v>908</v>
      </c>
      <c r="O1" t="s">
        <v>4</v>
      </c>
      <c r="P1" t="s">
        <v>5</v>
      </c>
      <c r="Q1" t="s">
        <v>9</v>
      </c>
      <c r="R1" t="s">
        <v>501</v>
      </c>
      <c r="S1" t="s">
        <v>72</v>
      </c>
      <c r="T1" t="s">
        <v>506</v>
      </c>
      <c r="U1" t="s">
        <v>507</v>
      </c>
      <c r="V1" t="s">
        <v>502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391</v>
      </c>
      <c r="AD1" t="s">
        <v>392</v>
      </c>
      <c r="AE1" s="72" t="s">
        <v>863</v>
      </c>
      <c r="AF1" s="72" t="s">
        <v>765</v>
      </c>
      <c r="AG1" s="72" t="s">
        <v>909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00">
        <f>Assumption!F24</f>
        <v>0</v>
      </c>
      <c r="Z2" s="22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431</v>
      </c>
      <c r="B3" t="str" cm="1">
        <f t="array" ref="B3">_xll.FDS(A3,"FG_COMPANY_NAME")</f>
        <v>iShares MSCI New Zealand ETF</v>
      </c>
      <c r="C3" t="s">
        <v>431</v>
      </c>
      <c r="D3" s="142">
        <f>VLOOKUP(C3,'Market Capitalisation'!$C$2:$G$14,5,FALSE)</f>
        <v>89841.945000000007</v>
      </c>
      <c r="E3" cm="1">
        <f t="array" ref="E3">_xll.FDS(C3,"FMA_COS_UP(""EPS"",""1M"",+1,0,,,""PORTAGG"",""MEANR"")")</f>
        <v>5</v>
      </c>
      <c r="F3" cm="1">
        <f t="array" ref="F3">_xll.FDS(C3,"FMA_COS_DOWN(""EPS"",""1M"",+1,0,,,""PORTAGG"",""MEANR"")")</f>
        <v>4</v>
      </c>
      <c r="G3" cm="1">
        <f t="array" ref="G3">_xll.FDS(A3,"SIZE(FG_CONSTITUENTS)")</f>
        <v>14</v>
      </c>
      <c r="H3" s="9">
        <f t="shared" ref="H3:H11" si="0">E3/$G3</f>
        <v>0.35714285714285715</v>
      </c>
      <c r="I3" s="9">
        <f t="shared" ref="I3:I11" si="1">F3/$G3</f>
        <v>0.2857142857142857</v>
      </c>
      <c r="J3" s="9">
        <f t="shared" ref="J3:J11" si="2">H3-I3</f>
        <v>7.1428571428571452E-2</v>
      </c>
      <c r="K3" s="5" cm="1">
        <f t="array" ref="K3">_xll.FDS(A3,"FMA_PCT_ABOVE_MAVG(200,0,,,,""PORTAGG"")")/100</f>
        <v>0.42857142857142899</v>
      </c>
      <c r="L3" s="41" cm="1">
        <f t="array" ref="L3">_xll.FDSB(A3,"PERCENT_CHANGE(FMA_EPS(+1,0,,,,""PORTAGG"",""MEAN""),FMA_EPS(+1,-1AM,,,,""PORTAGG"",""MEAN""))")</f>
        <v>-2.0532193391115698</v>
      </c>
      <c r="M3" s="41" cm="1">
        <f t="array" ref="M3">_xll.FDSB(A3,"PERCENT_CHANGE(FMA_EPS(+1,0,,,,""PORTAGG"",""MEAN""),FMA_EPS(+1,-3AM,,,,""PORTAGG"",""MEAN""))")</f>
        <v>-16.326585366941998</v>
      </c>
      <c r="N3" s="3" cm="1">
        <f t="array" ref="N3">_xll.FDS(C3,"FG_TOTAL_RETURNC(0,-1AM)")</f>
        <v>-0.68085194000000004</v>
      </c>
      <c r="O3" s="3" cm="1">
        <f t="array" ref="O3">_xll.FDS(C3,"FG_TOTAL_RETURNC(0,-3AM)")</f>
        <v>-2.7282476</v>
      </c>
      <c r="P3" s="3" cm="1">
        <f t="array" ref="P3">_xll.FDS(C3,"FG_TOTAL_RETURNC(0,-6AM)")</f>
        <v>5.6992409999999998</v>
      </c>
      <c r="Q3" s="9" cm="1">
        <f t="array" ref="Q3">_xll.FDS(C3,"P_PRICE(0)/P_PRICE_HIGH_PR(0,,,,,,""PRICE"",""INTRA"",""52W"")")</f>
        <v>0.88265110000000002</v>
      </c>
      <c r="R3" s="9" cm="1">
        <f t="array" ref="R3">_xll.FDS(C3,"P_PRICE(0)/P_PRICE_low_PR(0,,,,,,""PRICE"",""INTRA"",""52W"")-1")</f>
        <v>0.10358000000000001</v>
      </c>
      <c r="S3" s="3" cm="1">
        <f t="array" ref="S3">_xll.FDS(C3,"FG_TOTAL_RETURNC(0,-12AM)")</f>
        <v>-7.4812174000000002</v>
      </c>
      <c r="T3" s="4" cm="1">
        <f t="array" ref="T3">_xlfn.PERCENTRANK.EXC(_xlfn._xlws.FILTER($R$3:$R$15, ISNUMBER($R$3:$R$15)),R3)*100</f>
        <v>7.1</v>
      </c>
      <c r="U3" s="4">
        <f t="shared" ref="U3:U11" si="3">100-T3</f>
        <v>92.9</v>
      </c>
      <c r="V3" s="4" cm="1">
        <f t="array" ref="V3">_xlfn.PERCENTRANK.EXC(_xlfn._xlws.FILTER($Q$3:$Q$15, ISNUMBER($Q$3:$Q$15)),Q3)*100</f>
        <v>7.1</v>
      </c>
      <c r="W3" s="4" cm="1">
        <f t="array" ref="W3">_xlfn.PERCENTRANK.EXC(_xlfn._xlws.FILTER($O$3:$O$15, ISNUMBER($O$3:$O$15)),O3)*100</f>
        <v>7.1</v>
      </c>
      <c r="X3" s="4" cm="1">
        <f t="array" ref="X3">_xlfn.PERCENTRANK.EXC(_xlfn._xlws.FILTER($P$3:$P$15, ISNUMBER($P$3:$P$15)),P3)*100</f>
        <v>7.1</v>
      </c>
      <c r="Y3" s="201" cm="1">
        <f t="array" ref="Y3">_xlfn.PERCENTRANK.EXC(_xlfn._xlws.FILTER($S$3:$S$15, ISNUMBER($S$3:$S$15)),S3)*100</f>
        <v>7.1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14.2</v>
      </c>
      <c r="AB3" s="4" cm="1">
        <f t="array" ref="AB3">_xlfn.PERCENTRANK.EXC(_xlfn._xlws.FILTER($J$3:$J$15, ISNUMBER($J$3:$J$15)),J3)*100</f>
        <v>57.099999999999994</v>
      </c>
      <c r="AC3" s="4">
        <f t="shared" ref="AC3:AC15" si="4">_xlfn.PERCENTRANK.EXC($L$3:$L$15,L3)*100</f>
        <v>7.1</v>
      </c>
      <c r="AD3" s="4">
        <f t="shared" ref="AD3:AD15" si="5">_xlfn.PERCENTRANK.EXC($M$3:$M$15,M3)*100</f>
        <v>7.1</v>
      </c>
      <c r="AE3" s="4">
        <f t="shared" ref="AE3:AE15" si="6">_xlfn.PERCENTRANK.EXC($D$3:$D$15,D3)*100</f>
        <v>7.1</v>
      </c>
      <c r="AF3" s="4">
        <f>'Economic Momentum'!Q4</f>
        <v>35.699999999999996</v>
      </c>
      <c r="AG3" s="4">
        <f ca="1">'Economic Momentum'!R4</f>
        <v>78.5</v>
      </c>
      <c r="AH3" s="4">
        <f t="shared" ref="AH3:AH15" ca="1" si="7">SUMPRODUCT($U$2:$AG$2,U3:AG3)</f>
        <v>7.1</v>
      </c>
      <c r="AJ3" s="3" cm="1">
        <f t="array" aca="1" ref="AJ3" ca="1">_xlfn.PERCENTRANK.EXC(_xlfn._xlws.FILTER($AH$3:$AH$15, ISNUMBER($AH$3:$AH$15)),AH3)*100</f>
        <v>7.1</v>
      </c>
      <c r="AK3">
        <f t="shared" ref="AK3:AK15" si="8">COUNTIF(V3:AB3,"&gt;70")</f>
        <v>0</v>
      </c>
      <c r="AM3" s="4"/>
    </row>
    <row r="4" spans="1:39" x14ac:dyDescent="0.35">
      <c r="A4" t="s">
        <v>44</v>
      </c>
      <c r="B4" t="str" cm="1">
        <f t="array" ref="B4">_xll.FDS(A4,"FG_COMPANY_NAME")</f>
        <v>iShares MSCI Australia ETF</v>
      </c>
      <c r="C4" t="s">
        <v>44</v>
      </c>
      <c r="D4" s="142">
        <f>VLOOKUP(C4,'Market Capitalisation'!$C$2:$G$14,5,FALSE)</f>
        <v>1676362.5</v>
      </c>
      <c r="E4" cm="1">
        <f t="array" ref="E4">_xll.FDS(C4,"FMA_COS_UP(""EPS"",""1M"",+1,0,,,""PORTAGG"",""MEANR"")")</f>
        <v>19</v>
      </c>
      <c r="F4" cm="1">
        <f t="array" ref="F4">_xll.FDS(C4,"FMA_COS_DOWN(""EPS"",""1M"",+1,0,,,""PORTAGG"",""MEANR"")")</f>
        <v>24</v>
      </c>
      <c r="G4" cm="1">
        <f t="array" ref="G4">_xll.FDS(A4,"SIZE(FG_CONSTITUENTS)")</f>
        <v>59</v>
      </c>
      <c r="H4" s="9">
        <f t="shared" si="0"/>
        <v>0.32203389830508472</v>
      </c>
      <c r="I4" s="9">
        <f t="shared" si="1"/>
        <v>0.40677966101694918</v>
      </c>
      <c r="J4" s="9">
        <f t="shared" si="2"/>
        <v>-8.4745762711864459E-2</v>
      </c>
      <c r="K4" s="5" cm="1">
        <f t="array" ref="K4">_xll.FDS(A4,"FMA_PCT_ABOVE_MAVG(200,0,,,,""PORTAGG"")")/100</f>
        <v>0.644067796610169</v>
      </c>
      <c r="L4" s="41" cm="1">
        <f t="array" ref="L4">_xll.FDSB(A4,"PERCENT_CHANGE(FMA_EPS(+1,0,,,,""PORTAGG"",""MEAN""),FMA_EPS(+1,-1AM,,,,""PORTAGG"",""MEAN""))")</f>
        <v>-0.75089828009450499</v>
      </c>
      <c r="M4" s="41" cm="1">
        <f t="array" ref="M4">_xll.FDSB(A4,"PERCENT_CHANGE(FMA_EPS(+1,0,,,,""PORTAGG"",""MEAN""),FMA_EPS(+1,-3AM,,,,""PORTAGG"",""MEAN""))")</f>
        <v>1.48092570707404</v>
      </c>
      <c r="N4" s="3" cm="1">
        <f t="array" ref="N4">_xll.FDS(C4,"FG_TOTAL_RETURNC(0,-1AM)")</f>
        <v>-1.4486969000000001</v>
      </c>
      <c r="O4" s="3" cm="1">
        <f t="array" ref="O4">_xll.FDS(C4,"FG_TOTAL_RETURNC(0,-3AM)")</f>
        <v>3.551793</v>
      </c>
      <c r="P4" s="3" cm="1">
        <f t="array" ref="P4">_xll.FDS(C4,"FG_TOTAL_RETURNC(0,-6AM)")</f>
        <v>16.797089</v>
      </c>
      <c r="Q4" s="9" cm="1">
        <f t="array" ref="Q4">_xll.FDS(C4,"P_PRICE(0)/P_PRICE_HIGH_PR(0,,,,,,""PRICE"",""INTRA"",""52W"")")</f>
        <v>0.97803510000000005</v>
      </c>
      <c r="R4" s="9" cm="1">
        <f t="array" ref="R4">_xll.FDS(C4,"P_PRICE(0)/P_PRICE_low_PR(0,,,,,,""PRICE"",""INTRA"",""52W"")-1")</f>
        <v>0.19696975</v>
      </c>
      <c r="S4" s="3" cm="1">
        <f t="array" ref="S4">_xll.FDS(C4,"FG_TOTAL_RETURNC(0,-12AM)")</f>
        <v>9.9137540000000008</v>
      </c>
      <c r="T4" s="4" cm="1">
        <f t="array" ref="T4">_xlfn.PERCENTRANK.EXC(_xlfn._xlws.FILTER($R$3:$R$15, ISNUMBER($R$3:$R$15)),R4)*100</f>
        <v>35.699999999999996</v>
      </c>
      <c r="U4" s="4">
        <f t="shared" si="3"/>
        <v>64.300000000000011</v>
      </c>
      <c r="V4" s="4" cm="1">
        <f t="array" ref="V4">_xlfn.PERCENTRANK.EXC(_xlfn._xlws.FILTER($Q$3:$Q$15, ISNUMBER($Q$3:$Q$15)),Q4)*100</f>
        <v>35.699999999999996</v>
      </c>
      <c r="W4" s="4" cm="1">
        <f t="array" ref="W4">_xlfn.PERCENTRANK.EXC(_xlfn._xlws.FILTER($O$3:$O$15, ISNUMBER($O$3:$O$15)),O4)*100</f>
        <v>35.699999999999996</v>
      </c>
      <c r="X4" s="4" cm="1">
        <f t="array" ref="X4">_xlfn.PERCENTRANK.EXC(_xlfn._xlws.FILTER($P$3:$P$15, ISNUMBER($P$3:$P$15)),P4)*100</f>
        <v>28.499999999999996</v>
      </c>
      <c r="Y4" s="201" cm="1">
        <f t="array" ref="Y4">_xlfn.PERCENTRANK.EXC(_xlfn._xlws.FILTER($S$3:$S$15, ISNUMBER($S$3:$S$15)),S4)*100</f>
        <v>21.4</v>
      </c>
      <c r="Z4" s="4" cm="1">
        <f t="array" ref="Z4">_xlfn.PERCENTRANK.EXC(_xlfn._xlws.FILTER($K$3:$K$15, ISNUMBER($K$3:$K$15)),K4)*100</f>
        <v>14.2</v>
      </c>
      <c r="AA4" s="4" cm="1">
        <f t="array" ref="AA4">_xlfn.PERCENTRANK.EXC(_xlfn._xlws.FILTER($H$3:$H$15, ISNUMBER($H$3:$H$15)),H4)*100</f>
        <v>7.1</v>
      </c>
      <c r="AB4" s="4" cm="1">
        <f t="array" ref="AB4">_xlfn.PERCENTRANK.EXC(_xlfn._xlws.FILTER($J$3:$J$15, ISNUMBER($J$3:$J$15)),J4)*100</f>
        <v>14.2</v>
      </c>
      <c r="AC4" s="4">
        <f t="shared" si="4"/>
        <v>21.4</v>
      </c>
      <c r="AD4" s="4">
        <f t="shared" si="5"/>
        <v>64.2</v>
      </c>
      <c r="AE4" s="4">
        <f t="shared" si="6"/>
        <v>35.699999999999996</v>
      </c>
      <c r="AF4" s="4">
        <f>'Economic Momentum'!Q5</f>
        <v>64.2</v>
      </c>
      <c r="AG4" s="4">
        <f ca="1">'Economic Momentum'!R5</f>
        <v>14.2</v>
      </c>
      <c r="AH4" s="4">
        <f t="shared" ca="1" si="7"/>
        <v>33.54</v>
      </c>
      <c r="AJ4" s="3" cm="1">
        <f t="array" aca="1" ref="AJ4" ca="1">_xlfn.PERCENTRANK.EXC(_xlfn._xlws.FILTER($AH$3:$AH$15, ISNUMBER($AH$3:$AH$15)),AH4)*100</f>
        <v>28.499999999999996</v>
      </c>
      <c r="AK4">
        <f t="shared" si="8"/>
        <v>0</v>
      </c>
      <c r="AM4" s="4"/>
    </row>
    <row r="5" spans="1:39" x14ac:dyDescent="0.35">
      <c r="A5" t="s">
        <v>49</v>
      </c>
      <c r="B5" t="str" cm="1">
        <f t="array" ref="B5">_xll.FDS(A5,"FG_COMPANY_NAME")</f>
        <v>iShares MSCI Canada ETF</v>
      </c>
      <c r="C5" t="s">
        <v>49</v>
      </c>
      <c r="D5" s="142">
        <f>VLOOKUP(C5,'Market Capitalisation'!$C$2:$G$14,5,FALSE)</f>
        <v>2753637.5</v>
      </c>
      <c r="E5" cm="1">
        <f t="array" ref="E5">_xll.FDS(C5,"FMA_COS_UP(""EPS"",""1M"",+1,0,,,""PORTAGG"",""MEANR"")")</f>
        <v>38</v>
      </c>
      <c r="F5" cm="1">
        <f t="array" ref="F5">_xll.FDS(C5,"FMA_COS_DOWN(""EPS"",""1M"",+1,0,,,""PORTAGG"",""MEANR"")")</f>
        <v>35</v>
      </c>
      <c r="G5" cm="1">
        <f t="array" ref="G5">_xll.FDS(A5,"SIZE(FG_CONSTITUENTS)")</f>
        <v>88</v>
      </c>
      <c r="H5" s="9">
        <f t="shared" si="0"/>
        <v>0.43181818181818182</v>
      </c>
      <c r="I5" s="9">
        <f t="shared" si="1"/>
        <v>0.39772727272727271</v>
      </c>
      <c r="J5" s="9">
        <f t="shared" si="2"/>
        <v>3.4090909090909116E-2</v>
      </c>
      <c r="K5" s="5" cm="1">
        <f t="array" ref="K5">_xll.FDS(A5,"FMA_PCT_ABOVE_MAVG(200,0,,,,""PORTAGG"")")/100</f>
        <v>0.71590909090909094</v>
      </c>
      <c r="L5" s="41" cm="1">
        <f t="array" ref="L5">_xll.FDSB(A5,"PERCENT_CHANGE(FMA_EPS(+1,0,,,,""PORTAGG"",""MEAN""),FMA_EPS(+1,-1AM,,,,""PORTAGG"",""MEAN""))")</f>
        <v>-0.54937864442084505</v>
      </c>
      <c r="M5" s="41" cm="1">
        <f t="array" ref="M5">_xll.FDSB(A5,"PERCENT_CHANGE(FMA_EPS(+1,0,,,,""PORTAGG"",""MEAN""),FMA_EPS(+1,-3AM,,,,""PORTAGG"",""MEAN""))")</f>
        <v>-2.3077751946232299</v>
      </c>
      <c r="N5" s="3" cm="1">
        <f t="array" ref="N5">_xll.FDS(C5,"FG_TOTAL_RETURNC(0,-1AM)")</f>
        <v>-0.62305929999999998</v>
      </c>
      <c r="O5" s="3" cm="1">
        <f t="array" ref="O5">_xll.FDS(C5,"FG_TOTAL_RETURNC(0,-3AM)")</f>
        <v>5.3384660000000004</v>
      </c>
      <c r="P5" s="3" cm="1">
        <f t="array" ref="P5">_xll.FDS(C5,"FG_TOTAL_RETURNC(0,-6AM)")</f>
        <v>16.942644000000001</v>
      </c>
      <c r="Q5" s="9" cm="1">
        <f t="array" ref="Q5">_xll.FDS(C5,"P_PRICE(0)/P_PRICE_HIGH_PR(0,,,,,,""PRICE"",""INTRA"",""52W"")")</f>
        <v>0.99119630000000003</v>
      </c>
      <c r="R5" s="9" cm="1">
        <f t="array" ref="R5">_xll.FDS(C5,"P_PRICE(0)/P_PRICE_low_PR(0,,,,,,""PRICE"",""INTRA"",""52W"")-1")</f>
        <v>0.21872008000000001</v>
      </c>
      <c r="S5" s="3" cm="1">
        <f t="array" ref="S5">_xll.FDS(C5,"FG_TOTAL_RETURNC(0,-12AM)")</f>
        <v>10.376537000000001</v>
      </c>
      <c r="T5" s="4" cm="1">
        <f t="array" ref="T5">_xlfn.PERCENTRANK.EXC(_xlfn._xlws.FILTER($R$3:$R$15, ISNUMBER($R$3:$R$15)),R5)*100</f>
        <v>42.8</v>
      </c>
      <c r="U5" s="4">
        <f t="shared" si="3"/>
        <v>57.2</v>
      </c>
      <c r="V5" s="4" cm="1">
        <f t="array" ref="V5">_xlfn.PERCENTRANK.EXC(_xlfn._xlws.FILTER($Q$3:$Q$15, ISNUMBER($Q$3:$Q$15)),Q5)*100</f>
        <v>50</v>
      </c>
      <c r="W5" s="4" cm="1">
        <f t="array" ref="W5">_xlfn.PERCENTRANK.EXC(_xlfn._xlws.FILTER($O$3:$O$15, ISNUMBER($O$3:$O$15)),O5)*100</f>
        <v>50</v>
      </c>
      <c r="X5" s="4" cm="1">
        <f t="array" ref="X5">_xlfn.PERCENTRANK.EXC(_xlfn._xlws.FILTER($P$3:$P$15, ISNUMBER($P$3:$P$15)),P5)*100</f>
        <v>35.699999999999996</v>
      </c>
      <c r="Y5" s="201" cm="1">
        <f t="array" ref="Y5">_xlfn.PERCENTRANK.EXC(_xlfn._xlws.FILTER($S$3:$S$15, ISNUMBER($S$3:$S$15)),S5)*100</f>
        <v>28.499999999999996</v>
      </c>
      <c r="Z5" s="4" cm="1">
        <f t="array" ref="Z5">_xlfn.PERCENTRANK.EXC(_xlfn._xlws.FILTER($K$3:$K$15, ISNUMBER($K$3:$K$15)),K5)*100</f>
        <v>57.099999999999994</v>
      </c>
      <c r="AA5" s="4" cm="1">
        <f t="array" ref="AA5">_xlfn.PERCENTRANK.EXC(_xlfn._xlws.FILTER($H$3:$H$15, ISNUMBER($H$3:$H$15)),H5)*100</f>
        <v>50</v>
      </c>
      <c r="AB5" s="4" cm="1">
        <f t="array" ref="AB5">_xlfn.PERCENTRANK.EXC(_xlfn._xlws.FILTER($J$3:$J$15, ISNUMBER($J$3:$J$15)),J5)*100</f>
        <v>50</v>
      </c>
      <c r="AC5" s="4">
        <f t="shared" si="4"/>
        <v>28.499999999999996</v>
      </c>
      <c r="AD5" s="4">
        <f t="shared" si="5"/>
        <v>14.2</v>
      </c>
      <c r="AE5" s="4">
        <f t="shared" si="6"/>
        <v>57.099999999999994</v>
      </c>
      <c r="AF5" s="4">
        <f>'Economic Momentum'!Q6</f>
        <v>50</v>
      </c>
      <c r="AG5" s="4">
        <f ca="1">'Economic Momentum'!R6</f>
        <v>35.699999999999996</v>
      </c>
      <c r="AH5" s="4">
        <f t="shared" ca="1" si="7"/>
        <v>45.71</v>
      </c>
      <c r="AJ5" s="3" cm="1">
        <f t="array" aca="1" ref="AJ5" ca="1">_xlfn.PERCENTRANK.EXC(_xlfn._xlws.FILTER($AH$3:$AH$15, ISNUMBER($AH$3:$AH$15)),AH5)*100</f>
        <v>42.8</v>
      </c>
      <c r="AK5">
        <f t="shared" si="8"/>
        <v>0</v>
      </c>
      <c r="AM5" s="4"/>
    </row>
    <row r="6" spans="1:39" x14ac:dyDescent="0.35">
      <c r="A6" t="s">
        <v>11</v>
      </c>
      <c r="B6" t="str" cm="1">
        <f t="array" ref="B6">_xll.FDS(A6,"FG_COMPANY_NAME")</f>
        <v>iShares MSCI Germany ETF</v>
      </c>
      <c r="C6" t="s">
        <v>11</v>
      </c>
      <c r="D6" s="142">
        <f>VLOOKUP(C6,'Market Capitalisation'!$C$2:$G$14,5,FALSE)</f>
        <v>2306288</v>
      </c>
      <c r="E6" cm="1">
        <f t="array" ref="E6">_xll.FDS(C6,"FMA_COS_UP(""EPS"",""1M"",+1,0,,,""PORTAGG"",""MEANR"")")</f>
        <v>24</v>
      </c>
      <c r="F6" cm="1">
        <f t="array" ref="F6">_xll.FDS(C6,"FMA_COS_DOWN(""EPS"",""1M"",+1,0,,,""PORTAGG"",""MEANR"")")</f>
        <v>31</v>
      </c>
      <c r="G6" cm="1">
        <f t="array" ref="G6">_xll.FDS(A6,"SIZE(FG_CONSTITUENTS)")</f>
        <v>57</v>
      </c>
      <c r="H6" s="9">
        <f t="shared" si="0"/>
        <v>0.42105263157894735</v>
      </c>
      <c r="I6" s="9">
        <f t="shared" si="1"/>
        <v>0.54385964912280704</v>
      </c>
      <c r="J6" s="9">
        <f t="shared" si="2"/>
        <v>-0.1228070175438597</v>
      </c>
      <c r="K6" s="5" cm="1">
        <f t="array" ref="K6">_xll.FDS(A6,"FMA_PCT_ABOVE_MAVG(200,0,,,,""PORTAGG"")")/100</f>
        <v>0.73684210526315796</v>
      </c>
      <c r="L6" s="41" cm="1">
        <f t="array" ref="L6">_xll.FDSB(A6,"PERCENT_CHANGE(FMA_EPS(+1,0,,,,""PORTAGG"",""MEAN""),FMA_EPS(+1,-1AM,,,,""PORTAGG"",""MEAN""))")</f>
        <v>-0.27061965209411398</v>
      </c>
      <c r="M6" s="41" cm="1">
        <f t="array" ref="M6">_xll.FDSB(A6,"PERCENT_CHANGE(FMA_EPS(+1,0,,,,""PORTAGG"",""MEAN""),FMA_EPS(+1,-3AM,,,,""PORTAGG"",""MEAN""))")</f>
        <v>-0.33926878922932602</v>
      </c>
      <c r="N6" s="3" cm="1">
        <f t="array" ref="N6">_xll.FDS(C6,"FG_TOTAL_RETURNC(0,-1AM)")</f>
        <v>2.2321463000000001</v>
      </c>
      <c r="O6" s="3" cm="1">
        <f t="array" ref="O6">_xll.FDS(C6,"FG_TOTAL_RETURNC(0,-3AM)")</f>
        <v>9.5319509999999994</v>
      </c>
      <c r="P6" s="3" cm="1">
        <f t="array" ref="P6">_xll.FDS(C6,"FG_TOTAL_RETURNC(0,-6AM)")</f>
        <v>22.18628</v>
      </c>
      <c r="Q6" s="9" cm="1">
        <f t="array" ref="Q6">_xll.FDS(C6,"P_PRICE(0)/P_PRICE_HIGH_PR(0,,,,,,""PRICE"",""INTRA"",""52W"")")</f>
        <v>0.99953234000000002</v>
      </c>
      <c r="R6" s="9" cm="1">
        <f t="array" ref="R6">_xll.FDS(C6,"P_PRICE(0)/P_PRICE_low_PR(0,,,,,,""PRICE"",""INTRA"",""52W"")-1")</f>
        <v>0.29771303999999998</v>
      </c>
      <c r="S6" s="3" cm="1">
        <f t="array" ref="S6">_xll.FDS(C6,"FG_TOTAL_RETURNC(0,-12AM)")</f>
        <v>12.660933</v>
      </c>
      <c r="T6" s="4" cm="1">
        <f t="array" ref="T6">_xlfn.PERCENTRANK.EXC(_xlfn._xlws.FILTER($R$3:$R$15, ISNUMBER($R$3:$R$15)),R6)*100</f>
        <v>64.2</v>
      </c>
      <c r="U6" s="4">
        <f t="shared" si="3"/>
        <v>35.799999999999997</v>
      </c>
      <c r="V6" s="4" cm="1">
        <f t="array" ref="V6">_xlfn.PERCENTRANK.EXC(_xlfn._xlws.FILTER($Q$3:$Q$15, ISNUMBER($Q$3:$Q$15)),Q6)*100</f>
        <v>78.5</v>
      </c>
      <c r="W6" s="4" cm="1">
        <f t="array" ref="W6">_xlfn.PERCENTRANK.EXC(_xlfn._xlws.FILTER($O$3:$O$15, ISNUMBER($O$3:$O$15)),O6)*100</f>
        <v>78.5</v>
      </c>
      <c r="X6" s="4" cm="1">
        <f t="array" ref="X6">_xlfn.PERCENTRANK.EXC(_xlfn._xlws.FILTER($P$3:$P$15, ISNUMBER($P$3:$P$15)),P6)*100</f>
        <v>71.399999999999991</v>
      </c>
      <c r="Y6" s="201" cm="1">
        <f t="array" ref="Y6">_xlfn.PERCENTRANK.EXC(_xlfn._xlws.FILTER($S$3:$S$15, ISNUMBER($S$3:$S$15)),S6)*100</f>
        <v>50</v>
      </c>
      <c r="Z6" s="4" cm="1">
        <f t="array" ref="Z6">_xlfn.PERCENTRANK.EXC(_xlfn._xlws.FILTER($K$3:$K$15, ISNUMBER($K$3:$K$15)),K6)*100</f>
        <v>71.399999999999991</v>
      </c>
      <c r="AA6" s="4" cm="1">
        <f t="array" ref="AA6">_xlfn.PERCENTRANK.EXC(_xlfn._xlws.FILTER($H$3:$H$15, ISNUMBER($H$3:$H$15)),H6)*100</f>
        <v>35.699999999999996</v>
      </c>
      <c r="AB6" s="4" cm="1">
        <f t="array" ref="AB6">_xlfn.PERCENTRANK.EXC(_xlfn._xlws.FILTER($J$3:$J$15, ISNUMBER($J$3:$J$15)),J6)*100</f>
        <v>7.1</v>
      </c>
      <c r="AC6" s="4">
        <f t="shared" si="4"/>
        <v>42.8</v>
      </c>
      <c r="AD6" s="4">
        <f t="shared" si="5"/>
        <v>35.699999999999996</v>
      </c>
      <c r="AE6" s="4">
        <f t="shared" si="6"/>
        <v>50</v>
      </c>
      <c r="AF6" s="4">
        <f>'Economic Momentum'!Q7</f>
        <v>14.2</v>
      </c>
      <c r="AG6" s="4">
        <f ca="1">'Economic Momentum'!R7</f>
        <v>28.499999999999996</v>
      </c>
      <c r="AH6" s="4">
        <f t="shared" ca="1" si="7"/>
        <v>76.37</v>
      </c>
      <c r="AJ6" s="3" cm="1">
        <f t="array" aca="1" ref="AJ6" ca="1">_xlfn.PERCENTRANK.EXC(_xlfn._xlws.FILTER($AH$3:$AH$15, ISNUMBER($AH$3:$AH$15)),AH6)*100</f>
        <v>85.7</v>
      </c>
      <c r="AK6">
        <f t="shared" si="8"/>
        <v>4</v>
      </c>
      <c r="AM6" s="4"/>
    </row>
    <row r="7" spans="1:39" x14ac:dyDescent="0.35">
      <c r="A7" t="s">
        <v>46</v>
      </c>
      <c r="B7" t="str" cm="1">
        <f t="array" ref="B7">_xll.FDS(A7,"FG_COMPANY_NAME")</f>
        <v>iShares MSCI Japan ETF</v>
      </c>
      <c r="C7" t="s">
        <v>46</v>
      </c>
      <c r="D7" s="142">
        <f>VLOOKUP(C7,'Market Capitalisation'!$C$2:$G$14,5,FALSE)</f>
        <v>6391685</v>
      </c>
      <c r="E7" cm="1">
        <f t="array" ref="E7">_xll.FDS(C7,"FMA_COS_UP(""EPS"",""1M"",+1,0,,,""PORTAGG"",""MEANR"")")</f>
        <v>98</v>
      </c>
      <c r="F7" cm="1">
        <f t="array" ref="F7">_xll.FDS(C7,"FMA_COS_DOWN(""EPS"",""1M"",+1,0,,,""PORTAGG"",""MEANR"")")</f>
        <v>82</v>
      </c>
      <c r="G7" cm="1">
        <f t="array" ref="G7">_xll.FDS(A7,"SIZE(FG_CONSTITUENTS)")</f>
        <v>218</v>
      </c>
      <c r="H7" s="9">
        <f t="shared" si="0"/>
        <v>0.44954128440366975</v>
      </c>
      <c r="I7" s="9">
        <f t="shared" si="1"/>
        <v>0.37614678899082571</v>
      </c>
      <c r="J7" s="9">
        <f t="shared" si="2"/>
        <v>7.3394495412844041E-2</v>
      </c>
      <c r="K7" s="5" cm="1">
        <f t="array" ref="K7">_xll.FDS(A7,"FMA_PCT_ABOVE_MAVG(200,0,,,,""PORTAGG"")")/100</f>
        <v>0.71100917431192701</v>
      </c>
      <c r="L7" s="41" cm="1">
        <f t="array" ref="L7">_xll.FDSB(A7,"PERCENT_CHANGE(FMA_EPS(+1,0,,,,""PORTAGG"",""MEAN""),FMA_EPS(+1,-1AM,,,,""PORTAGG"",""MEAN""))")</f>
        <v>0.33067428668703902</v>
      </c>
      <c r="M7" s="41" cm="1">
        <f t="array" ref="M7">_xll.FDSB(A7,"PERCENT_CHANGE(FMA_EPS(+1,0,,,,""PORTAGG"",""MEAN""),FMA_EPS(+1,-3AM,,,,""PORTAGG"",""MEAN""))")</f>
        <v>-8.1000519751008707E-2</v>
      </c>
      <c r="N7" s="3" cm="1">
        <f t="array" ref="N7">_xll.FDS(C7,"FG_TOTAL_RETURNC(0,-1AM)")</f>
        <v>-3.0363321000000001</v>
      </c>
      <c r="O7" s="3" cm="1">
        <f t="array" ref="O7">_xll.FDS(C7,"FG_TOTAL_RETURNC(0,-3AM)")</f>
        <v>2.5664090000000002</v>
      </c>
      <c r="P7" s="3" cm="1">
        <f t="array" ref="P7">_xll.FDS(C7,"FG_TOTAL_RETURNC(0,-6AM)")</f>
        <v>15.717566</v>
      </c>
      <c r="Q7" s="9" cm="1">
        <f t="array" ref="Q7">_xll.FDS(C7,"P_PRICE(0)/P_PRICE_HIGH_PR(0,,,,,,""PRICE"",""INTRA"",""52W"")")</f>
        <v>0.94831049999999995</v>
      </c>
      <c r="R7" s="9" cm="1">
        <f t="array" ref="R7">_xll.FDS(C7,"P_PRICE(0)/P_PRICE_low_PR(0,,,,,,""PRICE"",""INTRA"",""52W"")-1")</f>
        <v>0.19475519999999999</v>
      </c>
      <c r="S7" s="3" cm="1">
        <f t="array" ref="S7">_xll.FDS(C7,"FG_TOTAL_RETURNC(0,-12AM)")</f>
        <v>16.243351000000001</v>
      </c>
      <c r="T7" s="4" cm="1">
        <f t="array" ref="T7">_xlfn.PERCENTRANK.EXC(_xlfn._xlws.FILTER($R$3:$R$15, ISNUMBER($R$3:$R$15)),R7)*100</f>
        <v>21.4</v>
      </c>
      <c r="U7" s="4">
        <f t="shared" si="3"/>
        <v>78.599999999999994</v>
      </c>
      <c r="V7" s="4" cm="1">
        <f t="array" ref="V7">_xlfn.PERCENTRANK.EXC(_xlfn._xlws.FILTER($Q$3:$Q$15, ISNUMBER($Q$3:$Q$15)),Q7)*100</f>
        <v>14.2</v>
      </c>
      <c r="W7" s="4" cm="1">
        <f t="array" ref="W7">_xlfn.PERCENTRANK.EXC(_xlfn._xlws.FILTER($O$3:$O$15, ISNUMBER($O$3:$O$15)),O7)*100</f>
        <v>21.4</v>
      </c>
      <c r="X7" s="4" cm="1">
        <f t="array" ref="X7">_xlfn.PERCENTRANK.EXC(_xlfn._xlws.FILTER($P$3:$P$15, ISNUMBER($P$3:$P$15)),P7)*100</f>
        <v>21.4</v>
      </c>
      <c r="Y7" s="201" cm="1">
        <f t="array" ref="Y7">_xlfn.PERCENTRANK.EXC(_xlfn._xlws.FILTER($S$3:$S$15, ISNUMBER($S$3:$S$15)),S7)*100</f>
        <v>64.2</v>
      </c>
      <c r="Z7" s="4" cm="1">
        <f t="array" ref="Z7">_xlfn.PERCENTRANK.EXC(_xlfn._xlws.FILTER($K$3:$K$15, ISNUMBER($K$3:$K$15)),K7)*100</f>
        <v>42.8</v>
      </c>
      <c r="AA7" s="4" cm="1">
        <f t="array" ref="AA7">_xlfn.PERCENTRANK.EXC(_xlfn._xlws.FILTER($H$3:$H$15, ISNUMBER($H$3:$H$15)),H7)*100</f>
        <v>57.099999999999994</v>
      </c>
      <c r="AB7" s="4" cm="1">
        <f t="array" ref="AB7">_xlfn.PERCENTRANK.EXC(_xlfn._xlws.FILTER($J$3:$J$15, ISNUMBER($J$3:$J$15)),J7)*100</f>
        <v>64.2</v>
      </c>
      <c r="AC7" s="4">
        <f t="shared" si="4"/>
        <v>78.5</v>
      </c>
      <c r="AD7" s="4">
        <f t="shared" si="5"/>
        <v>42.8</v>
      </c>
      <c r="AE7" s="4">
        <f t="shared" si="6"/>
        <v>78.5</v>
      </c>
      <c r="AF7" s="4">
        <f>'Economic Momentum'!Q8</f>
        <v>57.099999999999994</v>
      </c>
      <c r="AG7" s="4">
        <f ca="1">'Economic Momentum'!R8</f>
        <v>7.1</v>
      </c>
      <c r="AH7" s="4">
        <f t="shared" ca="1" si="7"/>
        <v>18.519999999999996</v>
      </c>
      <c r="AJ7" s="3" cm="1">
        <f t="array" aca="1" ref="AJ7" ca="1">_xlfn.PERCENTRANK.EXC(_xlfn._xlws.FILTER($AH$3:$AH$15, ISNUMBER($AH$3:$AH$15)),AH7)*100</f>
        <v>14.2</v>
      </c>
      <c r="AK7">
        <f t="shared" si="8"/>
        <v>0</v>
      </c>
      <c r="AM7" s="4"/>
    </row>
    <row r="8" spans="1:39" x14ac:dyDescent="0.35">
      <c r="A8" t="s">
        <v>42</v>
      </c>
      <c r="B8" t="str" cm="1">
        <f t="array" ref="B8">_xll.FDS(A8,"FG_COMPANY_NAME")</f>
        <v>iShares MSCI Switzerland ETF</v>
      </c>
      <c r="C8" t="s">
        <v>42</v>
      </c>
      <c r="D8" s="142">
        <f>VLOOKUP(C8,'Market Capitalisation'!$C$2:$G$14,5,FALSE)</f>
        <v>2087703.9</v>
      </c>
      <c r="E8" cm="1">
        <f t="array" ref="E8">_xll.FDS(C8,"FMA_COS_UP(""EPS"",""1M"",+1,0,,,""PORTAGG"",""MEANR"")")</f>
        <v>21</v>
      </c>
      <c r="F8" cm="1">
        <f t="array" ref="F8">_xll.FDS(C8,"FMA_COS_DOWN(""EPS"",""1M"",+1,0,,,""PORTAGG"",""MEANR"")")</f>
        <v>21</v>
      </c>
      <c r="G8" cm="1">
        <f t="array" ref="G8">_xll.FDS(A8,"SIZE(FG_CONSTITUENTS)")</f>
        <v>46</v>
      </c>
      <c r="H8" s="9">
        <f t="shared" si="0"/>
        <v>0.45652173913043476</v>
      </c>
      <c r="I8" s="9">
        <f t="shared" si="1"/>
        <v>0.45652173913043476</v>
      </c>
      <c r="J8" s="9">
        <f t="shared" si="2"/>
        <v>0</v>
      </c>
      <c r="K8" s="5" cm="1">
        <f t="array" ref="K8">_xll.FDS(A8,"FMA_PCT_ABOVE_MAVG(200,0,,,,""PORTAGG"")")/100</f>
        <v>0.64444444444444404</v>
      </c>
      <c r="L8" s="41" cm="1">
        <f t="array" ref="L8">_xll.FDSB(A8,"PERCENT_CHANGE(FMA_EPS(+1,0,,,,""PORTAGG"",""MEAN""),FMA_EPS(+1,-1AM,,,,""PORTAGG"",""MEAN""))")</f>
        <v>1.6014232471484799</v>
      </c>
      <c r="M8" s="41" cm="1">
        <f t="array" ref="M8">_xll.FDSB(A8,"PERCENT_CHANGE(FMA_EPS(+1,0,,,,""PORTAGG"",""MEAN""),FMA_EPS(+1,-3AM,,,,""PORTAGG"",""MEAN""))")</f>
        <v>-1.00776288527608</v>
      </c>
      <c r="N8" s="3" cm="1">
        <f t="array" ref="N8">_xll.FDS(C8,"FG_TOTAL_RETURNC(0,-1AM)")</f>
        <v>1.9918560999999999</v>
      </c>
      <c r="O8" s="3" cm="1">
        <f t="array" ref="O8">_xll.FDS(C8,"FG_TOTAL_RETURNC(0,-3AM)")</f>
        <v>2.6735663000000001</v>
      </c>
      <c r="P8" s="3" cm="1">
        <f t="array" ref="P8">_xll.FDS(C8,"FG_TOTAL_RETURNC(0,-6AM)")</f>
        <v>10.615563</v>
      </c>
      <c r="Q8" s="9" cm="1">
        <f t="array" ref="Q8">_xll.FDS(C8,"P_PRICE(0)/P_PRICE_HIGH_PR(0,,,,,,""PRICE"",""INTRA"",""52W"")")</f>
        <v>0.97462135999999999</v>
      </c>
      <c r="R8" s="9" cm="1">
        <f t="array" ref="R8">_xll.FDS(C8,"P_PRICE(0)/P_PRICE_low_PR(0,,,,,,""PRICE"",""INTRA"",""52W"")-1")</f>
        <v>0.14608908000000001</v>
      </c>
      <c r="S8" s="3" cm="1">
        <f t="array" ref="S8">_xll.FDS(C8,"FG_TOTAL_RETURNC(0,-12AM)")</f>
        <v>-1.9609928000000002E-3</v>
      </c>
      <c r="T8" s="4" cm="1">
        <f t="array" ref="T8">_xlfn.PERCENTRANK.EXC(_xlfn._xlws.FILTER($R$3:$R$15, ISNUMBER($R$3:$R$15)),R8)*100</f>
        <v>14.2</v>
      </c>
      <c r="U8" s="4">
        <f t="shared" si="3"/>
        <v>85.8</v>
      </c>
      <c r="V8" s="4" cm="1">
        <f t="array" ref="V8">_xlfn.PERCENTRANK.EXC(_xlfn._xlws.FILTER($Q$3:$Q$15, ISNUMBER($Q$3:$Q$15)),Q8)*100</f>
        <v>28.499999999999996</v>
      </c>
      <c r="W8" s="4" cm="1">
        <f t="array" ref="W8">_xlfn.PERCENTRANK.EXC(_xlfn._xlws.FILTER($O$3:$O$15, ISNUMBER($O$3:$O$15)),O8)*100</f>
        <v>28.499999999999996</v>
      </c>
      <c r="X8" s="4" cm="1">
        <f t="array" ref="X8">_xlfn.PERCENTRANK.EXC(_xlfn._xlws.FILTER($P$3:$P$15, ISNUMBER($P$3:$P$15)),P8)*100</f>
        <v>14.2</v>
      </c>
      <c r="Y8" s="201" cm="1">
        <f t="array" ref="Y8">_xlfn.PERCENTRANK.EXC(_xlfn._xlws.FILTER($S$3:$S$15, ISNUMBER($S$3:$S$15)),S8)*100</f>
        <v>14.2</v>
      </c>
      <c r="Z8" s="4" cm="1">
        <f t="array" ref="Z8">_xlfn.PERCENTRANK.EXC(_xlfn._xlws.FILTER($K$3:$K$15, ISNUMBER($K$3:$K$15)),K8)*100</f>
        <v>21.4</v>
      </c>
      <c r="AA8" s="4" cm="1">
        <f t="array" ref="AA8">_xlfn.PERCENTRANK.EXC(_xlfn._xlws.FILTER($H$3:$H$15, ISNUMBER($H$3:$H$15)),H8)*100</f>
        <v>64.2</v>
      </c>
      <c r="AB8" s="4" cm="1">
        <f t="array" ref="AB8">_xlfn.PERCENTRANK.EXC(_xlfn._xlws.FILTER($J$3:$J$15, ISNUMBER($J$3:$J$15)),J8)*100</f>
        <v>28.499999999999996</v>
      </c>
      <c r="AC8" s="4">
        <f t="shared" si="4"/>
        <v>85.7</v>
      </c>
      <c r="AD8" s="4">
        <f t="shared" si="5"/>
        <v>28.499999999999996</v>
      </c>
      <c r="AE8" s="4">
        <f t="shared" si="6"/>
        <v>42.8</v>
      </c>
      <c r="AF8" s="4">
        <f>'Economic Momentum'!Q9</f>
        <v>7.1</v>
      </c>
      <c r="AG8" s="4">
        <f ca="1">'Economic Momentum'!R9</f>
        <v>42.8</v>
      </c>
      <c r="AH8" s="4">
        <f t="shared" ca="1" si="7"/>
        <v>24.209999999999994</v>
      </c>
      <c r="AJ8" s="3" cm="1">
        <f t="array" aca="1" ref="AJ8" ca="1">_xlfn.PERCENTRANK.EXC(_xlfn._xlws.FILTER($AH$3:$AH$15, ISNUMBER($AH$3:$AH$15)),AH8)*100</f>
        <v>21.4</v>
      </c>
      <c r="AK8">
        <f t="shared" si="8"/>
        <v>0</v>
      </c>
      <c r="AM8" s="4"/>
    </row>
    <row r="9" spans="1:39" x14ac:dyDescent="0.35">
      <c r="A9" t="s">
        <v>48</v>
      </c>
      <c r="B9" t="str" cm="1">
        <f t="array" ref="B9">_xll.FDS(A9,"FG_COMPANY_NAME")</f>
        <v>iShares MSCI United Kingdom ETF</v>
      </c>
      <c r="C9" t="s">
        <v>48</v>
      </c>
      <c r="D9" s="142">
        <f>VLOOKUP(C9,'Market Capitalisation'!$C$2:$G$14,5,FALSE)</f>
        <v>3254713.3</v>
      </c>
      <c r="E9" cm="1">
        <f t="array" ref="E9">_xll.FDS(C9,"FMA_COS_UP(""EPS"",""1M"",+1,0,,,""PORTAGG"",""MEANR"")")</f>
        <v>44</v>
      </c>
      <c r="F9" cm="1">
        <f t="array" ref="F9">_xll.FDS(C9,"FMA_COS_DOWN(""EPS"",""1M"",+1,0,,,""PORTAGG"",""MEANR"")")</f>
        <v>33</v>
      </c>
      <c r="G9" cm="1">
        <f t="array" ref="G9">_xll.FDS(A9,"SIZE(FG_CONSTITUENTS)")</f>
        <v>85</v>
      </c>
      <c r="H9" s="9">
        <f t="shared" si="0"/>
        <v>0.51764705882352946</v>
      </c>
      <c r="I9" s="9">
        <f t="shared" si="1"/>
        <v>0.38823529411764707</v>
      </c>
      <c r="J9" s="9">
        <f t="shared" si="2"/>
        <v>0.12941176470588239</v>
      </c>
      <c r="K9" s="5" cm="1">
        <f t="array" ref="K9">_xll.FDS(A9,"FMA_PCT_ABOVE_MAVG(200,0,,,,""PORTAGG"")")/100</f>
        <v>0.71428571428571397</v>
      </c>
      <c r="L9" s="41" cm="1">
        <f t="array" ref="L9">_xll.FDSB(A9,"PERCENT_CHANGE(FMA_EPS(+1,0,,,,""PORTAGG"",""MEAN""),FMA_EPS(+1,-1AM,,,,""PORTAGG"",""MEAN""))")</f>
        <v>2.0358367917145999</v>
      </c>
      <c r="M9" s="41" cm="1">
        <f t="array" ref="M9">_xll.FDSB(A9,"PERCENT_CHANGE(FMA_EPS(+1,0,,,,""PORTAGG"",""MEAN""),FMA_EPS(+1,-3AM,,,,""PORTAGG"",""MEAN""))")</f>
        <v>2.2150387917586798</v>
      </c>
      <c r="N9" s="3" cm="1">
        <f t="array" ref="N9">_xll.FDS(C9,"FG_TOTAL_RETURNC(0,-1AM)")</f>
        <v>5.0087450000000002</v>
      </c>
      <c r="O9" s="3" cm="1">
        <f t="array" ref="O9">_xll.FDS(C9,"FG_TOTAL_RETURNC(0,-3AM)")</f>
        <v>11.813962999999999</v>
      </c>
      <c r="P9" s="3" cm="1">
        <f t="array" ref="P9">_xll.FDS(C9,"FG_TOTAL_RETURNC(0,-6AM)")</f>
        <v>18.541644999999999</v>
      </c>
      <c r="Q9" s="9" cm="1">
        <f t="array" ref="Q9">_xll.FDS(C9,"P_PRICE(0)/P_PRICE_HIGH_PR(0,,,,,,""PRICE"",""INTRA"",""52W"")")</f>
        <v>0.99972280000000002</v>
      </c>
      <c r="R9" s="9" cm="1">
        <f t="array" ref="R9">_xll.FDS(C9,"P_PRICE(0)/P_PRICE_low_PR(0,,,,,,""PRICE"",""INTRA"",""52W"")-1")</f>
        <v>0.19641674000000001</v>
      </c>
      <c r="S9" s="3" cm="1">
        <f t="array" ref="S9">_xll.FDS(C9,"FG_TOTAL_RETURNC(0,-12AM)")</f>
        <v>11.791824999999999</v>
      </c>
      <c r="T9" s="4" cm="1">
        <f t="array" ref="T9">_xlfn.PERCENTRANK.EXC(_xlfn._xlws.FILTER($R$3:$R$15, ISNUMBER($R$3:$R$15)),R9)*100</f>
        <v>28.499999999999996</v>
      </c>
      <c r="U9" s="4">
        <f t="shared" si="3"/>
        <v>71.5</v>
      </c>
      <c r="V9" s="4" cm="1">
        <f t="array" ref="V9">_xlfn.PERCENTRANK.EXC(_xlfn._xlws.FILTER($Q$3:$Q$15, ISNUMBER($Q$3:$Q$15)),Q9)*100</f>
        <v>85.7</v>
      </c>
      <c r="W9" s="4" cm="1">
        <f t="array" ref="W9">_xlfn.PERCENTRANK.EXC(_xlfn._xlws.FILTER($O$3:$O$15, ISNUMBER($O$3:$O$15)),O9)*100</f>
        <v>92.800000000000011</v>
      </c>
      <c r="X9" s="4" cm="1">
        <f t="array" ref="X9">_xlfn.PERCENTRANK.EXC(_xlfn._xlws.FILTER($P$3:$P$15, ISNUMBER($P$3:$P$15)),P9)*100</f>
        <v>42.8</v>
      </c>
      <c r="Y9" s="201" cm="1">
        <f t="array" ref="Y9">_xlfn.PERCENTRANK.EXC(_xlfn._xlws.FILTER($S$3:$S$15, ISNUMBER($S$3:$S$15)),S9)*100</f>
        <v>42.8</v>
      </c>
      <c r="Z9" s="4" cm="1">
        <f t="array" ref="Z9">_xlfn.PERCENTRANK.EXC(_xlfn._xlws.FILTER($K$3:$K$15, ISNUMBER($K$3:$K$15)),K9)*100</f>
        <v>50</v>
      </c>
      <c r="AA9" s="4" cm="1">
        <f t="array" ref="AA9">_xlfn.PERCENTRANK.EXC(_xlfn._xlws.FILTER($H$3:$H$15, ISNUMBER($H$3:$H$15)),H9)*100</f>
        <v>92.800000000000011</v>
      </c>
      <c r="AB9" s="4" cm="1">
        <f t="array" ref="AB9">_xlfn.PERCENTRANK.EXC(_xlfn._xlws.FILTER($J$3:$J$15, ISNUMBER($J$3:$J$15)),J9)*100</f>
        <v>85.7</v>
      </c>
      <c r="AC9" s="4">
        <f t="shared" si="4"/>
        <v>92.800000000000011</v>
      </c>
      <c r="AD9" s="4">
        <f t="shared" si="5"/>
        <v>78.5</v>
      </c>
      <c r="AE9" s="4">
        <f t="shared" si="6"/>
        <v>64.2</v>
      </c>
      <c r="AF9" s="4">
        <f>'Economic Momentum'!Q10</f>
        <v>42.8</v>
      </c>
      <c r="AG9" s="4">
        <f ca="1">'Economic Momentum'!R10</f>
        <v>50</v>
      </c>
      <c r="AH9" s="4">
        <f t="shared" ca="1" si="7"/>
        <v>74.960000000000008</v>
      </c>
      <c r="AJ9" s="3" cm="1">
        <f t="array" aca="1" ref="AJ9" ca="1">_xlfn.PERCENTRANK.EXC(_xlfn._xlws.FILTER($AH$3:$AH$15, ISNUMBER($AH$3:$AH$15)),AH9)*100</f>
        <v>78.5</v>
      </c>
      <c r="AK9">
        <f t="shared" si="8"/>
        <v>4</v>
      </c>
      <c r="AM9" s="4"/>
    </row>
    <row r="10" spans="1:39" x14ac:dyDescent="0.35">
      <c r="A10" t="s">
        <v>51</v>
      </c>
      <c r="B10" t="str" cm="1">
        <f t="array" ref="B10">_xll.FDS(A10,"FG_COMPANY_NAME")</f>
        <v>Invesco QQQ Trust Series I</v>
      </c>
      <c r="C10" t="s">
        <v>51</v>
      </c>
      <c r="D10" s="142">
        <f>VLOOKUP(C10,'Market Capitalisation'!$C$2:$G$14,5,FALSE)</f>
        <v>54421530</v>
      </c>
      <c r="E10" cm="1">
        <f t="array" ref="E10">_xll.FDS(C10,"FMA_COS_UP(""EPS"",""1M"",+1,0,,,""PORTAGG"",""MEANR"")")</f>
        <v>42</v>
      </c>
      <c r="F10" cm="1">
        <f t="array" ref="F10">_xll.FDS(C10,"FMA_COS_DOWN(""EPS"",""1M"",+1,0,,,""PORTAGG"",""MEANR"")")</f>
        <v>40</v>
      </c>
      <c r="G10" cm="1">
        <f t="array" ref="G10">_xll.FDS(A10,"SIZE(FG_CONSTITUENTS)")</f>
        <v>102</v>
      </c>
      <c r="H10" s="9">
        <f t="shared" si="0"/>
        <v>0.41176470588235292</v>
      </c>
      <c r="I10" s="9">
        <f t="shared" si="1"/>
        <v>0.39215686274509803</v>
      </c>
      <c r="J10" s="9">
        <f t="shared" si="2"/>
        <v>1.9607843137254888E-2</v>
      </c>
      <c r="K10" s="5" cm="1">
        <f t="array" ref="K10">_xll.FDS(A10,"FMA_PCT_ABOVE_MAVG(200,0,,,,""PORTAGG"")")/100</f>
        <v>0.65686274509803899</v>
      </c>
      <c r="L10" s="41" cm="1">
        <f t="array" ref="L10">_xll.FDSB(A10,"PERCENT_CHANGE(FMA_EPS(+1,0,,,,""PORTAGG"",""MEAN""),FMA_EPS(+1,-1AM,,,,""PORTAGG"",""MEAN""))")</f>
        <v>-0.28714913573650402</v>
      </c>
      <c r="M10" s="41" cm="1">
        <f t="array" ref="M10">_xll.FDSB(A10,"PERCENT_CHANGE(FMA_EPS(+1,0,,,,""PORTAGG"",""MEAN""),FMA_EPS(+1,-3AM,,,,""PORTAGG"",""MEAN""))")</f>
        <v>-8.6295160529252703E-3</v>
      </c>
      <c r="N10" s="3" cm="1">
        <f t="array" ref="N10">_xll.FDS(C10,"FG_TOTAL_RETURNC(0,-1AM)")</f>
        <v>-0.27362108000000002</v>
      </c>
      <c r="O10" s="3" cm="1">
        <f t="array" ref="O10">_xll.FDS(C10,"FG_TOTAL_RETURNC(0,-3AM)")</f>
        <v>1.0406375000000001</v>
      </c>
      <c r="P10" s="3" cm="1">
        <f t="array" ref="P10">_xll.FDS(C10,"FG_TOTAL_RETURNC(0,-6AM)")</f>
        <v>19.627893</v>
      </c>
      <c r="Q10" s="9" cm="1">
        <f t="array" ref="Q10">_xll.FDS(C10,"P_PRICE(0)/P_PRICE_HIGH_PR(0,,,,,,""PRICE"",""INTRA"",""52W"")")</f>
        <v>0.98148394000000005</v>
      </c>
      <c r="R10" s="9" cm="1">
        <f t="array" ref="R10">_xll.FDS(C10,"P_PRICE(0)/P_PRICE_low_PR(0,,,,,,""PRICE"",""INTRA"",""52W"")-1")</f>
        <v>0.37133073999999999</v>
      </c>
      <c r="S10" s="3" cm="1">
        <f t="array" ref="S10">_xll.FDS(C10,"FG_TOTAL_RETURNC(0,-12AM)")</f>
        <v>38.028717</v>
      </c>
      <c r="T10" s="4" cm="1">
        <f t="array" ref="T10">_xlfn.PERCENTRANK.EXC(_xlfn._xlws.FILTER($R$3:$R$15, ISNUMBER($R$3:$R$15)),R10)*100</f>
        <v>85.7</v>
      </c>
      <c r="U10" s="4">
        <f t="shared" si="3"/>
        <v>14.299999999999997</v>
      </c>
      <c r="V10" s="4" cm="1">
        <f t="array" ref="V10">_xlfn.PERCENTRANK.EXC(_xlfn._xlws.FILTER($Q$3:$Q$15, ISNUMBER($Q$3:$Q$15)),Q10)*100</f>
        <v>42.8</v>
      </c>
      <c r="W10" s="4" cm="1">
        <f t="array" ref="W10">_xlfn.PERCENTRANK.EXC(_xlfn._xlws.FILTER($O$3:$O$15, ISNUMBER($O$3:$O$15)),O10)*100</f>
        <v>14.2</v>
      </c>
      <c r="X10" s="4" cm="1">
        <f t="array" ref="X10">_xlfn.PERCENTRANK.EXC(_xlfn._xlws.FILTER($P$3:$P$15, ISNUMBER($P$3:$P$15)),P10)*100</f>
        <v>57.099999999999994</v>
      </c>
      <c r="Y10" s="201" cm="1">
        <f t="array" ref="Y10">_xlfn.PERCENTRANK.EXC(_xlfn._xlws.FILTER($S$3:$S$15, ISNUMBER($S$3:$S$15)),S10)*100</f>
        <v>92.800000000000011</v>
      </c>
      <c r="Z10" s="4" cm="1">
        <f t="array" ref="Z10">_xlfn.PERCENTRANK.EXC(_xlfn._xlws.FILTER($K$3:$K$15, ISNUMBER($K$3:$K$15)),K10)*100</f>
        <v>28.499999999999996</v>
      </c>
      <c r="AA10" s="4" cm="1">
        <f t="array" ref="AA10">_xlfn.PERCENTRANK.EXC(_xlfn._xlws.FILTER($H$3:$H$15, ISNUMBER($H$3:$H$15)),H10)*100</f>
        <v>28.499999999999996</v>
      </c>
      <c r="AB10" s="4" cm="1">
        <f t="array" ref="AB10">_xlfn.PERCENTRANK.EXC(_xlfn._xlws.FILTER($J$3:$J$15, ISNUMBER($J$3:$J$15)),J10)*100</f>
        <v>35.699999999999996</v>
      </c>
      <c r="AC10" s="4">
        <f t="shared" si="4"/>
        <v>35.699999999999996</v>
      </c>
      <c r="AD10" s="4">
        <f t="shared" si="5"/>
        <v>50</v>
      </c>
      <c r="AE10" s="4">
        <f t="shared" si="6"/>
        <v>85.7</v>
      </c>
      <c r="AF10" s="4">
        <f>'Economic Momentum'!Q11</f>
        <v>71.399999999999991</v>
      </c>
      <c r="AG10" s="4">
        <f ca="1">'Economic Momentum'!R11</f>
        <v>57.099999999999994</v>
      </c>
      <c r="AH10" s="4">
        <f t="shared" ca="1" si="7"/>
        <v>38.510000000000005</v>
      </c>
      <c r="AJ10" s="3" cm="1">
        <f t="array" aca="1" ref="AJ10" ca="1">_xlfn.PERCENTRANK.EXC(_xlfn._xlws.FILTER($AH$3:$AH$15, ISNUMBER($AH$3:$AH$15)),AH10)*100</f>
        <v>35.699999999999996</v>
      </c>
      <c r="AK10">
        <f t="shared" si="8"/>
        <v>1</v>
      </c>
      <c r="AM10" s="4"/>
    </row>
    <row r="11" spans="1:39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142">
        <f>VLOOKUP(C11,'Market Capitalisation'!$C$2:$G$14,5,FALSE)</f>
        <v>54421530</v>
      </c>
      <c r="E11" cm="1">
        <f t="array" ref="E11">_xll.FDS(C11,"FMA_COS_UP(""EPS"",""1M"",+1,0,,,""PORTAGG"",""MEANR"")")</f>
        <v>255</v>
      </c>
      <c r="F11" cm="1">
        <f t="array" ref="F11">_xll.FDS(C11,"FMA_COS_DOWN(""EPS"",""1M"",+1,0,,,""PORTAGG"",""MEANR"")")</f>
        <v>190</v>
      </c>
      <c r="G11" cm="1">
        <f t="array" ref="G11">_xll.FDS(A11,"SIZE(FG_CONSTITUENTS)")</f>
        <v>504</v>
      </c>
      <c r="H11" s="9">
        <f t="shared" si="0"/>
        <v>0.50595238095238093</v>
      </c>
      <c r="I11" s="9">
        <f t="shared" si="1"/>
        <v>0.37698412698412698</v>
      </c>
      <c r="J11" s="9">
        <f t="shared" si="2"/>
        <v>0.12896825396825395</v>
      </c>
      <c r="K11" s="5" cm="1">
        <f t="array" ref="K11">_xll.FDS(A11,"FMA_PCT_ABOVE_MAVG(200,0,,,,""PORTAGG"")")/100</f>
        <v>0.74199999999999999</v>
      </c>
      <c r="L11" s="41" cm="1">
        <f t="array" ref="L11">_xll.FDSB(A11,"PERCENT_CHANGE(FMA_EPS(+1,0,,,,""PORTAGG"",""MEAN""),FMA_EPS(+1,-1AM,,,,""PORTAGG"",""MEAN""))")</f>
        <v>0.150401847721569</v>
      </c>
      <c r="M11" s="41" cm="1">
        <f t="array" ref="M11">_xll.FDSB(A11,"PERCENT_CHANGE(FMA_EPS(+1,0,,,,""PORTAGG"",""MEAN""),FMA_EPS(+1,-3AM,,,,""PORTAGG"",""MEAN""))")</f>
        <v>0.29616001838933897</v>
      </c>
      <c r="N11" s="3" cm="1">
        <f t="array" ref="N11">_xll.FDS(C11,"FG_TOTAL_RETURNC(0,-1AM)")</f>
        <v>0.16367435</v>
      </c>
      <c r="O11" s="3" cm="1">
        <f t="array" ref="O11">_xll.FDS(C11,"FG_TOTAL_RETURNC(0,-3AM)")</f>
        <v>4.1095853</v>
      </c>
      <c r="P11" s="3" cm="1">
        <f t="array" ref="P11">_xll.FDS(C11,"FG_TOTAL_RETURNC(0,-6AM)")</f>
        <v>20.762587</v>
      </c>
      <c r="Q11" s="9" cm="1">
        <f t="array" ref="Q11">_xll.FDS(C11,"P_PRICE(0)/P_PRICE_HIGH_PR(0,,,,,,""PRICE"",""INTRA"",""52W"")")</f>
        <v>0.99153656000000001</v>
      </c>
      <c r="R11" s="9" cm="1">
        <f t="array" ref="R11">_xll.FDS(C11,"P_PRICE(0)/P_PRICE_low_PR(0,,,,,,""PRICE"",""INTRA"",""52W"")-1")</f>
        <v>0.27221358000000001</v>
      </c>
      <c r="S11" s="3" cm="1">
        <f t="array" ref="S11">_xll.FDS(C11,"FG_TOTAL_RETURNC(0,-12AM)")</f>
        <v>28.427578</v>
      </c>
      <c r="T11" s="4" cm="1">
        <f t="array" ref="T11">_xlfn.PERCENTRANK.EXC(_xlfn._xlws.FILTER($R$3:$R$15, ISNUMBER($R$3:$R$15)),R11)*100</f>
        <v>57.099999999999994</v>
      </c>
      <c r="U11" s="4">
        <f t="shared" si="3"/>
        <v>42.900000000000006</v>
      </c>
      <c r="V11" s="4" cm="1">
        <f t="array" ref="V11">_xlfn.PERCENTRANK.EXC(_xlfn._xlws.FILTER($Q$3:$Q$15, ISNUMBER($Q$3:$Q$15)),Q11)*100</f>
        <v>57.099999999999994</v>
      </c>
      <c r="W11" s="4" cm="1">
        <f t="array" ref="W11">_xlfn.PERCENTRANK.EXC(_xlfn._xlws.FILTER($O$3:$O$15, ISNUMBER($O$3:$O$15)),O11)*100</f>
        <v>42.8</v>
      </c>
      <c r="X11" s="4" cm="1">
        <f t="array" ref="X11">_xlfn.PERCENTRANK.EXC(_xlfn._xlws.FILTER($P$3:$P$15, ISNUMBER($P$3:$P$15)),P11)*100</f>
        <v>64.2</v>
      </c>
      <c r="Y11" s="201" cm="1">
        <f t="array" ref="Y11">_xlfn.PERCENTRANK.EXC(_xlfn._xlws.FILTER($S$3:$S$15, ISNUMBER($S$3:$S$15)),S11)*100</f>
        <v>85.7</v>
      </c>
      <c r="Z11" s="4" cm="1">
        <f t="array" ref="Z11">_xlfn.PERCENTRANK.EXC(_xlfn._xlws.FILTER($K$3:$K$15, ISNUMBER($K$3:$K$15)),K11)*100</f>
        <v>78.5</v>
      </c>
      <c r="AA11" s="4" cm="1">
        <f t="array" ref="AA11">_xlfn.PERCENTRANK.EXC(_xlfn._xlws.FILTER($H$3:$H$15, ISNUMBER($H$3:$H$15)),H11)*100</f>
        <v>85.7</v>
      </c>
      <c r="AB11" s="4" cm="1">
        <f t="array" ref="AB11">_xlfn.PERCENTRANK.EXC(_xlfn._xlws.FILTER($J$3:$J$15, ISNUMBER($J$3:$J$15)),J11)*100</f>
        <v>78.5</v>
      </c>
      <c r="AC11" s="4">
        <f t="shared" si="4"/>
        <v>71.399999999999991</v>
      </c>
      <c r="AD11" s="4">
        <f t="shared" si="5"/>
        <v>57.099999999999994</v>
      </c>
      <c r="AE11" s="4">
        <f t="shared" si="6"/>
        <v>85.7</v>
      </c>
      <c r="AF11" s="4">
        <f>'Economic Momentum'!Q12</f>
        <v>71.399999999999991</v>
      </c>
      <c r="AG11" s="4">
        <f ca="1">'Economic Momentum'!R12</f>
        <v>57.099999999999994</v>
      </c>
      <c r="AH11" s="4">
        <f t="shared" ca="1" si="7"/>
        <v>54.94</v>
      </c>
      <c r="AJ11" s="3" cm="1">
        <f t="array" aca="1" ref="AJ11" ca="1">_xlfn.PERCENTRANK.EXC(_xlfn._xlws.FILTER($AH$3:$AH$15, ISNUMBER($AH$3:$AH$15)),AH11)*100</f>
        <v>57.099999999999994</v>
      </c>
      <c r="AK11">
        <f t="shared" si="8"/>
        <v>4</v>
      </c>
      <c r="AM11" s="4"/>
    </row>
    <row r="12" spans="1:39" x14ac:dyDescent="0.35">
      <c r="A12" t="s">
        <v>865</v>
      </c>
      <c r="B12" t="str" cm="1">
        <f t="array" ref="B12">_xll.FDS(A12,"FG_COMPANY_NAME")</f>
        <v>iShares MSCI France ETF</v>
      </c>
      <c r="C12" t="s">
        <v>865</v>
      </c>
      <c r="D12" s="142">
        <f>VLOOKUP(C12,'Market Capitalisation'!$C$2:$G$14,5,FALSE)</f>
        <v>3417779.5</v>
      </c>
      <c r="E12" cm="1">
        <f t="array" ref="E12">_xll.FDS(C12,"FMA_COS_UP(""EPS"",""1M"",+1,0,,,""PORTAGG"",""MEANR"")")</f>
        <v>31</v>
      </c>
      <c r="F12" cm="1">
        <f t="array" ref="F12">_xll.FDS(C12,"FMA_COS_DOWN(""EPS"",""1M"",+1,0,,,""PORTAGG"",""MEANR"")")</f>
        <v>29</v>
      </c>
      <c r="G12" cm="1">
        <f t="array" ref="G12">_xll.FDS(A12,"SIZE(FG_CONSTITUENTS)")</f>
        <v>64</v>
      </c>
      <c r="H12" s="9">
        <f t="shared" ref="H12:H15" si="9">E12/$G12</f>
        <v>0.484375</v>
      </c>
      <c r="I12" s="9">
        <f t="shared" ref="I12:I15" si="10">F12/$G12</f>
        <v>0.453125</v>
      </c>
      <c r="J12" s="9">
        <f t="shared" ref="J12:J15" si="11">H12-I12</f>
        <v>3.125E-2</v>
      </c>
      <c r="K12" s="5" cm="1">
        <f t="array" ref="K12">_xll.FDS(A12,"FMA_PCT_ABOVE_MAVG(200,0,,,,""PORTAGG"")")/100</f>
        <v>0.77777777777777801</v>
      </c>
      <c r="L12" s="41" cm="1">
        <f t="array" ref="L12">_xll.FDSB(A12,"PERCENT_CHANGE(FMA_EPS(+1,0,,,,""PORTAGG"",""MEAN""),FMA_EPS(+1,-1AM,,,,""PORTAGG"",""MEAN""))")</f>
        <v>-0.23995039475271801</v>
      </c>
      <c r="M12" s="41" cm="1">
        <f t="array" ref="M12">_xll.FDSB(A12,"PERCENT_CHANGE(FMA_EPS(+1,0,,,,""PORTAGG"",""MEAN""),FMA_EPS(+1,-3AM,,,,""PORTAGG"",""MEAN""))")</f>
        <v>-1.3665524648351699</v>
      </c>
      <c r="N12" s="3" cm="1">
        <f t="array" ref="N12">_xll.FDS(C12,"FG_TOTAL_RETURNC(0,-1AM)")</f>
        <v>2.5910616000000002</v>
      </c>
      <c r="O12" s="3" cm="1">
        <f t="array" ref="O12">_xll.FDS(C12,"FG_TOTAL_RETURNC(0,-3AM)")</f>
        <v>8.0308910000000004</v>
      </c>
      <c r="P12" s="3" cm="1">
        <f t="array" ref="P12">_xll.FDS(C12,"FG_TOTAL_RETURNC(0,-6AM)")</f>
        <v>18.694448000000001</v>
      </c>
      <c r="Q12" s="9" cm="1">
        <f t="array" ref="Q12">_xll.FDS(C12,"P_PRICE(0)/P_PRICE_HIGH_PR(0,,,,,,""PRICE"",""INTRA"",""52W"")")</f>
        <v>1</v>
      </c>
      <c r="R12" s="9" cm="1">
        <f t="array" ref="R12">_xll.FDS(C12,"P_PRICE(0)/P_PRICE_low_PR(0,,,,,,""PRICE"",""INTRA"",""52W"")-1")</f>
        <v>0.24688065000000001</v>
      </c>
      <c r="S12" s="3" cm="1">
        <f t="array" ref="S12">_xll.FDS(C12,"FG_TOTAL_RETURNC(0,-12AM)")</f>
        <v>10.737848</v>
      </c>
      <c r="T12" s="4" cm="1">
        <f t="array" ref="T12">_xlfn.PERCENTRANK.EXC(_xlfn._xlws.FILTER($R$3:$R$15, ISNUMBER($R$3:$R$15)),R12)*100</f>
        <v>50</v>
      </c>
      <c r="U12" s="4">
        <f t="shared" ref="U12:U15" si="12">100-T12</f>
        <v>50</v>
      </c>
      <c r="V12" s="4" cm="1">
        <f t="array" ref="V12">_xlfn.PERCENTRANK.EXC(_xlfn._xlws.FILTER($Q$3:$Q$15, ISNUMBER($Q$3:$Q$15)),Q12)*100</f>
        <v>92.800000000000011</v>
      </c>
      <c r="W12" s="4" cm="1">
        <f t="array" ref="W12">_xlfn.PERCENTRANK.EXC(_xlfn._xlws.FILTER($O$3:$O$15, ISNUMBER($O$3:$O$15)),O12)*100</f>
        <v>71.399999999999991</v>
      </c>
      <c r="X12" s="4" cm="1">
        <f t="array" ref="X12">_xlfn.PERCENTRANK.EXC(_xlfn._xlws.FILTER($P$3:$P$15, ISNUMBER($P$3:$P$15)),P12)*100</f>
        <v>50</v>
      </c>
      <c r="Y12" s="201" cm="1">
        <f t="array" ref="Y12">_xlfn.PERCENTRANK.EXC(_xlfn._xlws.FILTER($S$3:$S$15, ISNUMBER($S$3:$S$15)),S12)*100</f>
        <v>35.699999999999996</v>
      </c>
      <c r="Z12" s="4" cm="1">
        <f t="array" ref="Z12">_xlfn.PERCENTRANK.EXC(_xlfn._xlws.FILTER($K$3:$K$15, ISNUMBER($K$3:$K$15)),K12)*100</f>
        <v>85.7</v>
      </c>
      <c r="AA12" s="4" cm="1">
        <f t="array" ref="AA12">_xlfn.PERCENTRANK.EXC(_xlfn._xlws.FILTER($H$3:$H$15, ISNUMBER($H$3:$H$15)),H12)*100</f>
        <v>78.5</v>
      </c>
      <c r="AB12" s="4" cm="1">
        <f t="array" ref="AB12">_xlfn.PERCENTRANK.EXC(_xlfn._xlws.FILTER($J$3:$J$15, ISNUMBER($J$3:$J$15)),J12)*100</f>
        <v>42.8</v>
      </c>
      <c r="AC12" s="4">
        <f t="shared" si="4"/>
        <v>50</v>
      </c>
      <c r="AD12" s="4">
        <f t="shared" si="5"/>
        <v>21.4</v>
      </c>
      <c r="AE12" s="4">
        <f t="shared" si="6"/>
        <v>71.399999999999991</v>
      </c>
      <c r="AF12" s="4">
        <f>'Economic Momentum'!Q13</f>
        <v>21.4</v>
      </c>
      <c r="AG12" s="4">
        <f ca="1">'Economic Momentum'!R13</f>
        <v>71.399999999999991</v>
      </c>
      <c r="AH12" s="4">
        <f t="shared" ca="1" si="7"/>
        <v>73.540000000000006</v>
      </c>
      <c r="AJ12" s="3" cm="1">
        <f t="array" aca="1" ref="AJ12" ca="1">_xlfn.PERCENTRANK.EXC(_xlfn._xlws.FILTER($AH$3:$AH$15, ISNUMBER($AH$3:$AH$15)),AH12)*100</f>
        <v>71.399999999999991</v>
      </c>
      <c r="AK12">
        <f t="shared" si="8"/>
        <v>4</v>
      </c>
    </row>
    <row r="13" spans="1:39" x14ac:dyDescent="0.35">
      <c r="A13" t="s">
        <v>867</v>
      </c>
      <c r="B13" t="str" cm="1">
        <f t="array" ref="B13">_xll.FDS(A13,"FG_COMPANY_NAME")</f>
        <v>iShares MSCI Netherlands ETF</v>
      </c>
      <c r="C13" t="s">
        <v>867</v>
      </c>
      <c r="D13" s="142">
        <f>VLOOKUP(C13,'Market Capitalisation'!$C$2:$G$14,5,FALSE)</f>
        <v>1128662.8</v>
      </c>
      <c r="E13" cm="1">
        <f t="array" ref="E13">_xll.FDS(C13,"FMA_COS_UP(""EPS"",""1M"",+1,0,,,""PORTAGG"",""MEANR"")")</f>
        <v>21</v>
      </c>
      <c r="F13" cm="1">
        <f t="array" ref="F13">_xll.FDS(C13,"FMA_COS_DOWN(""EPS"",""1M"",+1,0,,,""PORTAGG"",""MEANR"")")</f>
        <v>24</v>
      </c>
      <c r="G13" cm="1">
        <f t="array" ref="G13">_xll.FDS(A13,"SIZE(FG_CONSTITUENTS)")</f>
        <v>55</v>
      </c>
      <c r="H13" s="9">
        <f t="shared" si="9"/>
        <v>0.38181818181818183</v>
      </c>
      <c r="I13" s="9">
        <f t="shared" si="10"/>
        <v>0.43636363636363634</v>
      </c>
      <c r="J13" s="9">
        <f t="shared" si="11"/>
        <v>-5.4545454545454508E-2</v>
      </c>
      <c r="K13" s="5" cm="1">
        <f t="array" ref="K13">_xll.FDS(A13,"FMA_PCT_ABOVE_MAVG(200,0,,,,""PORTAGG"")")/100</f>
        <v>0.70370370370370394</v>
      </c>
      <c r="L13" s="41" cm="1">
        <f t="array" ref="L13">_xll.FDSB(A13,"PERCENT_CHANGE(FMA_EPS(+1,0,,,,""PORTAGG"",""MEAN""),FMA_EPS(+1,-1AM,,,,""PORTAGG"",""MEAN""))")</f>
        <v>0.13059615009526199</v>
      </c>
      <c r="M13" s="41" cm="1">
        <f t="array" ref="M13">_xll.FDSB(A13,"PERCENT_CHANGE(FMA_EPS(+1,0,,,,""PORTAGG"",""MEAN""),FMA_EPS(+1,-3AM,,,,""PORTAGG"",""MEAN""))")</f>
        <v>3.0588195931588702</v>
      </c>
      <c r="N13" s="3" cm="1">
        <f t="array" ref="N13">_xll.FDS(C13,"FG_TOTAL_RETURNC(0,-1AM)")</f>
        <v>1.0836840000000001</v>
      </c>
      <c r="O13" s="3" cm="1">
        <f t="array" ref="O13">_xll.FDS(C13,"FG_TOTAL_RETURNC(0,-3AM)")</f>
        <v>6.3555716999999996</v>
      </c>
      <c r="P13" s="3" cm="1">
        <f t="array" ref="P13">_xll.FDS(C13,"FG_TOTAL_RETURNC(0,-6AM)")</f>
        <v>28.35108</v>
      </c>
      <c r="Q13" s="9" cm="1">
        <f t="array" ref="Q13">_xll.FDS(C13,"P_PRICE(0)/P_PRICE_HIGH_PR(0,,,,,,""PRICE"",""INTRA"",""52W"")")</f>
        <v>0.99801459999999997</v>
      </c>
      <c r="R13" s="9" cm="1">
        <f t="array" ref="R13">_xll.FDS(C13,"P_PRICE(0)/P_PRICE_low_PR(0,,,,,,""PRICE"",""INTRA"",""52W"")-1")</f>
        <v>0.38798559999999999</v>
      </c>
      <c r="S13" s="3" cm="1">
        <f t="array" ref="S13">_xll.FDS(C13,"FG_TOTAL_RETURNC(0,-12AM)")</f>
        <v>23.110485000000001</v>
      </c>
      <c r="T13" s="4" cm="1">
        <f t="array" ref="T13">_xlfn.PERCENTRANK.EXC(_xlfn._xlws.FILTER($R$3:$R$15, ISNUMBER($R$3:$R$15)),R13)*100</f>
        <v>92.800000000000011</v>
      </c>
      <c r="U13" s="4">
        <f t="shared" si="12"/>
        <v>7.1999999999999886</v>
      </c>
      <c r="V13" s="4" cm="1">
        <f t="array" ref="V13">_xlfn.PERCENTRANK.EXC(_xlfn._xlws.FILTER($Q$3:$Q$15, ISNUMBER($Q$3:$Q$15)),Q13)*100</f>
        <v>64.2</v>
      </c>
      <c r="W13" s="4" cm="1">
        <f t="array" ref="W13">_xlfn.PERCENTRANK.EXC(_xlfn._xlws.FILTER($O$3:$O$15, ISNUMBER($O$3:$O$15)),O13)*100</f>
        <v>57.099999999999994</v>
      </c>
      <c r="X13" s="4" cm="1">
        <f t="array" ref="X13">_xlfn.PERCENTRANK.EXC(_xlfn._xlws.FILTER($P$3:$P$15, ISNUMBER($P$3:$P$15)),P13)*100</f>
        <v>92.800000000000011</v>
      </c>
      <c r="Y13" s="201" cm="1">
        <f t="array" ref="Y13">_xlfn.PERCENTRANK.EXC(_xlfn._xlws.FILTER($S$3:$S$15, ISNUMBER($S$3:$S$15)),S13)*100</f>
        <v>71.399999999999991</v>
      </c>
      <c r="Z13" s="4" cm="1">
        <f t="array" ref="Z13">_xlfn.PERCENTRANK.EXC(_xlfn._xlws.FILTER($K$3:$K$15, ISNUMBER($K$3:$K$15)),K13)*100</f>
        <v>35.699999999999996</v>
      </c>
      <c r="AA13" s="4" cm="1">
        <f t="array" ref="AA13">_xlfn.PERCENTRANK.EXC(_xlfn._xlws.FILTER($H$3:$H$15, ISNUMBER($H$3:$H$15)),H13)*100</f>
        <v>21.4</v>
      </c>
      <c r="AB13" s="4" cm="1">
        <f t="array" ref="AB13">_xlfn.PERCENTRANK.EXC(_xlfn._xlws.FILTER($J$3:$J$15, ISNUMBER($J$3:$J$15)),J13)*100</f>
        <v>21.4</v>
      </c>
      <c r="AC13" s="4">
        <f t="shared" si="4"/>
        <v>64.2</v>
      </c>
      <c r="AD13" s="4">
        <f t="shared" si="5"/>
        <v>92.800000000000011</v>
      </c>
      <c r="AE13" s="4">
        <f t="shared" si="6"/>
        <v>28.499999999999996</v>
      </c>
      <c r="AF13" s="4">
        <f>'Economic Momentum'!Q14</f>
        <v>85.7</v>
      </c>
      <c r="AG13" s="4">
        <f ca="1">'Economic Momentum'!R14</f>
        <v>92.800000000000011</v>
      </c>
      <c r="AH13" s="4">
        <f t="shared" ca="1" si="7"/>
        <v>70.650000000000006</v>
      </c>
      <c r="AJ13" s="3" cm="1">
        <f t="array" aca="1" ref="AJ13" ca="1">_xlfn.PERCENTRANK.EXC(_xlfn._xlws.FILTER($AH$3:$AH$15, ISNUMBER($AH$3:$AH$15)),AH13)*100</f>
        <v>64.2</v>
      </c>
      <c r="AK13">
        <f t="shared" si="8"/>
        <v>2</v>
      </c>
    </row>
    <row r="14" spans="1:39" x14ac:dyDescent="0.35">
      <c r="A14" t="s">
        <v>864</v>
      </c>
      <c r="B14" t="str" cm="1">
        <f t="array" ref="B14">_xll.FDS(A14,"FG_COMPANY_NAME")</f>
        <v>iShares MSCI Sweden ETF</v>
      </c>
      <c r="C14" t="s">
        <v>864</v>
      </c>
      <c r="D14" s="142">
        <f>VLOOKUP(C14,'Market Capitalisation'!$C$2:$G$14,5,FALSE)</f>
        <v>1027795.8</v>
      </c>
      <c r="E14" cm="1">
        <f t="array" ref="E14">_xll.FDS(C14,"FMA_COS_UP(""EPS"",""1M"",+1,0,,,""PORTAGG"",""MEANR"")")</f>
        <v>21</v>
      </c>
      <c r="F14" cm="1">
        <f t="array" ref="F14">_xll.FDS(C14,"FMA_COS_DOWN(""EPS"",""1M"",+1,0,,,""PORTAGG"",""MEANR"")")</f>
        <v>13</v>
      </c>
      <c r="G14" cm="1">
        <f t="array" ref="G14">_xll.FDS(A14,"SIZE(FG_CONSTITUENTS)")</f>
        <v>44</v>
      </c>
      <c r="H14" s="9">
        <f t="shared" si="9"/>
        <v>0.47727272727272729</v>
      </c>
      <c r="I14" s="9">
        <f t="shared" si="10"/>
        <v>0.29545454545454547</v>
      </c>
      <c r="J14" s="9">
        <f t="shared" si="11"/>
        <v>0.18181818181818182</v>
      </c>
      <c r="K14" s="5" cm="1">
        <f t="array" ref="K14">_xll.FDS(A14,"FMA_PCT_ABOVE_MAVG(200,0,,,,""PORTAGG"")")/100</f>
        <v>0.90697674418604601</v>
      </c>
      <c r="L14" s="41" cm="1">
        <f t="array" ref="L14">_xll.FDSB(A14,"PERCENT_CHANGE(FMA_EPS(+1,0,,,,""PORTAGG"",""MEAN""),FMA_EPS(+1,-1AM,,,,""PORTAGG"",""MEAN""))")</f>
        <v>1.34399665677032E-2</v>
      </c>
      <c r="M14" s="41" cm="1">
        <f t="array" ref="M14">_xll.FDSB(A14,"PERCENT_CHANGE(FMA_EPS(+1,0,,,,""PORTAGG"",""MEAN""),FMA_EPS(+1,-3AM,,,,""PORTAGG"",""MEAN""))")</f>
        <v>2.3710013712098799</v>
      </c>
      <c r="N14" s="3" cm="1">
        <f t="array" ref="N14">_xll.FDS(C14,"FG_TOTAL_RETURNC(0,-1AM)")</f>
        <v>-7.4172020000000005E-2</v>
      </c>
      <c r="O14" s="3" cm="1">
        <f t="array" ref="O14">_xll.FDS(C14,"FG_TOTAL_RETURNC(0,-3AM)")</f>
        <v>7.3857546000000003</v>
      </c>
      <c r="P14" s="3" cm="1">
        <f t="array" ref="P14">_xll.FDS(C14,"FG_TOTAL_RETURNC(0,-6AM)")</f>
        <v>26.274823999999999</v>
      </c>
      <c r="Q14" s="9" cm="1">
        <f t="array" ref="Q14">_xll.FDS(C14,"P_PRICE(0)/P_PRICE_HIGH_PR(0,,,,,,""PRICE"",""INTRA"",""52W"")")</f>
        <v>0.97256969999999998</v>
      </c>
      <c r="R14" s="9" cm="1">
        <f t="array" ref="R14">_xll.FDS(C14,"P_PRICE(0)/P_PRICE_low_PR(0,,,,,,""PRICE"",""INTRA"",""52W"")-1")</f>
        <v>0.31725597</v>
      </c>
      <c r="S14" s="3" cm="1">
        <f t="array" ref="S14">_xll.FDS(C14,"FG_TOTAL_RETURNC(0,-12AM)")</f>
        <v>13.19524</v>
      </c>
      <c r="T14" s="4" cm="1">
        <f t="array" ref="T14">_xlfn.PERCENTRANK.EXC(_xlfn._xlws.FILTER($R$3:$R$15, ISNUMBER($R$3:$R$15)),R14)*100</f>
        <v>78.5</v>
      </c>
      <c r="U14" s="4">
        <f t="shared" si="12"/>
        <v>21.5</v>
      </c>
      <c r="V14" s="4" cm="1">
        <f t="array" ref="V14">_xlfn.PERCENTRANK.EXC(_xlfn._xlws.FILTER($Q$3:$Q$15, ISNUMBER($Q$3:$Q$15)),Q14)*100</f>
        <v>21.4</v>
      </c>
      <c r="W14" s="4" cm="1">
        <f t="array" ref="W14">_xlfn.PERCENTRANK.EXC(_xlfn._xlws.FILTER($O$3:$O$15, ISNUMBER($O$3:$O$15)),O14)*100</f>
        <v>64.2</v>
      </c>
      <c r="X14" s="4" cm="1">
        <f t="array" ref="X14">_xlfn.PERCENTRANK.EXC(_xlfn._xlws.FILTER($P$3:$P$15, ISNUMBER($P$3:$P$15)),P14)*100</f>
        <v>85.7</v>
      </c>
      <c r="Y14" s="201" cm="1">
        <f t="array" ref="Y14">_xlfn.PERCENTRANK.EXC(_xlfn._xlws.FILTER($S$3:$S$15, ISNUMBER($S$3:$S$15)),S14)*100</f>
        <v>57.099999999999994</v>
      </c>
      <c r="Z14" s="4" cm="1">
        <f t="array" ref="Z14">_xlfn.PERCENTRANK.EXC(_xlfn._xlws.FILTER($K$3:$K$15, ISNUMBER($K$3:$K$15)),K14)*100</f>
        <v>92.800000000000011</v>
      </c>
      <c r="AA14" s="4" cm="1">
        <f t="array" ref="AA14">_xlfn.PERCENTRANK.EXC(_xlfn._xlws.FILTER($H$3:$H$15, ISNUMBER($H$3:$H$15)),H14)*100</f>
        <v>71.399999999999991</v>
      </c>
      <c r="AB14" s="4" cm="1">
        <f t="array" ref="AB14">_xlfn.PERCENTRANK.EXC(_xlfn._xlws.FILTER($J$3:$J$15, ISNUMBER($J$3:$J$15)),J14)*100</f>
        <v>92.800000000000011</v>
      </c>
      <c r="AC14" s="4">
        <f t="shared" si="4"/>
        <v>57.099999999999994</v>
      </c>
      <c r="AD14" s="4">
        <f t="shared" si="5"/>
        <v>85.7</v>
      </c>
      <c r="AE14" s="4">
        <f t="shared" si="6"/>
        <v>21.4</v>
      </c>
      <c r="AF14" s="4">
        <f>'Economic Momentum'!Q15</f>
        <v>92.800000000000011</v>
      </c>
      <c r="AG14" s="4">
        <f ca="1">'Economic Momentum'!R15</f>
        <v>21.4</v>
      </c>
      <c r="AH14" s="4">
        <f t="shared" ca="1" si="7"/>
        <v>53.53</v>
      </c>
      <c r="AJ14" s="3" cm="1">
        <f t="array" aca="1" ref="AJ14" ca="1">_xlfn.PERCENTRANK.EXC(_xlfn._xlws.FILTER($AH$3:$AH$15, ISNUMBER($AH$3:$AH$15)),AH14)*100</f>
        <v>50</v>
      </c>
      <c r="AK14">
        <f t="shared" si="8"/>
        <v>4</v>
      </c>
    </row>
    <row r="15" spans="1:39" x14ac:dyDescent="0.35">
      <c r="A15" t="s">
        <v>866</v>
      </c>
      <c r="B15" t="str" cm="1">
        <f t="array" ref="B15">_xll.FDS(A15,"FG_COMPANY_NAME")</f>
        <v>iShares MSCI Italy ETF</v>
      </c>
      <c r="C15" t="s">
        <v>866</v>
      </c>
      <c r="D15" s="142">
        <f>VLOOKUP(C15,'Market Capitalisation'!$C$2:$G$14,5,FALSE)</f>
        <v>884369.7</v>
      </c>
      <c r="E15" cm="1">
        <f t="array" ref="E15">_xll.FDS(C15,"FMA_COS_UP(""EPS"",""1M"",+1,0,,,""PORTAGG"",""MEANR"")")</f>
        <v>11</v>
      </c>
      <c r="F15" cm="1">
        <f t="array" ref="F15">_xll.FDS(C15,"FMA_COS_DOWN(""EPS"",""1M"",+1,0,,,""PORTAGG"",""MEANR"")")</f>
        <v>9</v>
      </c>
      <c r="G15" cm="1">
        <f t="array" ref="G15">_xll.FDS(A15,"SIZE(FG_CONSTITUENTS)")</f>
        <v>26</v>
      </c>
      <c r="H15" s="9">
        <f t="shared" si="9"/>
        <v>0.42307692307692307</v>
      </c>
      <c r="I15" s="9">
        <f t="shared" si="10"/>
        <v>0.34615384615384615</v>
      </c>
      <c r="J15" s="9">
        <f t="shared" si="11"/>
        <v>7.6923076923076927E-2</v>
      </c>
      <c r="K15" s="5" cm="1">
        <f t="array" ref="K15">_xll.FDS(A15,"FMA_PCT_ABOVE_MAVG(200,0,,,,""PORTAGG"")")/100</f>
        <v>0.72</v>
      </c>
      <c r="L15" s="41" cm="1">
        <f t="array" ref="L15">_xll.FDSB(A15,"PERCENT_CHANGE(FMA_EPS(+1,0,,,,""PORTAGG"",""MEAN""),FMA_EPS(+1,-1AM,,,,""PORTAGG"",""MEAN""))")</f>
        <v>-1.0436592839626</v>
      </c>
      <c r="M15" s="41" cm="1">
        <f t="array" ref="M15">_xll.FDSB(A15,"PERCENT_CHANGE(FMA_EPS(+1,0,,,,""PORTAGG"",""MEAN""),FMA_EPS(+1,-3AM,,,,""PORTAGG"",""MEAN""))")</f>
        <v>1.5161479686338399</v>
      </c>
      <c r="N15" s="3" cm="1">
        <f t="array" ref="N15">_xll.FDS(C15,"FG_TOTAL_RETURNC(0,-1AM)")</f>
        <v>2.0743490000000002</v>
      </c>
      <c r="O15" s="3" cm="1">
        <f t="array" ref="O15">_xll.FDS(C15,"FG_TOTAL_RETURNC(0,-3AM)")</f>
        <v>11.638188</v>
      </c>
      <c r="P15" s="3" cm="1">
        <f t="array" ref="P15">_xll.FDS(C15,"FG_TOTAL_RETURNC(0,-6AM)")</f>
        <v>23.927724999999999</v>
      </c>
      <c r="Q15" s="9" cm="1">
        <f t="array" ref="Q15">_xll.FDS(C15,"P_PRICE(0)/P_PRICE_HIGH_PR(0,,,,,,""PRICE"",""INTRA"",""52W"")")</f>
        <v>0.99815595000000001</v>
      </c>
      <c r="R15" s="9" cm="1">
        <f t="array" ref="R15">_xll.FDS(C15,"P_PRICE(0)/P_PRICE_low_PR(0,,,,,,""PRICE"",""INTRA"",""52W"")-1")</f>
        <v>0.30587626000000001</v>
      </c>
      <c r="S15" s="3" cm="1">
        <f t="array" ref="S15">_xll.FDS(C15,"FG_TOTAL_RETURNC(0,-12AM)")</f>
        <v>23.965527000000002</v>
      </c>
      <c r="T15" s="4" cm="1">
        <f t="array" ref="T15">_xlfn.PERCENTRANK.EXC(_xlfn._xlws.FILTER($R$3:$R$15, ISNUMBER($R$3:$R$15)),R15)*100</f>
        <v>71.399999999999991</v>
      </c>
      <c r="U15" s="4">
        <f t="shared" si="12"/>
        <v>28.600000000000009</v>
      </c>
      <c r="V15" s="4" cm="1">
        <f t="array" ref="V15">_xlfn.PERCENTRANK.EXC(_xlfn._xlws.FILTER($Q$3:$Q$15, ISNUMBER($Q$3:$Q$15)),Q15)*100</f>
        <v>71.399999999999991</v>
      </c>
      <c r="W15" s="4" cm="1">
        <f t="array" ref="W15">_xlfn.PERCENTRANK.EXC(_xlfn._xlws.FILTER($O$3:$O$15, ISNUMBER($O$3:$O$15)),O15)*100</f>
        <v>85.7</v>
      </c>
      <c r="X15" s="4" cm="1">
        <f t="array" ref="X15">_xlfn.PERCENTRANK.EXC(_xlfn._xlws.FILTER($P$3:$P$15, ISNUMBER($P$3:$P$15)),P15)*100</f>
        <v>78.5</v>
      </c>
      <c r="Y15" s="201" cm="1">
        <f t="array" ref="Y15">_xlfn.PERCENTRANK.EXC(_xlfn._xlws.FILTER($S$3:$S$15, ISNUMBER($S$3:$S$15)),S15)*100</f>
        <v>78.5</v>
      </c>
      <c r="Z15" s="4" cm="1">
        <f t="array" ref="Z15">_xlfn.PERCENTRANK.EXC(_xlfn._xlws.FILTER($K$3:$K$15, ISNUMBER($K$3:$K$15)),K15)*100</f>
        <v>64.2</v>
      </c>
      <c r="AA15" s="4" cm="1">
        <f t="array" ref="AA15">_xlfn.PERCENTRANK.EXC(_xlfn._xlws.FILTER($H$3:$H$15, ISNUMBER($H$3:$H$15)),H15)*100</f>
        <v>42.8</v>
      </c>
      <c r="AB15" s="4" cm="1">
        <f t="array" ref="AB15">_xlfn.PERCENTRANK.EXC(_xlfn._xlws.FILTER($J$3:$J$15, ISNUMBER($J$3:$J$15)),J15)*100</f>
        <v>71.399999999999991</v>
      </c>
      <c r="AC15" s="4">
        <f t="shared" si="4"/>
        <v>14.2</v>
      </c>
      <c r="AD15" s="4">
        <f t="shared" si="5"/>
        <v>71.399999999999991</v>
      </c>
      <c r="AE15" s="4">
        <f t="shared" si="6"/>
        <v>14.2</v>
      </c>
      <c r="AF15" s="4">
        <f>'Economic Momentum'!Q16</f>
        <v>28.499999999999996</v>
      </c>
      <c r="AG15" s="4">
        <f ca="1">'Economic Momentum'!R16</f>
        <v>85.7</v>
      </c>
      <c r="AH15" s="4">
        <f t="shared" ca="1" si="7"/>
        <v>77.819999999999993</v>
      </c>
      <c r="AJ15" s="3" cm="1">
        <f t="array" aca="1" ref="AJ15" ca="1">_xlfn.PERCENTRANK.EXC(_xlfn._xlws.FILTER($AH$3:$AH$15, ISNUMBER($AH$3:$AH$15)),AH15)*100</f>
        <v>92.800000000000011</v>
      </c>
      <c r="AK15">
        <f t="shared" si="8"/>
        <v>5</v>
      </c>
    </row>
    <row r="16" spans="1:39" x14ac:dyDescent="0.35">
      <c r="H16" s="9"/>
      <c r="I16" s="9"/>
      <c r="J16" s="9"/>
      <c r="K16" s="5"/>
      <c r="L16" s="41"/>
      <c r="M16" s="41"/>
      <c r="N16" s="3"/>
      <c r="O16" s="3"/>
      <c r="Q16" s="9"/>
      <c r="R16" s="9"/>
      <c r="S16" s="3"/>
      <c r="V16" s="4"/>
      <c r="W16" s="4"/>
      <c r="X16" s="4"/>
      <c r="Z16" s="4"/>
      <c r="AA16" s="4"/>
      <c r="AB16" s="4"/>
      <c r="AC16" s="4"/>
      <c r="AD16" s="4"/>
      <c r="AE16" s="4"/>
      <c r="AF16" s="4"/>
      <c r="AG16" s="4"/>
      <c r="AH16" s="4"/>
      <c r="AJ16" s="4"/>
    </row>
    <row r="17" spans="1:37" x14ac:dyDescent="0.35">
      <c r="A17" s="1" t="s">
        <v>779</v>
      </c>
      <c r="H17" s="9"/>
      <c r="I17" s="9"/>
      <c r="J17" s="9"/>
      <c r="K17" s="5"/>
      <c r="L17" s="41"/>
      <c r="M17" s="41"/>
      <c r="N17" s="3"/>
      <c r="O17" s="3"/>
      <c r="Q17" s="9"/>
      <c r="R17" s="9"/>
      <c r="S17" s="3"/>
      <c r="V17" s="4"/>
      <c r="W17" s="4"/>
      <c r="X17" s="4"/>
      <c r="Z17" s="4"/>
      <c r="AA17" s="4"/>
      <c r="AB17" s="4"/>
      <c r="AC17" s="4"/>
      <c r="AD17" s="4"/>
      <c r="AE17" s="4"/>
      <c r="AF17" s="4"/>
      <c r="AG17" s="4"/>
      <c r="AH17" s="4"/>
      <c r="AJ17" s="4"/>
    </row>
    <row r="18" spans="1:37" x14ac:dyDescent="0.35">
      <c r="A18" t="s">
        <v>536</v>
      </c>
      <c r="B18" t="s">
        <v>227</v>
      </c>
      <c r="C18" t="str">
        <f>A18</f>
        <v>VGK</v>
      </c>
      <c r="E18" cm="1">
        <f t="array" ref="E18">_xll.FDS(C18,"FMA_COS_UP(""EPS"",""1M"",+1,0,,,""PORTAGG"",""MEANR"")")</f>
        <v>425</v>
      </c>
      <c r="F18" cm="1">
        <f t="array" ref="F18">_xll.FDS(C18,"FMA_COS_DOWN(""EPS"",""1M"",+1,0,,,""PORTAGG"",""MEANR"")")</f>
        <v>547</v>
      </c>
      <c r="G18" cm="1">
        <f t="array" ref="G18">_xll.FDS(A18,"SIZE(FG_CONSTITUENTS)")</f>
        <v>1280</v>
      </c>
      <c r="H18" s="9">
        <f>E18/$G18</f>
        <v>0.33203125</v>
      </c>
      <c r="I18" s="9">
        <f>F18/$G18</f>
        <v>0.42734375000000002</v>
      </c>
      <c r="J18" s="9">
        <f t="shared" ref="J18" si="13">H18-I18</f>
        <v>-9.5312500000000022E-2</v>
      </c>
      <c r="K18" s="5" cm="1">
        <f t="array" ref="K18">_xll.FDS(A18,"FMA_PCT_ABOVE_MAVG(200,0,,,,""PORTAGG"")")/100</f>
        <v>0.69236883942766303</v>
      </c>
      <c r="L18" s="41" cm="1">
        <f t="array" ref="L18">_xll.FDSB(A18,"PERCENT_CHANGE(FMA_EPS(+1,0,,,,""PORTAGG"",""MEAN""),FMA_EPS(+1,-1AM,,,,""PORTAGG"",""MEAN""))")</f>
        <v>0</v>
      </c>
      <c r="M18" s="41" cm="1">
        <f t="array" ref="M18">_xll.FDSB(A18,"PERCENT_CHANGE(FMA_EPS(+1,0,,,,""PORTAGG"",""MEAN""),FMA_EPS(+1,-3AM,,,,""PORTAGG"",""MEAN""))")</f>
        <v>-1.56477383423192</v>
      </c>
      <c r="N18" s="3" cm="1">
        <f t="array" ref="N18">_xll.FDS(C18,"FG_TOTAL_RETURNC(0,-1AM)")</f>
        <v>2.4791002</v>
      </c>
      <c r="O18" s="3" cm="1">
        <f t="array" ref="O18">_xll.FDS(C18,"FG_TOTAL_RETURNC(0,-3AM)")</f>
        <v>8.0675360000000005</v>
      </c>
      <c r="P18" s="3" cm="1">
        <f t="array" ref="P18">_xll.FDS(C18,"FG_TOTAL_RETURNC(0,-6AM)")</f>
        <v>19.703913</v>
      </c>
      <c r="Q18" s="9" cm="1">
        <f t="array" ref="Q18">_xll.FDS(C18,"P_PRICE(0)/P_PRICE_HIGH_PR(0,,,,,,""PRICE"",""INTRA"",""52W"")")</f>
        <v>1</v>
      </c>
      <c r="R18" s="9" cm="1">
        <f t="array" ref="R18">_xll.FDS(C18,"P_PRICE(0)/P_PRICE_low_PR(0,,,,,,""PRICE"",""INTRA"",""52W"")-1")</f>
        <v>0.24627685999999999</v>
      </c>
      <c r="S18" s="3" cm="1">
        <f t="array" ref="S18">_xll.FDS(C18,"FG_TOTAL_RETURNC(0,-12AM)")</f>
        <v>12.661993000000001</v>
      </c>
      <c r="W18" s="4"/>
      <c r="X18" s="4"/>
      <c r="Y18" s="201"/>
      <c r="AA18" s="4"/>
      <c r="AB18" s="4"/>
      <c r="AC18" s="4"/>
      <c r="AD18" s="4"/>
      <c r="AE18" s="4"/>
      <c r="AF18" s="4"/>
      <c r="AG18" s="4"/>
      <c r="AH18" s="4"/>
      <c r="AI18" s="4"/>
      <c r="AK18" s="4"/>
    </row>
    <row r="19" spans="1:37" x14ac:dyDescent="0.35">
      <c r="A19" t="s">
        <v>6</v>
      </c>
      <c r="B19" t="s">
        <v>749</v>
      </c>
      <c r="C19" t="str">
        <f>A19</f>
        <v>VWO</v>
      </c>
      <c r="E19" cm="1">
        <f t="array" ref="E19">_xll.FDS(C19,"FMA_COS_UP(""EPS"",""1M"",+1,0,,,""PORTAGG"",""MEANR"")")</f>
        <v>838</v>
      </c>
      <c r="F19" cm="1">
        <f t="array" ref="F19">_xll.FDS(C19,"FMA_COS_DOWN(""EPS"",""1M"",+1,0,,,""PORTAGG"",""MEANR"")")</f>
        <v>1334</v>
      </c>
      <c r="G19" cm="1">
        <f t="array" ref="G19">_xll.FDS(A19,"SIZE(FG_CONSTITUENTS)")</f>
        <v>1</v>
      </c>
      <c r="H19" s="9">
        <f>E19/$G19</f>
        <v>838</v>
      </c>
      <c r="I19" s="9">
        <f>F19/$G19</f>
        <v>1334</v>
      </c>
      <c r="J19" s="9">
        <f t="shared" ref="J19" si="14">H19-I19</f>
        <v>-496</v>
      </c>
      <c r="K19" s="5" cm="1">
        <f t="array" ref="K19">_xll.FDS(A19,"FMA_PCT_ABOVE_MAVG(200,0,,,,""PORTAGG"")")/100</f>
        <v>0.41537800687285198</v>
      </c>
      <c r="L19" s="41" cm="1">
        <f t="array" ref="L19">_xll.FDSB(A19,"PERCENT_CHANGE(FMA_EPS(+1,0,,,,""PORTAGG"",""MEAN""),FMA_EPS(+1,-1AM,,,,""PORTAGG"",""MEAN""))")</f>
        <v>0</v>
      </c>
      <c r="M19" s="41" cm="1">
        <f t="array" ref="M19">_xll.FDSB(A19,"PERCENT_CHANGE(FMA_EPS(+1,0,,,,""PORTAGG"",""MEAN""),FMA_EPS(+1,-3AM,,,,""PORTAGG"",""MEAN""))")</f>
        <v>-1.92261417724731</v>
      </c>
      <c r="N19" s="3" cm="1">
        <f t="array" ref="N19">_xll.FDS(C19,"FG_TOTAL_RETURNC(0,-1AM)")</f>
        <v>1.4502883</v>
      </c>
      <c r="O19" s="3" cm="1">
        <f t="array" ref="O19">_xll.FDS(C19,"FG_TOTAL_RETURNC(0,-3AM)")</f>
        <v>6.8425655000000001</v>
      </c>
      <c r="P19" s="3" cm="1">
        <f t="array" ref="P19">_xll.FDS(C19,"FG_TOTAL_RETURNC(0,-6AM)")</f>
        <v>13.3830185</v>
      </c>
      <c r="Q19" s="9" cm="1">
        <f t="array" ref="Q19">_xll.FDS(C19,"P_PRICE(0)/P_PRICE_HIGH_PR(0,,,,,,""PRICE"",""INTRA"",""52W"")")</f>
        <v>0.9935853</v>
      </c>
      <c r="R19" s="9" cm="1">
        <f t="array" ref="R19">_xll.FDS(C19,"P_PRICE(0)/P_PRICE_low_PR(0,,,,,,""PRICE"",""INTRA"",""52W"")-1")</f>
        <v>0.15792274000000001</v>
      </c>
      <c r="S19" s="3" cm="1">
        <f t="array" ref="S19">_xll.FDS(C19,"FG_TOTAL_RETURNC(0,-12AM)")</f>
        <v>11.796034000000001</v>
      </c>
    </row>
    <row r="20" spans="1:37" x14ac:dyDescent="0.35">
      <c r="A20" t="s">
        <v>780</v>
      </c>
      <c r="B20" t="s">
        <v>781</v>
      </c>
      <c r="C20" t="str">
        <f t="shared" ref="C20" si="15">A20</f>
        <v>URTH</v>
      </c>
      <c r="E20" cm="1">
        <f t="array" ref="E20">_xll.FDS(C20,"FMA_COS_UP(""EPS"",""1M"",+1,0,,,""PORTAGG"",""MEANR"")")</f>
        <v>681</v>
      </c>
      <c r="F20" cm="1">
        <f t="array" ref="F20">_xll.FDS(C20,"FMA_COS_DOWN(""EPS"",""1M"",+1,0,,,""PORTAGG"",""MEANR"")")</f>
        <v>559</v>
      </c>
      <c r="G20" cm="1">
        <f t="array" ref="G20">_xll.FDS(A20,"SIZE(FG_CONSTITUENTS)")</f>
        <v>1470</v>
      </c>
      <c r="H20" s="9">
        <f t="shared" ref="H20" si="16">E20/$G20</f>
        <v>0.46326530612244898</v>
      </c>
      <c r="I20" s="9">
        <f t="shared" ref="I20" si="17">F20/$G20</f>
        <v>0.3802721088435374</v>
      </c>
      <c r="J20" s="9">
        <f t="shared" ref="J20" si="18">H20-I20</f>
        <v>8.2993197278911579E-2</v>
      </c>
      <c r="K20" s="5" cm="1">
        <f t="array" ref="K20">_xll.FDS(A20,"FMA_PCT_ABOVE_MAVG(200,0,,,,""PORTAGG"")")/100</f>
        <v>0.71252566735112888</v>
      </c>
      <c r="L20" s="41" cm="1">
        <f t="array" ref="L20">_xll.FDSB(A20,"PERCENT_CHANGE(FMA_EPS(+1,0,,,,""PORTAGG"",""MEAN""),FMA_EPS(+1,-1AM,,,,""PORTAGG"",""MEAN""))")</f>
        <v>0.16084224608025699</v>
      </c>
      <c r="M20" s="41" cm="1">
        <f t="array" ref="M20">_xll.FDSB(A20,"PERCENT_CHANGE(FMA_EPS(+1,0,,,,""PORTAGG"",""MEAN""),FMA_EPS(+1,-3AM,,,,""PORTAGG"",""MEAN""))")</f>
        <v>0.41710746825456002</v>
      </c>
      <c r="N20" s="3" cm="1">
        <f t="array" ref="N20">_xll.FDS(C20,"FG_TOTAL_RETURNC(0,-1AM)")</f>
        <v>0.21553040000000001</v>
      </c>
      <c r="O20" s="3" cm="1">
        <f t="array" ref="O20">_xll.FDS(C20,"FG_TOTAL_RETURNC(0,-3AM)")</f>
        <v>4.5250177000000003</v>
      </c>
      <c r="P20" s="3" cm="1">
        <f t="array" ref="P20">_xll.FDS(C20,"FG_TOTAL_RETURNC(0,-6AM)")</f>
        <v>19.810413</v>
      </c>
      <c r="Q20" s="9" cm="1">
        <f t="array" ref="Q20">_xll.FDS(C20,"P_PRICE(0)/P_PRICE_HIGH_PR(0,,,,,,""PRICE"",""INTRA"",""52W"")")</f>
        <v>0.99276805000000001</v>
      </c>
      <c r="R20" s="9" cm="1">
        <f t="array" ref="R20">_xll.FDS(C20,"P_PRICE(0)/P_PRICE_low_PR(0,,,,,,""PRICE"",""INTRA"",""52W"")-1")</f>
        <v>0.25666963999999998</v>
      </c>
      <c r="S20" s="3" cm="1">
        <f t="array" ref="S20">_xll.FDS(C20,"FG_TOTAL_RETURNC(0,-12AM)")</f>
        <v>23.418437999999998</v>
      </c>
    </row>
    <row r="21" spans="1:37" x14ac:dyDescent="0.35">
      <c r="A21" t="s">
        <v>46</v>
      </c>
      <c r="B21" t="s">
        <v>816</v>
      </c>
      <c r="C21" t="str">
        <f t="shared" ref="C21:C22" si="19">A21</f>
        <v>EWJ</v>
      </c>
      <c r="E21" cm="1">
        <f t="array" ref="E21">_xll.FDS(C21,"FMA_COS_UP(""EPS"",""1M"",+1,0,,,""PORTAGG"",""MEANR"")")</f>
        <v>98</v>
      </c>
      <c r="F21" cm="1">
        <f t="array" ref="F21">_xll.FDS(C21,"FMA_COS_DOWN(""EPS"",""1M"",+1,0,,,""PORTAGG"",""MEANR"")")</f>
        <v>82</v>
      </c>
      <c r="G21" cm="1">
        <f t="array" ref="G21">_xll.FDS(A21,"SIZE(FG_CONSTITUENTS)")</f>
        <v>218</v>
      </c>
      <c r="H21" s="9">
        <f t="shared" ref="H21:H22" si="20">E21/$G21</f>
        <v>0.44954128440366975</v>
      </c>
      <c r="I21" s="9">
        <f t="shared" ref="I21:I22" si="21">F21/$G21</f>
        <v>0.37614678899082571</v>
      </c>
      <c r="J21" s="9">
        <f t="shared" ref="J21:J22" si="22">H21-I21</f>
        <v>7.3394495412844041E-2</v>
      </c>
      <c r="K21" s="5" cm="1">
        <f t="array" ref="K21">_xll.FDS(A21,"FMA_PCT_ABOVE_MAVG(200,0,,,,""PORTAGG"")")/100</f>
        <v>0.71100917431192701</v>
      </c>
      <c r="L21" s="41" cm="1">
        <f t="array" ref="L21">_xll.FDSB(A21,"PERCENT_CHANGE(FMA_EPS(+1,0,,,,""PORTAGG"",""MEAN""),FMA_EPS(+1,-1AM,,,,""PORTAGG"",""MEAN""))")</f>
        <v>0.33067428668703902</v>
      </c>
      <c r="M21" s="41" cm="1">
        <f t="array" ref="M21">_xll.FDSB(A21,"PERCENT_CHANGE(FMA_EPS(+1,0,,,,""PORTAGG"",""MEAN""),FMA_EPS(+1,-3AM,,,,""PORTAGG"",""MEAN""))")</f>
        <v>-8.1000519751008707E-2</v>
      </c>
      <c r="N21" s="3" cm="1">
        <f t="array" ref="N21">_xll.FDS(C21,"FG_TOTAL_RETURNC(0,-1AM)")</f>
        <v>-3.0363321000000001</v>
      </c>
      <c r="O21" s="3" cm="1">
        <f t="array" ref="O21">_xll.FDS(C21,"FG_TOTAL_RETURNC(0,-3AM)")</f>
        <v>2.5664090000000002</v>
      </c>
      <c r="P21" s="3" cm="1">
        <f t="array" ref="P21">_xll.FDS(C21,"FG_TOTAL_RETURNC(0,-6AM)")</f>
        <v>15.717566</v>
      </c>
      <c r="Q21" s="9" cm="1">
        <f t="array" ref="Q21">_xll.FDS(C21,"P_PRICE(0)/P_PRICE_HIGH_PR(0,,,,,,""PRICE"",""INTRA"",""52W"")")</f>
        <v>0.94831049999999995</v>
      </c>
      <c r="R21" s="9" cm="1">
        <f t="array" ref="R21">_xll.FDS(C21,"P_PRICE(0)/P_PRICE_low_PR(0,,,,,,""PRICE"",""INTRA"",""52W"")-1")</f>
        <v>0.19475519999999999</v>
      </c>
      <c r="S21" s="3" cm="1">
        <f t="array" ref="S21">_xll.FDS(C21,"FG_TOTAL_RETURNC(0,-12AM)")</f>
        <v>16.243351000000001</v>
      </c>
    </row>
    <row r="22" spans="1:37" x14ac:dyDescent="0.35">
      <c r="A22" t="s">
        <v>1</v>
      </c>
      <c r="B22" t="s">
        <v>119</v>
      </c>
      <c r="C22" t="str">
        <f t="shared" si="19"/>
        <v>SPY</v>
      </c>
      <c r="E22" cm="1">
        <f t="array" ref="E22">_xll.FDS(C22,"FMA_COS_UP(""EPS"",""1M"",+1,0,,,""PORTAGG"",""MEANR"")")</f>
        <v>255</v>
      </c>
      <c r="F22" cm="1">
        <f t="array" ref="F22">_xll.FDS(C22,"FMA_COS_DOWN(""EPS"",""1M"",+1,0,,,""PORTAGG"",""MEANR"")")</f>
        <v>190</v>
      </c>
      <c r="G22" cm="1">
        <f t="array" ref="G22">_xll.FDS(A22,"SIZE(FG_CONSTITUENTS)")</f>
        <v>504</v>
      </c>
      <c r="H22" s="9">
        <f t="shared" si="20"/>
        <v>0.50595238095238093</v>
      </c>
      <c r="I22" s="9">
        <f t="shared" si="21"/>
        <v>0.37698412698412698</v>
      </c>
      <c r="J22" s="9">
        <f t="shared" si="22"/>
        <v>0.12896825396825395</v>
      </c>
      <c r="K22" s="5" cm="1">
        <f t="array" ref="K22">_xll.FDS(A22,"FMA_PCT_ABOVE_MAVG(200,0,,,,""PORTAGG"")")/100</f>
        <v>0.74199999999999999</v>
      </c>
      <c r="L22" s="41" cm="1">
        <f t="array" ref="L22">_xll.FDSB(A22,"PERCENT_CHANGE(FMA_EPS(+1,0,,,,""PORTAGG"",""MEAN""),FMA_EPS(+1,-1AM,,,,""PORTAGG"",""MEAN""))")</f>
        <v>0.150401847721569</v>
      </c>
      <c r="M22" s="41" cm="1">
        <f t="array" ref="M22">_xll.FDSB(A22,"PERCENT_CHANGE(FMA_EPS(+1,0,,,,""PORTAGG"",""MEAN""),FMA_EPS(+1,-3AM,,,,""PORTAGG"",""MEAN""))")</f>
        <v>0.29616001838933897</v>
      </c>
      <c r="N22" s="3" cm="1">
        <f t="array" ref="N22">_xll.FDS(C22,"FG_TOTAL_RETURNC(0,-1AM)")</f>
        <v>0.16367435</v>
      </c>
      <c r="O22" s="3" cm="1">
        <f t="array" ref="O22">_xll.FDS(C22,"FG_TOTAL_RETURNC(0,-3AM)")</f>
        <v>4.1095853</v>
      </c>
      <c r="P22" s="3" cm="1">
        <f t="array" ref="P22">_xll.FDS(C22,"FG_TOTAL_RETURNC(0,-6AM)")</f>
        <v>20.762587</v>
      </c>
      <c r="Q22" s="9" cm="1">
        <f t="array" ref="Q22">_xll.FDS(C22,"P_PRICE(0)/P_PRICE_HIGH_PR(0,,,,,,""PRICE"",""INTRA"",""52W"")")</f>
        <v>0.99153656000000001</v>
      </c>
      <c r="R22" s="9" cm="1">
        <f t="array" ref="R22">_xll.FDS(C22,"P_PRICE(0)/P_PRICE_low_PR(0,,,,,,""PRICE"",""INTRA"",""52W"")-1")</f>
        <v>0.27221358000000001</v>
      </c>
      <c r="S22" s="3" cm="1">
        <f t="array" ref="S22">_xll.FDS(C22,"FG_TOTAL_RETURNC(0,-12AM)")</f>
        <v>28.427578</v>
      </c>
    </row>
    <row r="23" spans="1:37" x14ac:dyDescent="0.35">
      <c r="A23" t="s">
        <v>895</v>
      </c>
      <c r="B23" t="s">
        <v>602</v>
      </c>
      <c r="C23" t="str">
        <f t="shared" ref="C23" si="23">A23</f>
        <v>FXI</v>
      </c>
      <c r="E23" cm="1">
        <f t="array" ref="E23">_xll.FDS(C23,"FMA_COS_UP(""EPS"",""1M"",+1,0,,,""PORTAGG"",""MEANR"")")</f>
        <v>17</v>
      </c>
      <c r="F23" cm="1">
        <f t="array" ref="F23">_xll.FDS(C23,"FMA_COS_DOWN(""EPS"",""1M"",+1,0,,,""PORTAGG"",""MEANR"")")</f>
        <v>25</v>
      </c>
      <c r="G23" cm="1">
        <f t="array" ref="G23">_xll.FDS(A23,"SIZE(FG_CONSTITUENTS)")</f>
        <v>53</v>
      </c>
      <c r="H23" s="9">
        <f t="shared" ref="H23" si="24">E23/$G23</f>
        <v>0.32075471698113206</v>
      </c>
      <c r="I23" s="9">
        <f t="shared" ref="I23" si="25">F23/$G23</f>
        <v>0.47169811320754718</v>
      </c>
      <c r="J23" s="9">
        <f t="shared" ref="J23" si="26">H23-I23</f>
        <v>-0.15094339622641512</v>
      </c>
      <c r="K23" s="5" cm="1">
        <f t="array" ref="K23">_xll.FDS(A23,"FMA_PCT_ABOVE_MAVG(200,0,,,,""PORTAGG"")")/100</f>
        <v>0.80392156862745101</v>
      </c>
      <c r="L23" s="41" cm="1">
        <f t="array" ref="L23">_xll.FDSB(A23,"PERCENT_CHANGE(FMA_EPS(+1,0,,,,""PORTAGG"",""MEAN""),FMA_EPS(+1,-1AM,,,,""PORTAGG"",""MEAN""))")</f>
        <v>-0.94967625123033506</v>
      </c>
      <c r="M23" s="41" cm="1">
        <f t="array" ref="M23">_xll.FDSB(A23,"PERCENT_CHANGE(FMA_EPS(+1,0,,,,""PORTAGG"",""MEAN""),FMA_EPS(+1,-3AM,,,,""PORTAGG"",""MEAN""))")</f>
        <v>-1.13261029147109</v>
      </c>
      <c r="N23" s="3" cm="1">
        <f t="array" ref="N23">_xll.FDS(C23,"FG_TOTAL_RETURNC(0,-1AM)")</f>
        <v>11.427402499999999</v>
      </c>
      <c r="O23" s="3" cm="1">
        <f t="array" ref="O23">_xll.FDS(C23,"FG_TOTAL_RETURNC(0,-3AM)")</f>
        <v>22.540247000000001</v>
      </c>
      <c r="P23" s="3" cm="1">
        <f t="array" ref="P23">_xll.FDS(C23,"FG_TOTAL_RETURNC(0,-6AM)")</f>
        <v>9.1866859999999999</v>
      </c>
      <c r="Q23" s="9" cm="1">
        <f t="array" ref="Q23">_xll.FDS(C23,"P_PRICE(0)/P_PRICE_HIGH_PR(0,,,,,,""PRICE"",""INTRA"",""52W"")")</f>
        <v>0.89718394999999995</v>
      </c>
      <c r="R23" s="9" cm="1">
        <f t="array" ref="R23">_xll.FDS(C23,"P_PRICE(0)/P_PRICE_low_PR(0,,,,,,""PRICE"",""INTRA"",""52W"")-1")</f>
        <v>0.31351864000000002</v>
      </c>
      <c r="S23" s="3" cm="1">
        <f t="array" ref="S23">_xll.FDS(C23,"FG_TOTAL_RETURNC(0,-12AM)")</f>
        <v>-0.54719450000000003</v>
      </c>
    </row>
    <row r="24" spans="1:37" x14ac:dyDescent="0.35">
      <c r="Q24" s="9"/>
      <c r="R24" s="9"/>
    </row>
    <row r="25" spans="1:37" x14ac:dyDescent="0.35">
      <c r="Q25" s="9"/>
      <c r="R25" s="9"/>
    </row>
    <row r="26" spans="1:37" ht="15" customHeight="1" x14ac:dyDescent="0.35">
      <c r="E26" s="43"/>
      <c r="F26" s="43"/>
      <c r="Q26" s="9"/>
      <c r="R26" s="9"/>
    </row>
    <row r="27" spans="1:37" ht="15" customHeight="1" x14ac:dyDescent="0.35">
      <c r="E27" s="43"/>
      <c r="F27" s="43"/>
      <c r="Q27" s="9"/>
      <c r="R27" s="9"/>
    </row>
    <row r="28" spans="1:37" ht="15" customHeight="1" x14ac:dyDescent="0.35">
      <c r="E28" s="43"/>
      <c r="F28" s="43"/>
      <c r="Q28" s="9"/>
      <c r="R28" s="9"/>
    </row>
    <row r="29" spans="1:37" ht="15" customHeight="1" x14ac:dyDescent="0.35">
      <c r="C29" s="1"/>
      <c r="D29" s="1"/>
      <c r="E29" s="43"/>
      <c r="F29" s="43"/>
      <c r="Q29" s="9"/>
      <c r="R29" s="9"/>
    </row>
    <row r="30" spans="1:37" ht="15" customHeight="1" x14ac:dyDescent="0.35">
      <c r="E30" s="43"/>
      <c r="F30" s="43"/>
      <c r="Q30" s="9"/>
      <c r="R30" s="9"/>
    </row>
    <row r="31" spans="1:37" ht="15" customHeight="1" x14ac:dyDescent="0.35">
      <c r="E31" s="43"/>
      <c r="F31" s="43"/>
      <c r="Q31" s="9"/>
      <c r="R31" s="9"/>
    </row>
    <row r="32" spans="1:37" ht="15" customHeight="1" x14ac:dyDescent="0.35">
      <c r="E32" s="43"/>
      <c r="F32" s="43"/>
      <c r="Q32" s="9"/>
      <c r="R32" s="9"/>
    </row>
    <row r="33" spans="3:18" ht="15" customHeight="1" x14ac:dyDescent="0.35">
      <c r="E33" s="43"/>
      <c r="F33" s="43"/>
      <c r="P33" s="1"/>
      <c r="Q33" s="9"/>
      <c r="R33" s="9"/>
    </row>
    <row r="34" spans="3:18" ht="15" customHeight="1" x14ac:dyDescent="0.35">
      <c r="E34" s="43"/>
      <c r="F34" s="43"/>
      <c r="Q34" s="9"/>
      <c r="R34" s="9"/>
    </row>
    <row r="35" spans="3:18" ht="15" customHeight="1" x14ac:dyDescent="0.35">
      <c r="E35" s="43"/>
      <c r="F35" s="43"/>
      <c r="Q35" s="9"/>
      <c r="R35" s="9"/>
    </row>
    <row r="36" spans="3:18" ht="15" customHeight="1" x14ac:dyDescent="0.35">
      <c r="C36" s="1"/>
      <c r="D36" s="1"/>
      <c r="E36" s="43"/>
      <c r="F36" s="43"/>
      <c r="Q36" s="9"/>
      <c r="R36" s="9"/>
    </row>
    <row r="37" spans="3:18" ht="15" customHeight="1" x14ac:dyDescent="0.35">
      <c r="E37" s="43"/>
      <c r="F37" s="43"/>
      <c r="Q37" s="9"/>
      <c r="R37" s="9"/>
    </row>
    <row r="38" spans="3:18" ht="15" customHeight="1" x14ac:dyDescent="0.35">
      <c r="E38" s="43"/>
      <c r="F38" s="43"/>
      <c r="Q38" s="9"/>
      <c r="R38" s="9"/>
    </row>
    <row r="39" spans="3:18" ht="15" customHeight="1" x14ac:dyDescent="0.35">
      <c r="E39" s="43"/>
      <c r="F39" s="43"/>
      <c r="Q39" s="9"/>
      <c r="R39" s="9"/>
    </row>
    <row r="40" spans="3:18" ht="15" customHeight="1" x14ac:dyDescent="0.35">
      <c r="E40" s="43"/>
      <c r="F40" s="43"/>
      <c r="Q40" s="9"/>
      <c r="R40" s="9"/>
    </row>
    <row r="41" spans="3:18" ht="15" customHeight="1" x14ac:dyDescent="0.35">
      <c r="C41" s="1"/>
      <c r="D41" s="1"/>
      <c r="E41" s="43"/>
      <c r="F41" s="43"/>
      <c r="Q41" s="9"/>
      <c r="R41" s="9"/>
    </row>
    <row r="42" spans="3:18" ht="15" customHeight="1" x14ac:dyDescent="0.35">
      <c r="E42" s="43"/>
      <c r="F42" s="43"/>
      <c r="Q42" s="9"/>
      <c r="R42" s="9"/>
    </row>
    <row r="43" spans="3:18" ht="15" customHeight="1" x14ac:dyDescent="0.35">
      <c r="E43" s="43"/>
      <c r="F43" s="43"/>
      <c r="Q43" s="9"/>
      <c r="R43" s="9"/>
    </row>
    <row r="44" spans="3:18" ht="15" customHeight="1" x14ac:dyDescent="0.35">
      <c r="E44" s="43"/>
      <c r="F44" s="43"/>
      <c r="Q44" s="9"/>
      <c r="R44" s="9"/>
    </row>
    <row r="45" spans="3:18" ht="15" customHeight="1" x14ac:dyDescent="0.35">
      <c r="E45" s="43"/>
      <c r="F45" s="43"/>
      <c r="Q45" s="9"/>
      <c r="R45" s="9"/>
    </row>
    <row r="46" spans="3:18" ht="15" customHeight="1" x14ac:dyDescent="0.35">
      <c r="C46" s="1"/>
      <c r="D46" s="1"/>
      <c r="E46" s="43"/>
      <c r="F46" s="43"/>
      <c r="Q46" s="9"/>
      <c r="R46" s="9"/>
    </row>
    <row r="47" spans="3:18" ht="15" customHeight="1" x14ac:dyDescent="0.35">
      <c r="C47" s="1"/>
      <c r="D47" s="1"/>
      <c r="E47" s="43"/>
      <c r="F47" s="43"/>
    </row>
    <row r="48" spans="3:18" ht="15" customHeight="1" x14ac:dyDescent="0.35">
      <c r="E48" s="43"/>
      <c r="F48" s="43"/>
    </row>
    <row r="49" spans="5:7" ht="15" customHeight="1" x14ac:dyDescent="0.35">
      <c r="E49" s="43"/>
      <c r="F49" s="43"/>
    </row>
    <row r="50" spans="5:7" ht="15" customHeight="1" x14ac:dyDescent="0.35">
      <c r="E50" s="44"/>
      <c r="F50" s="44"/>
      <c r="G50" s="1"/>
    </row>
    <row r="51" spans="5:7" ht="15" customHeight="1" x14ac:dyDescent="0.35">
      <c r="E51" s="43"/>
      <c r="F51" s="43"/>
    </row>
    <row r="52" spans="5:7" ht="15" customHeight="1" x14ac:dyDescent="0.35">
      <c r="E52" s="43"/>
      <c r="F52" s="43"/>
    </row>
    <row r="53" spans="5:7" ht="15" customHeight="1" x14ac:dyDescent="0.35">
      <c r="E53" s="43"/>
      <c r="F53" s="43"/>
    </row>
    <row r="54" spans="5:7" ht="15" customHeight="1" x14ac:dyDescent="0.35">
      <c r="E54" s="43"/>
      <c r="F54" s="43"/>
    </row>
    <row r="55" spans="5:7" ht="15" customHeight="1" x14ac:dyDescent="0.35">
      <c r="E55" s="43"/>
      <c r="F55" s="43"/>
    </row>
    <row r="56" spans="5:7" ht="15" customHeight="1" x14ac:dyDescent="0.35">
      <c r="E56" s="43"/>
      <c r="F56" s="43"/>
    </row>
    <row r="57" spans="5:7" ht="15" customHeight="1" x14ac:dyDescent="0.35">
      <c r="E57" s="43"/>
      <c r="F57" s="43"/>
    </row>
    <row r="58" spans="5:7" ht="15" customHeight="1" x14ac:dyDescent="0.35">
      <c r="E58" s="44"/>
      <c r="F58" s="44"/>
      <c r="G58" s="1"/>
    </row>
    <row r="59" spans="5:7" ht="15" customHeight="1" x14ac:dyDescent="0.35">
      <c r="E59" s="43"/>
      <c r="F59" s="43"/>
    </row>
    <row r="60" spans="5:7" ht="15" customHeight="1" x14ac:dyDescent="0.35">
      <c r="E60" s="43"/>
      <c r="F60" s="43"/>
    </row>
    <row r="61" spans="5:7" ht="15" customHeight="1" x14ac:dyDescent="0.35">
      <c r="E61" s="43"/>
      <c r="F61" s="43"/>
    </row>
    <row r="62" spans="5:7" ht="15" customHeight="1" x14ac:dyDescent="0.35">
      <c r="E62" s="43"/>
      <c r="F62" s="43"/>
    </row>
    <row r="63" spans="5:7" ht="15" customHeight="1" x14ac:dyDescent="0.35">
      <c r="E63" s="43"/>
      <c r="F63" s="43"/>
    </row>
    <row r="64" spans="5:7" ht="15" customHeight="1" x14ac:dyDescent="0.35">
      <c r="E64" s="43"/>
      <c r="F64" s="43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honeticPr fontId="1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20"/>
  <sheetViews>
    <sheetView zoomScale="82" zoomScaleNormal="160" workbookViewId="0">
      <selection activeCell="V16" sqref="V16"/>
    </sheetView>
  </sheetViews>
  <sheetFormatPr defaultRowHeight="14.5" x14ac:dyDescent="0.35"/>
  <cols>
    <col min="3" max="3" width="45.54296875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style="183" bestFit="1" customWidth="1"/>
    <col min="11" max="11" width="13.453125" style="183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523</v>
      </c>
      <c r="M1" t="s">
        <v>522</v>
      </c>
      <c r="N1" s="49" t="s">
        <v>405</v>
      </c>
      <c r="P1" s="49" t="s">
        <v>404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402</v>
      </c>
      <c r="E3" s="46" t="s">
        <v>89</v>
      </c>
      <c r="H3" t="s">
        <v>403</v>
      </c>
      <c r="I3" t="s">
        <v>94</v>
      </c>
      <c r="J3" s="184"/>
      <c r="P3" t="s">
        <v>910</v>
      </c>
      <c r="R3" t="s">
        <v>911</v>
      </c>
    </row>
    <row r="4" spans="2:18" x14ac:dyDescent="0.35">
      <c r="B4" t="s">
        <v>431</v>
      </c>
      <c r="C4" t="str" cm="1">
        <f t="array" ref="C4">_xll.FDS(B4,"FG_COMPANY_NAME")</f>
        <v>iShares MSCI New Zealand ETF</v>
      </c>
      <c r="D4" s="9">
        <f>HLOOKUP(B4,'Monthly Returns'!$A$1:$Q$134, 127, FALSE)</f>
        <v>-0.14690298000000002</v>
      </c>
      <c r="E4" s="9">
        <f>HLOOKUP(B4,'Monthly Returns'!$A$1:$Q$134, 132, FALSE)</f>
        <v>0.11570247933884298</v>
      </c>
      <c r="H4" s="9">
        <f>HLOOKUP(B4,'Yearly returns'!$B$1:$N$140, 133, FALSE)</f>
        <v>0.13223140495867769</v>
      </c>
      <c r="I4" s="9">
        <f>HLOOKUP(B4,'Yearly returns'!$B$1:$N$140, 138, FALSE)</f>
        <v>0.18</v>
      </c>
      <c r="J4" s="183">
        <f>1/E4</f>
        <v>8.6428571428571423</v>
      </c>
      <c r="K4" s="185">
        <f>PERCENTRANK($J$4:$J$16,J4)*100</f>
        <v>50</v>
      </c>
      <c r="L4" s="47">
        <f>(1-PERCENTRANK($E$4:$E$16,E4))*100</f>
        <v>50</v>
      </c>
      <c r="M4" s="47">
        <f>(1-PERCENTRANK($H$4:$H$16,H4))*100</f>
        <v>66.7</v>
      </c>
      <c r="N4" s="47">
        <f>(1-PERCENTRANK($I$4:$I$16,I4))*100</f>
        <v>100</v>
      </c>
      <c r="P4">
        <f>L4*Assumption!$E$53 + M4*Assumption!$F$53 + N4*Assumption!$G$53</f>
        <v>79.174999999999997</v>
      </c>
      <c r="R4" cm="1">
        <f t="array" ref="R4">_xlfn.PERCENTRANK.EXC(_xlfn._xlws.FILTER(P$4:P$16, ISNUMBER(P$4:P$16)),P4)*100</f>
        <v>85.7</v>
      </c>
    </row>
    <row r="5" spans="2:18" x14ac:dyDescent="0.35">
      <c r="B5" t="s">
        <v>44</v>
      </c>
      <c r="C5" t="str" cm="1">
        <f t="array" ref="C5">_xll.FDS(B5,"FG_COMPANY_NAME")</f>
        <v>iShares MSCI Australia ETF</v>
      </c>
      <c r="D5" s="9">
        <f>HLOOKUP(B5,'Monthly Returns'!$A$1:$Q$134, 127, FALSE)</f>
        <v>-0.22797697</v>
      </c>
      <c r="E5" s="9">
        <f>HLOOKUP(B5,'Monthly Returns'!$A$1:$Q$134, 132, FALSE)</f>
        <v>0.12396694214876033</v>
      </c>
      <c r="H5" s="9">
        <f>HLOOKUP(B5,'Yearly returns'!$B$1:$N$140, 133, FALSE)</f>
        <v>0.15702479338842976</v>
      </c>
      <c r="I5" s="9">
        <f>HLOOKUP(B5,'Yearly returns'!$B$1:$N$140, 138, FALSE)</f>
        <v>0.63900000000000001</v>
      </c>
      <c r="J5" s="183">
        <f t="shared" ref="J5:J16" si="0">1/E5</f>
        <v>8.0666666666666664</v>
      </c>
      <c r="K5" s="185">
        <f t="shared" ref="K5:K16" si="1">PERCENTRANK($J$4:$J$16,J5)*100</f>
        <v>33.300000000000004</v>
      </c>
      <c r="L5" s="47">
        <f t="shared" ref="L5:L16" si="2">(1-PERCENTRANK($E$4:$E$16,E5))*100</f>
        <v>41.7</v>
      </c>
      <c r="M5" s="47">
        <f t="shared" ref="M5:M16" si="3">(1-PERCENTRANK($H$4:$H$16,H5))*100</f>
        <v>41.7</v>
      </c>
      <c r="N5" s="47">
        <f t="shared" ref="N5:N16" si="4">(1-PERCENTRANK($I$4:$I$16,I5))*100</f>
        <v>75</v>
      </c>
      <c r="P5">
        <f>L5*Assumption!$E$53 + M5*Assumption!$F$53 + N5*Assumption!$G$53</f>
        <v>58.35</v>
      </c>
      <c r="R5" cm="1">
        <f t="array" ref="R5">_xlfn.PERCENTRANK.EXC(_xlfn._xlws.FILTER(P$4:P$16, ISNUMBER(P$4:P$16)),P5)*100</f>
        <v>71.399999999999991</v>
      </c>
    </row>
    <row r="6" spans="2:18" x14ac:dyDescent="0.35">
      <c r="B6" t="s">
        <v>49</v>
      </c>
      <c r="C6" t="str" cm="1">
        <f t="array" ref="C6">_xll.FDS(B6,"FG_COMPANY_NAME")</f>
        <v>iShares MSCI Canada ETF</v>
      </c>
      <c r="D6" s="9">
        <f>HLOOKUP(B6,'Monthly Returns'!$A$1:$Q$134, 127, FALSE)</f>
        <v>-0.20643871</v>
      </c>
      <c r="E6" s="9">
        <f>HLOOKUP(B6,'Monthly Returns'!$A$1:$Q$134, 132, FALSE)</f>
        <v>9.9173553719008267E-2</v>
      </c>
      <c r="H6" s="9">
        <f>HLOOKUP(B6,'Yearly returns'!$B$1:$N$140, 133, FALSE)</f>
        <v>0.15702479338842976</v>
      </c>
      <c r="I6" s="9">
        <f>HLOOKUP(B6,'Yearly returns'!$B$1:$N$140, 138, FALSE)</f>
        <v>0.66300000000000003</v>
      </c>
      <c r="J6" s="183">
        <f t="shared" si="0"/>
        <v>10.083333333333334</v>
      </c>
      <c r="K6" s="185">
        <f t="shared" si="1"/>
        <v>58.3</v>
      </c>
      <c r="L6" s="47">
        <f t="shared" si="2"/>
        <v>66.7</v>
      </c>
      <c r="M6" s="47">
        <f t="shared" si="3"/>
        <v>41.7</v>
      </c>
      <c r="N6" s="47">
        <f t="shared" si="4"/>
        <v>58.400000000000006</v>
      </c>
      <c r="P6">
        <f>L6*Assumption!$E$53 + M6*Assumption!$F$53 + N6*Assumption!$G$53</f>
        <v>56.300000000000004</v>
      </c>
      <c r="R6" cm="1">
        <f t="array" ref="R6">_xlfn.PERCENTRANK.EXC(_xlfn._xlws.FILTER(P$4:P$16, ISNUMBER(P$4:P$16)),P6)*100</f>
        <v>64.2</v>
      </c>
    </row>
    <row r="7" spans="2:18" x14ac:dyDescent="0.35">
      <c r="B7" t="s">
        <v>11</v>
      </c>
      <c r="C7" t="str" cm="1">
        <f t="array" ref="C7">_xll.FDS(B7,"FG_COMPANY_NAME")</f>
        <v>iShares MSCI Germany ETF</v>
      </c>
      <c r="D7" s="9">
        <f>HLOOKUP(B7,'Monthly Returns'!$A$1:$Q$134, 127, FALSE)</f>
        <v>-0.18741447</v>
      </c>
      <c r="E7" s="9">
        <f>HLOOKUP(B7,'Monthly Returns'!$A$1:$Q$134, 132, FALSE)</f>
        <v>0.1487603305785124</v>
      </c>
      <c r="H7" s="9">
        <f>HLOOKUP(B7,'Yearly returns'!$B$1:$N$140, 133, FALSE)</f>
        <v>0.23966942148760331</v>
      </c>
      <c r="I7" s="9">
        <f>HLOOKUP(B7,'Yearly returns'!$B$1:$N$140, 138, FALSE)</f>
        <v>0.63900000000000001</v>
      </c>
      <c r="J7" s="183">
        <f t="shared" si="0"/>
        <v>6.7222222222222223</v>
      </c>
      <c r="K7" s="185">
        <f t="shared" si="1"/>
        <v>0</v>
      </c>
      <c r="L7" s="47">
        <f t="shared" si="2"/>
        <v>16.700000000000003</v>
      </c>
      <c r="M7" s="47">
        <f t="shared" si="3"/>
        <v>8.3999999999999968</v>
      </c>
      <c r="N7" s="47">
        <f t="shared" si="4"/>
        <v>75</v>
      </c>
      <c r="P7">
        <f>L7*Assumption!$E$53 + M7*Assumption!$F$53 + N7*Assumption!$G$53</f>
        <v>43.774999999999999</v>
      </c>
      <c r="R7" cm="1">
        <f t="array" ref="R7">_xlfn.PERCENTRANK.EXC(_xlfn._xlws.FILTER(P$4:P$16, ISNUMBER(P$4:P$16)),P7)*100</f>
        <v>28.499999999999996</v>
      </c>
    </row>
    <row r="8" spans="2:18" x14ac:dyDescent="0.35">
      <c r="B8" t="s">
        <v>46</v>
      </c>
      <c r="C8" t="str" cm="1">
        <f t="array" ref="C8">_xll.FDS(B8,"FG_COMPANY_NAME")</f>
        <v>iShares MSCI Japan ETF</v>
      </c>
      <c r="D8" s="9">
        <f>HLOOKUP(B8,'Monthly Returns'!$A$1:$Q$134, 127, FALSE)</f>
        <v>-0.16058523000000002</v>
      </c>
      <c r="E8" s="9">
        <f>HLOOKUP(B8,'Monthly Returns'!$A$1:$Q$134, 132, FALSE)</f>
        <v>7.43801652892562E-2</v>
      </c>
      <c r="H8" s="9">
        <f>HLOOKUP(B8,'Yearly returns'!$B$1:$N$140, 133, FALSE)</f>
        <v>0.13223140495867769</v>
      </c>
      <c r="I8" s="9">
        <f>HLOOKUP(B8,'Yearly returns'!$B$1:$N$140, 138, FALSE)</f>
        <v>0.73699999999999999</v>
      </c>
      <c r="J8" s="183">
        <f t="shared" si="0"/>
        <v>13.444444444444445</v>
      </c>
      <c r="K8" s="185">
        <f t="shared" si="1"/>
        <v>83.3</v>
      </c>
      <c r="L8" s="47">
        <f t="shared" si="2"/>
        <v>83.399999999999991</v>
      </c>
      <c r="M8" s="47">
        <f t="shared" si="3"/>
        <v>66.7</v>
      </c>
      <c r="N8" s="47">
        <f t="shared" si="4"/>
        <v>25</v>
      </c>
      <c r="P8">
        <f>L8*Assumption!$E$53 + M8*Assumption!$F$53 + N8*Assumption!$G$53</f>
        <v>50.024999999999999</v>
      </c>
      <c r="R8" cm="1">
        <f t="array" ref="R8">_xlfn.PERCENTRANK.EXC(_xlfn._xlws.FILTER(P$4:P$16, ISNUMBER(P$4:P$16)),P8)*100</f>
        <v>57.099999999999994</v>
      </c>
    </row>
    <row r="9" spans="2:18" x14ac:dyDescent="0.35">
      <c r="B9" t="s">
        <v>42</v>
      </c>
      <c r="C9" t="str" cm="1">
        <f t="array" ref="C9">_xll.FDS(B9,"FG_COMPANY_NAME")</f>
        <v>iShares MSCI Switzerland ETF</v>
      </c>
      <c r="D9" s="9">
        <f>HLOOKUP(B9,'Monthly Returns'!$A$1:$Q$134, 127, FALSE)</f>
        <v>-0.13483149</v>
      </c>
      <c r="E9" s="9">
        <f>HLOOKUP(B9,'Monthly Returns'!$A$1:$Q$134, 132, FALSE)</f>
        <v>5.7851239669421489E-2</v>
      </c>
      <c r="H9" s="9">
        <f>HLOOKUP(B9,'Yearly returns'!$B$1:$N$140, 133, FALSE)</f>
        <v>8.2644628099173556E-2</v>
      </c>
      <c r="I9" s="9">
        <f>HLOOKUP(B9,'Yearly returns'!$B$1:$N$140, 138, FALSE)</f>
        <v>0.30299999999999999</v>
      </c>
      <c r="J9" s="183">
        <f t="shared" si="0"/>
        <v>17.285714285714285</v>
      </c>
      <c r="K9" s="185">
        <f t="shared" si="1"/>
        <v>100</v>
      </c>
      <c r="L9" s="47">
        <f t="shared" si="2"/>
        <v>100</v>
      </c>
      <c r="M9" s="47">
        <f t="shared" si="3"/>
        <v>91.7</v>
      </c>
      <c r="N9" s="47">
        <f t="shared" si="4"/>
        <v>91.7</v>
      </c>
      <c r="P9">
        <f>L9*Assumption!$E$53 + M9*Assumption!$F$53 + N9*Assumption!$G$53</f>
        <v>93.775000000000006</v>
      </c>
      <c r="R9" cm="1">
        <f t="array" ref="R9">_xlfn.PERCENTRANK.EXC(_xlfn._xlws.FILTER(P$4:P$16, ISNUMBER(P$4:P$16)),P9)*100</f>
        <v>92.800000000000011</v>
      </c>
    </row>
    <row r="10" spans="2:18" x14ac:dyDescent="0.35">
      <c r="B10" t="s">
        <v>48</v>
      </c>
      <c r="C10" t="str" cm="1">
        <f t="array" ref="C10">_xll.FDS(B10,"FG_COMPANY_NAME")</f>
        <v>iShares MSCI United Kingdom ETF</v>
      </c>
      <c r="D10" s="9">
        <f>HLOOKUP(B10,'Monthly Returns'!$A$1:$Q$134, 127, FALSE)</f>
        <v>-0.19675154</v>
      </c>
      <c r="E10" s="9">
        <f>HLOOKUP(B10,'Monthly Returns'!$A$1:$Q$134, 132, FALSE)</f>
        <v>9.9173553719008267E-2</v>
      </c>
      <c r="H10" s="9">
        <f>HLOOKUP(B10,'Yearly returns'!$B$1:$N$140, 133, FALSE)</f>
        <v>0.17355371900826447</v>
      </c>
      <c r="I10" s="9">
        <f>HLOOKUP(B10,'Yearly returns'!$B$1:$N$140, 138, FALSE)</f>
        <v>0.72899999999999998</v>
      </c>
      <c r="J10" s="183">
        <f t="shared" si="0"/>
        <v>10.083333333333334</v>
      </c>
      <c r="K10" s="185">
        <f t="shared" si="1"/>
        <v>58.3</v>
      </c>
      <c r="L10" s="47">
        <f t="shared" si="2"/>
        <v>66.7</v>
      </c>
      <c r="M10" s="47">
        <f t="shared" si="3"/>
        <v>16.700000000000003</v>
      </c>
      <c r="N10" s="47">
        <f t="shared" si="4"/>
        <v>41.7</v>
      </c>
      <c r="P10">
        <f>L10*Assumption!$E$53 + M10*Assumption!$F$53 + N10*Assumption!$G$53</f>
        <v>41.7</v>
      </c>
      <c r="R10" cm="1">
        <f t="array" ref="R10">_xlfn.PERCENTRANK.EXC(_xlfn._xlws.FILTER(P$4:P$16, ISNUMBER(P$4:P$16)),P10)*100</f>
        <v>21.4</v>
      </c>
    </row>
    <row r="11" spans="2:18" x14ac:dyDescent="0.35">
      <c r="B11" t="s">
        <v>51</v>
      </c>
      <c r="C11" t="str" cm="1">
        <f t="array" ref="C11">_xll.FDS(B11,"FG_COMPANY_NAME")</f>
        <v>Invesco QQQ Trust Series I</v>
      </c>
      <c r="D11" s="9">
        <f>HLOOKUP(B11,'Monthly Returns'!$A$1:$Q$134, 127, FALSE)</f>
        <v>-0.15545368000000001</v>
      </c>
      <c r="E11" s="9">
        <f>HLOOKUP(B11,'Monthly Returns'!$A$1:$Q$134, 132, FALSE)</f>
        <v>8.2644628099173556E-2</v>
      </c>
      <c r="H11" s="9">
        <f>HLOOKUP(B11,'Yearly returns'!$B$1:$N$140, 133, FALSE)</f>
        <v>9.0909090909090912E-2</v>
      </c>
      <c r="I11" s="9">
        <f>HLOOKUP(B11,'Yearly returns'!$B$1:$N$140, 138, FALSE)</f>
        <v>0.83599999999999997</v>
      </c>
      <c r="J11" s="183">
        <f t="shared" si="0"/>
        <v>12.1</v>
      </c>
      <c r="K11" s="185">
        <f t="shared" si="1"/>
        <v>75</v>
      </c>
      <c r="L11" s="47">
        <f t="shared" si="2"/>
        <v>75</v>
      </c>
      <c r="M11" s="47">
        <f t="shared" si="3"/>
        <v>83.399999999999991</v>
      </c>
      <c r="N11" s="47">
        <f t="shared" si="4"/>
        <v>8.3999999999999968</v>
      </c>
      <c r="P11">
        <f>L11*Assumption!$E$53 + M11*Assumption!$F$53 + N11*Assumption!$G$53</f>
        <v>43.79999999999999</v>
      </c>
      <c r="R11" cm="1">
        <f t="array" ref="R11">_xlfn.PERCENTRANK.EXC(_xlfn._xlws.FILTER(P$4:P$16, ISNUMBER(P$4:P$16)),P11)*100</f>
        <v>35.699999999999996</v>
      </c>
    </row>
    <row r="12" spans="2:18" x14ac:dyDescent="0.35">
      <c r="B12" t="s">
        <v>1</v>
      </c>
      <c r="C12" t="str" cm="1">
        <f t="array" ref="C12">_xll.FDS(B12,"FG_COMPANY_NAME")</f>
        <v>SPDR S&amp;P 500 ETF Trust</v>
      </c>
      <c r="D12" s="9">
        <f>HLOOKUP(B12,'Monthly Returns'!$A$1:$Q$134, 127, FALSE)</f>
        <v>-0.17450333000000001</v>
      </c>
      <c r="E12" s="9">
        <f>HLOOKUP(B12,'Monthly Returns'!$A$1:$Q$134, 132, FALSE)</f>
        <v>6.6115702479338845E-2</v>
      </c>
      <c r="H12" s="9">
        <f>HLOOKUP(B12,'Yearly returns'!$B$1:$N$140, 133, FALSE)</f>
        <v>3.3057851239669422E-2</v>
      </c>
      <c r="I12" s="9">
        <f>HLOOKUP(B12,'Yearly returns'!$B$1:$N$140, 138, FALSE)</f>
        <v>0.88500000000000001</v>
      </c>
      <c r="J12" s="183">
        <f t="shared" si="0"/>
        <v>15.125</v>
      </c>
      <c r="K12" s="185">
        <f t="shared" si="1"/>
        <v>91.600000000000009</v>
      </c>
      <c r="L12" s="47">
        <f t="shared" si="2"/>
        <v>91.7</v>
      </c>
      <c r="M12" s="47">
        <f t="shared" si="3"/>
        <v>100</v>
      </c>
      <c r="N12" s="47">
        <f t="shared" si="4"/>
        <v>0</v>
      </c>
      <c r="P12">
        <f>L12*Assumption!$E$53 + M12*Assumption!$F$53 + N12*Assumption!$G$53</f>
        <v>47.924999999999997</v>
      </c>
      <c r="R12" cm="1">
        <f t="array" ref="R12">_xlfn.PERCENTRANK.EXC(_xlfn._xlws.FILTER(P$4:P$16, ISNUMBER(P$4:P$16)),P12)*100</f>
        <v>50</v>
      </c>
    </row>
    <row r="13" spans="2:18" x14ac:dyDescent="0.35">
      <c r="B13" t="s">
        <v>865</v>
      </c>
      <c r="C13" t="str" cm="1">
        <f t="array" ref="C13">_xll.FDS(B13,"FG_COMPANY_NAME")</f>
        <v>iShares MSCI France ETF</v>
      </c>
      <c r="D13" s="9">
        <f>HLOOKUP(B13,'Monthly Returns'!$A$1:$Q$134, 127, FALSE)</f>
        <v>-0.19671112000000002</v>
      </c>
      <c r="E13" s="9">
        <f>HLOOKUP(B13,'Monthly Returns'!$A$1:$Q$134, 132, FALSE)</f>
        <v>0.12396694214876033</v>
      </c>
      <c r="H13" s="9">
        <f>HLOOKUP(B13,'Yearly returns'!$B$1:$N$140, 133, FALSE)</f>
        <v>0.13223140495867769</v>
      </c>
      <c r="I13" s="9">
        <f>HLOOKUP(B13,'Yearly returns'!$B$1:$N$140, 138, FALSE)</f>
        <v>0.58099999999999996</v>
      </c>
      <c r="J13" s="183">
        <f t="shared" si="0"/>
        <v>8.0666666666666664</v>
      </c>
      <c r="K13" s="185">
        <f t="shared" si="1"/>
        <v>33.300000000000004</v>
      </c>
      <c r="L13" s="47">
        <f t="shared" si="2"/>
        <v>41.7</v>
      </c>
      <c r="M13" s="47">
        <f t="shared" si="3"/>
        <v>66.7</v>
      </c>
      <c r="N13" s="47">
        <f t="shared" si="4"/>
        <v>83.399999999999991</v>
      </c>
      <c r="P13">
        <f>L13*Assumption!$E$53 + M13*Assumption!$F$53 + N13*Assumption!$G$53</f>
        <v>68.8</v>
      </c>
      <c r="R13" cm="1">
        <f t="array" ref="R13">_xlfn.PERCENTRANK.EXC(_xlfn._xlws.FILTER(P$4:P$16, ISNUMBER(P$4:P$16)),P13)*100</f>
        <v>78.5</v>
      </c>
    </row>
    <row r="14" spans="2:18" x14ac:dyDescent="0.35">
      <c r="B14" t="s">
        <v>867</v>
      </c>
      <c r="C14" t="str" cm="1">
        <f t="array" ref="C14">_xll.FDS(B14,"FG_COMPANY_NAME")</f>
        <v>iShares MSCI Netherlands ETF</v>
      </c>
      <c r="D14" s="9">
        <f>HLOOKUP(B14,'Monthly Returns'!$A$1:$Q$134, 127, FALSE)</f>
        <v>-0.16479952</v>
      </c>
      <c r="E14" s="9">
        <f>HLOOKUP(B14,'Monthly Returns'!$A$1:$Q$134, 132, FALSE)</f>
        <v>0.14049586776859505</v>
      </c>
      <c r="H14" s="9">
        <f>HLOOKUP(B14,'Yearly returns'!$B$1:$N$140, 133, FALSE)</f>
        <v>9.9173553719008267E-2</v>
      </c>
      <c r="I14" s="9">
        <f>HLOOKUP(B14,'Yearly returns'!$B$1:$N$140, 138, FALSE)</f>
        <v>0.78600000000000003</v>
      </c>
      <c r="J14" s="183">
        <f t="shared" si="0"/>
        <v>7.117647058823529</v>
      </c>
      <c r="K14" s="185">
        <f t="shared" si="1"/>
        <v>25</v>
      </c>
      <c r="L14" s="47">
        <f t="shared" si="2"/>
        <v>25</v>
      </c>
      <c r="M14" s="47">
        <f t="shared" si="3"/>
        <v>75</v>
      </c>
      <c r="N14" s="47">
        <f t="shared" si="4"/>
        <v>16.700000000000003</v>
      </c>
      <c r="P14">
        <f>L14*Assumption!$E$53 + M14*Assumption!$F$53 + N14*Assumption!$G$53</f>
        <v>33.35</v>
      </c>
      <c r="R14" cm="1">
        <f t="array" ref="R14">_xlfn.PERCENTRANK.EXC(_xlfn._xlws.FILTER(P$4:P$16, ISNUMBER(P$4:P$16)),P14)*100</f>
        <v>14.2</v>
      </c>
    </row>
    <row r="15" spans="2:18" x14ac:dyDescent="0.35">
      <c r="B15" t="s">
        <v>864</v>
      </c>
      <c r="C15" t="str" cm="1">
        <f t="array" ref="C15">_xll.FDS(B15,"FG_COMPANY_NAME")</f>
        <v>iShares MSCI Sweden ETF</v>
      </c>
      <c r="D15" s="9">
        <f>HLOOKUP(B15,'Monthly Returns'!$A$1:$Q$134, 127, FALSE)</f>
        <v>-0.1712187</v>
      </c>
      <c r="E15" s="9">
        <f>HLOOKUP(B15,'Monthly Returns'!$A$1:$Q$134, 132, FALSE)</f>
        <v>0.1487603305785124</v>
      </c>
      <c r="H15" s="9">
        <f>HLOOKUP(B15,'Yearly returns'!$B$1:$N$140, 133, FALSE)</f>
        <v>0.15702479338842976</v>
      </c>
      <c r="I15" s="9">
        <f>HLOOKUP(B15,'Yearly returns'!$B$1:$N$140, 138, FALSE)</f>
        <v>0.66300000000000003</v>
      </c>
      <c r="J15" s="183">
        <f t="shared" si="0"/>
        <v>6.7222222222222223</v>
      </c>
      <c r="K15" s="185">
        <f t="shared" si="1"/>
        <v>0</v>
      </c>
      <c r="L15" s="47">
        <f t="shared" si="2"/>
        <v>16.700000000000003</v>
      </c>
      <c r="M15" s="47">
        <f t="shared" si="3"/>
        <v>41.7</v>
      </c>
      <c r="N15" s="47">
        <f t="shared" si="4"/>
        <v>58.400000000000006</v>
      </c>
      <c r="P15">
        <f>L15*Assumption!$E$53 + M15*Assumption!$F$53 + N15*Assumption!$G$53</f>
        <v>43.800000000000004</v>
      </c>
      <c r="R15" cm="1">
        <f t="array" ref="R15">_xlfn.PERCENTRANK.EXC(_xlfn._xlws.FILTER(P$4:P$16, ISNUMBER(P$4:P$16)),P15)*100</f>
        <v>42.8</v>
      </c>
    </row>
    <row r="16" spans="2:18" x14ac:dyDescent="0.35">
      <c r="B16" t="s">
        <v>866</v>
      </c>
      <c r="C16" t="str" cm="1">
        <f t="array" ref="C16">_xll.FDS(B16,"FG_COMPANY_NAME")</f>
        <v>iShares MSCI Italy ETF</v>
      </c>
      <c r="D16" s="9">
        <f>HLOOKUP(B16,'Monthly Returns'!$A$1:$Q$134, 127, FALSE)</f>
        <v>-0.22847569000000001</v>
      </c>
      <c r="E16" s="9">
        <f>HLOOKUP(B16,'Monthly Returns'!$A$1:$Q$134, 132, FALSE)</f>
        <v>0.1487603305785124</v>
      </c>
      <c r="H16" s="9">
        <f>HLOOKUP(B16,'Yearly returns'!$B$1:$N$140, 133, FALSE)</f>
        <v>0.30578512396694213</v>
      </c>
      <c r="I16" s="9">
        <f>HLOOKUP(B16,'Yearly returns'!$B$1:$N$140, 138, FALSE)</f>
        <v>0.72899999999999998</v>
      </c>
      <c r="J16" s="183">
        <f t="shared" si="0"/>
        <v>6.7222222222222223</v>
      </c>
      <c r="K16" s="185">
        <f t="shared" si="1"/>
        <v>0</v>
      </c>
      <c r="L16" s="47">
        <f t="shared" si="2"/>
        <v>16.700000000000003</v>
      </c>
      <c r="M16" s="47">
        <f t="shared" si="3"/>
        <v>0</v>
      </c>
      <c r="N16" s="47">
        <f t="shared" si="4"/>
        <v>41.7</v>
      </c>
      <c r="P16">
        <f>L16*Assumption!$E$53 + M16*Assumption!$F$53 + N16*Assumption!$G$53</f>
        <v>25.025000000000002</v>
      </c>
      <c r="R16" cm="1">
        <f t="array" ref="R16">_xlfn.PERCENTRANK.EXC(_xlfn._xlws.FILTER(P$4:P$16, ISNUMBER(P$4:P$16)),P16)*100</f>
        <v>7.1</v>
      </c>
    </row>
    <row r="17" spans="4:4" x14ac:dyDescent="0.35">
      <c r="D17" s="9"/>
    </row>
    <row r="18" spans="4:4" x14ac:dyDescent="0.35">
      <c r="D18" s="9"/>
    </row>
    <row r="19" spans="4:4" x14ac:dyDescent="0.35">
      <c r="D19" s="9"/>
    </row>
    <row r="20" spans="4:4" x14ac:dyDescent="0.35">
      <c r="D20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26"/>
  <sheetViews>
    <sheetView topLeftCell="I13" zoomScaleNormal="100" workbookViewId="0">
      <selection activeCell="N22" sqref="N22"/>
    </sheetView>
  </sheetViews>
  <sheetFormatPr defaultRowHeight="14.5" x14ac:dyDescent="0.35"/>
  <cols>
    <col min="1" max="1" width="15.1796875" bestFit="1" customWidth="1"/>
    <col min="2" max="2" width="34.453125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L2" s="5"/>
    </row>
    <row r="3" spans="1:22" x14ac:dyDescent="0.35">
      <c r="H3"/>
      <c r="I3"/>
      <c r="J3"/>
      <c r="L3" s="5"/>
    </row>
    <row r="4" spans="1:22" x14ac:dyDescent="0.35">
      <c r="A4" t="s">
        <v>821</v>
      </c>
      <c r="B4" t="s">
        <v>519</v>
      </c>
      <c r="C4" t="s">
        <v>820</v>
      </c>
      <c r="D4" t="s">
        <v>544</v>
      </c>
      <c r="F4" t="s">
        <v>783</v>
      </c>
      <c r="G4" s="110" t="s">
        <v>818</v>
      </c>
      <c r="H4" s="110" t="s">
        <v>817</v>
      </c>
      <c r="I4" s="110" t="s">
        <v>837</v>
      </c>
      <c r="J4" s="110" t="s">
        <v>819</v>
      </c>
      <c r="S4" s="110" t="s">
        <v>818</v>
      </c>
      <c r="T4" s="110" t="s">
        <v>817</v>
      </c>
      <c r="U4" s="110" t="s">
        <v>837</v>
      </c>
      <c r="V4" s="110" t="s">
        <v>819</v>
      </c>
    </row>
    <row r="5" spans="1:22" x14ac:dyDescent="0.35">
      <c r="A5" t="s">
        <v>198</v>
      </c>
      <c r="B5" t="str" cm="1">
        <f t="array" ref="B5">_xll.FDS(C5,"FG_COMPANY_NAME")</f>
        <v>iShares MSCI New Zealand ETF</v>
      </c>
      <c r="C5" t="s">
        <v>431</v>
      </c>
      <c r="D5" t="s">
        <v>674</v>
      </c>
      <c r="E5" s="3" t="s">
        <v>431</v>
      </c>
      <c r="F5" s="9">
        <f>HLOOKUP(E5,'Monthly Returns'!$A$1:$AE$136,134,FALSE)</f>
        <v>0.36</v>
      </c>
      <c r="G5" s="141" cm="1">
        <f t="array" ref="G5">_xll.FDSZ(C5,"FG_PRICE(0)")</f>
        <v>45.28</v>
      </c>
      <c r="H5" s="141" cm="1">
        <f t="array" ref="H5">_xll.FDSZ(C5,"FG_PRICE_MAVG(0,,,,30)")</f>
        <v>44.883760000000002</v>
      </c>
      <c r="I5" s="141" cm="1">
        <f t="array" ref="I5">_xll.FDSZ(C5,"FG_PRICE_MAVG(0,,,,60)")</f>
        <v>45.143295000000002</v>
      </c>
      <c r="J5" s="141" cm="1">
        <f t="array" ref="J5">_xll.FDSZ(C5,"FG_PRICE_MAVG(0,,,,200)")</f>
        <v>45.523040000000002</v>
      </c>
      <c r="L5">
        <f>IF($G5&gt;H5, 1, 0)</f>
        <v>1</v>
      </c>
      <c r="M5">
        <f>IF($G5&gt;I5, 1, 0)</f>
        <v>1</v>
      </c>
      <c r="N5">
        <f>IF($G5&gt;J5, 1, 0)</f>
        <v>0</v>
      </c>
      <c r="P5">
        <f>SUM(L5:N5)</f>
        <v>2</v>
      </c>
      <c r="R5" t="s">
        <v>839</v>
      </c>
      <c r="S5" s="7" cm="1">
        <f t="array" ref="S5">_xll.FDSZ($R5,"FG_PRICE(0)")</f>
        <v>379.83620000000002</v>
      </c>
      <c r="T5" s="7" cm="1">
        <f t="array" ref="T5">_xll.FDSZ($R5,"FG_PRICE(0)")</f>
        <v>379.83620000000002</v>
      </c>
      <c r="U5" s="7" cm="1">
        <f t="array" ref="U5">_xll.FDSZ($R5,"FG_PRICE(0)")</f>
        <v>379.83620000000002</v>
      </c>
      <c r="V5" s="7" cm="1">
        <f t="array" ref="V5">_xll.FDSZ($R5,"FG_PRICE(0)")</f>
        <v>379.83620000000002</v>
      </c>
    </row>
    <row r="6" spans="1:22" x14ac:dyDescent="0.35">
      <c r="A6" t="s">
        <v>174</v>
      </c>
      <c r="B6" t="str" cm="1">
        <f t="array" ref="B6">_xll.FDS(C6,"FG_COMPANY_NAME")</f>
        <v>iShares MSCI Australia ETF</v>
      </c>
      <c r="C6" t="s">
        <v>44</v>
      </c>
      <c r="D6" t="s">
        <v>576</v>
      </c>
      <c r="E6" s="3" t="s">
        <v>44</v>
      </c>
      <c r="F6" s="9">
        <f>HLOOKUP(E6,'Monthly Returns'!$A$1:$AE$136,134,FALSE)</f>
        <v>0.27800000000000002</v>
      </c>
      <c r="G6" s="141" cm="1">
        <f t="array" ref="G6">_xll.FDSZ(C6,"FG_PRICE(0)")</f>
        <v>24.49</v>
      </c>
      <c r="H6" s="141" cm="1">
        <f t="array" ref="H6">_xll.FDSZ(C6,"FG_PRICE_MAVG(0,,,,30)")</f>
        <v>24.058332</v>
      </c>
      <c r="I6" s="141" cm="1">
        <f t="array" ref="I6">_xll.FDSZ(C6,"FG_PRICE_MAVG(0,,,,60)")</f>
        <v>24.090333999999999</v>
      </c>
      <c r="J6" s="141" cm="1">
        <f t="array" ref="J6">_xll.FDSZ(C6,"FG_PRICE_MAVG(0,,,,200)")</f>
        <v>22.926100000000002</v>
      </c>
      <c r="L6">
        <f t="shared" ref="L6:L17" si="0">IF($G6&gt;H6, 1, 0)</f>
        <v>1</v>
      </c>
      <c r="M6">
        <f t="shared" ref="M6:M17" si="1">IF($G6&gt;I6, 1, 0)</f>
        <v>1</v>
      </c>
      <c r="N6">
        <f t="shared" ref="N6:N17" si="2">IF($G6&gt;J6, 1, 0)</f>
        <v>1</v>
      </c>
      <c r="P6">
        <f t="shared" ref="P6:P17" si="3">SUM(L6:N6)</f>
        <v>3</v>
      </c>
      <c r="R6" t="s">
        <v>840</v>
      </c>
      <c r="S6" s="7" cm="1">
        <f t="array" ref="S6">_xll.FDSZ($R6,"FG_PRICE(0)")</f>
        <v>356.97442999999998</v>
      </c>
      <c r="T6" s="7" cm="1">
        <f t="array" ref="T6">_xll.FDSZ($R6,"FG_PRICE(0)")</f>
        <v>356.97442999999998</v>
      </c>
      <c r="U6" s="7" cm="1">
        <f t="array" ref="U6">_xll.FDSZ($R6,"FG_PRICE(0)")</f>
        <v>356.97442999999998</v>
      </c>
      <c r="V6" s="7" cm="1">
        <f t="array" ref="V6">_xll.FDSZ($R6,"FG_PRICE(0)")</f>
        <v>356.97442999999998</v>
      </c>
    </row>
    <row r="7" spans="1:22" x14ac:dyDescent="0.35">
      <c r="A7" t="s">
        <v>157</v>
      </c>
      <c r="B7" t="str" cm="1">
        <f t="array" ref="B7">_xll.FDS(C7,"FG_COMPANY_NAME")</f>
        <v>iShares MSCI Canada ETF</v>
      </c>
      <c r="C7" t="s">
        <v>49</v>
      </c>
      <c r="D7" t="s">
        <v>598</v>
      </c>
      <c r="E7" s="3" t="s">
        <v>49</v>
      </c>
      <c r="F7" s="9">
        <f>HLOOKUP(E7,'Monthly Returns'!$A$1:$AE$136,134,FALSE)</f>
        <v>0.31900000000000001</v>
      </c>
      <c r="G7" s="141" cm="1">
        <f t="array" ref="G7">_xll.FDSZ(C7,"FG_PRICE(0)")</f>
        <v>38.28</v>
      </c>
      <c r="H7" s="141" cm="1">
        <f t="array" ref="H7">_xll.FDSZ(C7,"FG_PRICE_MAVG(0,,,,30)")</f>
        <v>37.644333000000003</v>
      </c>
      <c r="I7" s="141" cm="1">
        <f t="array" ref="I7">_xll.FDSZ(C7,"FG_PRICE_MAVG(0,,,,60)")</f>
        <v>37.478000000000002</v>
      </c>
      <c r="J7" s="141" cm="1">
        <f t="array" ref="J7">_xll.FDSZ(C7,"FG_PRICE_MAVG(0,,,,200)")</f>
        <v>35.518300000000004</v>
      </c>
      <c r="L7">
        <f t="shared" si="0"/>
        <v>1</v>
      </c>
      <c r="M7">
        <f t="shared" si="1"/>
        <v>1</v>
      </c>
      <c r="N7">
        <f t="shared" si="2"/>
        <v>1</v>
      </c>
      <c r="P7">
        <f t="shared" si="3"/>
        <v>3</v>
      </c>
      <c r="R7" t="s">
        <v>841</v>
      </c>
      <c r="S7" s="7" cm="1">
        <f t="array" ref="S7">_xll.FDSZ($R7,"FG_PRICE(0)")</f>
        <v>293.72125</v>
      </c>
      <c r="T7" s="7" cm="1">
        <f t="array" ref="T7">_xll.FDSZ($R7,"FG_PRICE(0)")</f>
        <v>293.72125</v>
      </c>
      <c r="U7" s="7" cm="1">
        <f t="array" ref="U7">_xll.FDSZ($R7,"FG_PRICE(0)")</f>
        <v>293.72125</v>
      </c>
      <c r="V7" s="7" cm="1">
        <f t="array" ref="V7">_xll.FDSZ($R7,"FG_PRICE(0)")</f>
        <v>293.72125</v>
      </c>
    </row>
    <row r="8" spans="1:22" x14ac:dyDescent="0.35">
      <c r="A8" t="s">
        <v>555</v>
      </c>
      <c r="B8" t="str" cm="1">
        <f t="array" ref="B8">_xll.FDS(C8,"FG_COMPANY_NAME")</f>
        <v>iShares MSCI Germany ETF</v>
      </c>
      <c r="C8" t="s">
        <v>11</v>
      </c>
      <c r="D8" t="s">
        <v>625</v>
      </c>
      <c r="E8" s="3" t="s">
        <v>11</v>
      </c>
      <c r="F8" s="9">
        <f>HLOOKUP(E8,'Monthly Returns'!$A$1:$AE$136,134,FALSE)</f>
        <v>0.61399999999999999</v>
      </c>
      <c r="G8" s="141" cm="1">
        <f t="array" ref="G8">_xll.FDSZ(C8,"FG_PRICE(0)")</f>
        <v>32.06</v>
      </c>
      <c r="H8" s="141" cm="1">
        <f t="array" ref="H8">_xll.FDSZ(C8,"FG_PRICE_MAVG(0,,,,30)")</f>
        <v>30.95</v>
      </c>
      <c r="I8" s="141" cm="1">
        <f t="array" ref="I8">_xll.FDSZ(C8,"FG_PRICE_MAVG(0,,,,60)")</f>
        <v>30.845500000000001</v>
      </c>
      <c r="J8" s="141" cm="1">
        <f t="array" ref="J8">_xll.FDSZ(C8,"FG_PRICE_MAVG(0,,,,200)")</f>
        <v>28.70195</v>
      </c>
      <c r="L8">
        <f t="shared" si="0"/>
        <v>1</v>
      </c>
      <c r="M8">
        <f t="shared" si="1"/>
        <v>1</v>
      </c>
      <c r="N8">
        <f t="shared" si="2"/>
        <v>1</v>
      </c>
      <c r="P8">
        <f t="shared" si="3"/>
        <v>3</v>
      </c>
      <c r="R8" t="s">
        <v>838</v>
      </c>
      <c r="S8" s="7" cm="1">
        <f t="array" ref="S8">_xll.FDSZ($R8,"FG_PRICE(0)")</f>
        <v>9.9086800000000004</v>
      </c>
      <c r="T8" s="7" cm="1">
        <f t="array" ref="T8">_xll.FDSZ($R8,"FG_PRICE(0)")</f>
        <v>9.9086800000000004</v>
      </c>
      <c r="U8" s="7" cm="1">
        <f t="array" ref="U8">_xll.FDSZ($R8,"FG_PRICE(0)")</f>
        <v>9.9086800000000004</v>
      </c>
      <c r="V8" s="7" cm="1">
        <f t="array" ref="V8">_xll.FDSZ($R8,"FG_PRICE(0)")</f>
        <v>9.9086800000000004</v>
      </c>
    </row>
    <row r="9" spans="1:22" x14ac:dyDescent="0.35">
      <c r="A9" t="s">
        <v>164</v>
      </c>
      <c r="B9" t="str" cm="1">
        <f t="array" ref="B9">_xll.FDS(C9,"FG_COMPANY_NAME")</f>
        <v>iShares MSCI Japan ETF</v>
      </c>
      <c r="C9" t="s">
        <v>46</v>
      </c>
      <c r="D9" t="s">
        <v>643</v>
      </c>
      <c r="E9" s="3" t="s">
        <v>46</v>
      </c>
      <c r="F9" s="9">
        <f>HLOOKUP(E9,'Monthly Returns'!$A$1:$AE$136,134,FALSE)</f>
        <v>0.16300000000000001</v>
      </c>
      <c r="G9" s="141" cm="1">
        <f t="array" ref="G9">_xll.FDSZ(C9,"FG_PRICE(0)")</f>
        <v>68.34</v>
      </c>
      <c r="H9" s="141" cm="1">
        <f t="array" ref="H9">_xll.FDSZ(C9,"FG_PRICE_MAVG(0,,,,30)")</f>
        <v>68.608999999999995</v>
      </c>
      <c r="I9" s="141" cm="1">
        <f t="array" ref="I9">_xll.FDSZ(C9,"FG_PRICE_MAVG(0,,,,60)")</f>
        <v>69.212500000000006</v>
      </c>
      <c r="J9" s="141" cm="1">
        <f t="array" ref="J9">_xll.FDSZ(C9,"FG_PRICE_MAVG(0,,,,200)")</f>
        <v>64.331500000000005</v>
      </c>
      <c r="L9">
        <f t="shared" si="0"/>
        <v>0</v>
      </c>
      <c r="M9">
        <f t="shared" si="1"/>
        <v>0</v>
      </c>
      <c r="N9">
        <f t="shared" si="2"/>
        <v>1</v>
      </c>
      <c r="P9">
        <f t="shared" si="3"/>
        <v>1</v>
      </c>
      <c r="R9" t="s">
        <v>842</v>
      </c>
      <c r="S9" s="7" cm="1">
        <f t="array" ref="S9">_xll.FDSZ($R9,"FG_PRICE(0)")</f>
        <v>171.97884999999999</v>
      </c>
      <c r="T9" s="7" cm="1">
        <f t="array" ref="T9">_xll.FDSZ($R9,"FG_PRICE(0)")</f>
        <v>171.97884999999999</v>
      </c>
      <c r="U9" s="7" cm="1">
        <f t="array" ref="U9">_xll.FDSZ($R9,"FG_PRICE(0)")</f>
        <v>171.97884999999999</v>
      </c>
      <c r="V9" s="7" cm="1">
        <f t="array" ref="V9">_xll.FDSZ($R9,"FG_PRICE(0)")</f>
        <v>171.97884999999999</v>
      </c>
    </row>
    <row r="10" spans="1:22" x14ac:dyDescent="0.35">
      <c r="A10" t="s">
        <v>276</v>
      </c>
      <c r="B10" t="str" cm="1">
        <f t="array" ref="B10">_xll.FDS(C10,"FG_COMPANY_NAME")</f>
        <v>iShares MSCI Switzerland ETF</v>
      </c>
      <c r="C10" t="s">
        <v>42</v>
      </c>
      <c r="D10" t="s">
        <v>706</v>
      </c>
      <c r="E10" s="3" t="s">
        <v>42</v>
      </c>
      <c r="F10" s="9">
        <f>HLOOKUP(E10,'Monthly Returns'!$A$1:$AE$136,134,FALSE)</f>
        <v>0.64700000000000002</v>
      </c>
      <c r="G10" s="141" cm="1">
        <f t="array" ref="G10">_xll.FDSZ(C10,"FG_PRICE(0)")</f>
        <v>47.62</v>
      </c>
      <c r="H10" s="141" cm="1">
        <f t="array" ref="H10">_xll.FDSZ(C10,"FG_PRICE_MAVG(0,,,,30)")</f>
        <v>46.245666999999997</v>
      </c>
      <c r="I10" s="141" cm="1">
        <f t="array" ref="I10">_xll.FDSZ(C10,"FG_PRICE_MAVG(0,,,,60)")</f>
        <v>46.853670000000001</v>
      </c>
      <c r="J10" s="141" cm="1">
        <f t="array" ref="J10">_xll.FDSZ(C10,"FG_PRICE_MAVG(0,,,,200)")</f>
        <v>45.918100000000003</v>
      </c>
      <c r="L10">
        <f t="shared" si="0"/>
        <v>1</v>
      </c>
      <c r="M10">
        <f t="shared" si="1"/>
        <v>1</v>
      </c>
      <c r="N10">
        <f t="shared" si="2"/>
        <v>1</v>
      </c>
      <c r="P10">
        <f t="shared" si="3"/>
        <v>3</v>
      </c>
      <c r="R10" t="s">
        <v>843</v>
      </c>
      <c r="S10" s="7" cm="1">
        <f t="array" ref="S10">_xll.FDSZ($R10,"FG_PRICE(0)")</f>
        <v>318.46483999999998</v>
      </c>
      <c r="T10" s="7" cm="1">
        <f t="array" ref="T10">_xll.FDSZ($R10,"FG_PRICE(0)")</f>
        <v>318.46483999999998</v>
      </c>
      <c r="U10" s="7" cm="1">
        <f t="array" ref="U10">_xll.FDSZ($R10,"FG_PRICE(0)")</f>
        <v>318.46483999999998</v>
      </c>
      <c r="V10" s="7" cm="1">
        <f t="array" ref="V10">_xll.FDSZ($R10,"FG_PRICE(0)")</f>
        <v>318.46483999999998</v>
      </c>
    </row>
    <row r="11" spans="1:22" x14ac:dyDescent="0.35">
      <c r="A11" t="s">
        <v>167</v>
      </c>
      <c r="B11" t="str" cm="1">
        <f t="array" ref="B11">_xll.FDS(C11,"FG_COMPANY_NAME")</f>
        <v>iShares MSCI United Kingdom ETF</v>
      </c>
      <c r="C11" t="s">
        <v>48</v>
      </c>
      <c r="D11" t="s">
        <v>719</v>
      </c>
      <c r="E11" s="3" t="s">
        <v>48</v>
      </c>
      <c r="F11" s="9">
        <f>HLOOKUP(E11,'Monthly Returns'!$A$1:$AE$136,134,FALSE)</f>
        <v>0.88500000000000001</v>
      </c>
      <c r="G11" s="141" cm="1">
        <f t="array" ref="G11">_xll.FDSZ(C11,"FG_PRICE(0)")</f>
        <v>36.06</v>
      </c>
      <c r="H11" s="141" cm="1">
        <f t="array" ref="H11">_xll.FDSZ(C11,"FG_PRICE_MAVG(0,,,,30)")</f>
        <v>34.393332999999998</v>
      </c>
      <c r="I11" s="141" cm="1">
        <f t="array" ref="I11">_xll.FDSZ(C11,"FG_PRICE_MAVG(0,,,,60)")</f>
        <v>33.793666999999999</v>
      </c>
      <c r="J11" s="141" cm="1">
        <f t="array" ref="J11">_xll.FDSZ(C11,"FG_PRICE_MAVG(0,,,,200)")</f>
        <v>32.599550000000001</v>
      </c>
      <c r="L11">
        <f t="shared" si="0"/>
        <v>1</v>
      </c>
      <c r="M11">
        <f t="shared" si="1"/>
        <v>1</v>
      </c>
      <c r="N11">
        <f t="shared" si="2"/>
        <v>1</v>
      </c>
      <c r="P11">
        <f t="shared" si="3"/>
        <v>3</v>
      </c>
      <c r="R11" t="s">
        <v>844</v>
      </c>
      <c r="S11" s="7" cm="1">
        <f t="array" ref="S11">_xll.FDSZ($R11,"FG_PRICE(0)")</f>
        <v>127.644554</v>
      </c>
      <c r="T11" s="7" cm="1">
        <f t="array" ref="T11">_xll.FDSZ($R11,"FG_PRICE(0)")</f>
        <v>127.644554</v>
      </c>
      <c r="U11" s="7" cm="1">
        <f t="array" ref="U11">_xll.FDSZ($R11,"FG_PRICE(0)")</f>
        <v>127.644554</v>
      </c>
      <c r="V11" s="7" cm="1">
        <f t="array" ref="V11">_xll.FDSZ($R11,"FG_PRICE(0)")</f>
        <v>127.644554</v>
      </c>
    </row>
    <row r="12" spans="1:22" x14ac:dyDescent="0.35">
      <c r="A12" t="s">
        <v>170</v>
      </c>
      <c r="B12" t="str" cm="1">
        <f t="array" ref="B12">_xll.FDS(C12,"FG_COMPANY_NAME")</f>
        <v>Invesco QQQ Trust Series I</v>
      </c>
      <c r="C12" t="s">
        <v>51</v>
      </c>
      <c r="D12" t="s">
        <v>720</v>
      </c>
      <c r="E12" s="3" t="s">
        <v>51</v>
      </c>
      <c r="F12" s="9">
        <f>HLOOKUP(E12,'Monthly Returns'!$A$1:$AE$136,134,FALSE)</f>
        <v>0.31900000000000001</v>
      </c>
      <c r="G12" s="141" cm="1">
        <f t="array" ref="G12">_xll.FDSZ(C12,"FG_PRICE(0)")</f>
        <v>441.02</v>
      </c>
      <c r="H12" s="141" cm="1">
        <f t="array" ref="H12">_xll.FDSZ(C12,"FG_PRICE_MAVG(0,,,,30)")</f>
        <v>433.58733999999998</v>
      </c>
      <c r="I12" s="141" cm="1">
        <f t="array" ref="I12">_xll.FDSZ(C12,"FG_PRICE_MAVG(0,,,,60)")</f>
        <v>436.17334</v>
      </c>
      <c r="J12" s="141" cm="1">
        <f t="array" ref="J12">_xll.FDSZ(C12,"FG_PRICE_MAVG(0,,,,200)")</f>
        <v>399.97239999999999</v>
      </c>
      <c r="L12">
        <f t="shared" si="0"/>
        <v>1</v>
      </c>
      <c r="M12">
        <f t="shared" si="1"/>
        <v>1</v>
      </c>
      <c r="N12">
        <f t="shared" si="2"/>
        <v>1</v>
      </c>
      <c r="P12">
        <f t="shared" si="3"/>
        <v>3</v>
      </c>
      <c r="R12" t="s">
        <v>845</v>
      </c>
      <c r="S12" s="7" cm="1">
        <f t="array" ref="S12">_xll.FDSZ($R12,"FG_PRICE(0)")</f>
        <v>392.14526000000001</v>
      </c>
      <c r="T12" s="7" cm="1">
        <f t="array" ref="T12">_xll.FDSZ($R12,"FG_PRICE(0)")</f>
        <v>392.14526000000001</v>
      </c>
      <c r="U12" s="7" cm="1">
        <f t="array" ref="U12">_xll.FDSZ($R12,"FG_PRICE(0)")</f>
        <v>392.14526000000001</v>
      </c>
      <c r="V12" s="7" cm="1">
        <f t="array" ref="V12">_xll.FDSZ($R12,"FG_PRICE(0)")</f>
        <v>392.14526000000001</v>
      </c>
    </row>
    <row r="13" spans="1:22" x14ac:dyDescent="0.35">
      <c r="A13" t="s">
        <v>170</v>
      </c>
      <c r="B13" t="str" cm="1">
        <f t="array" ref="B13">_xll.FDS(C13,"FG_COMPANY_NAME")</f>
        <v>SPDR S&amp;P 500 ETF Trust</v>
      </c>
      <c r="C13" t="s">
        <v>1</v>
      </c>
      <c r="D13" t="s">
        <v>720</v>
      </c>
      <c r="E13" s="3" t="s">
        <v>1</v>
      </c>
      <c r="F13" s="9">
        <f>HLOOKUP(E13,'Monthly Returns'!$A$1:$AE$136,134,FALSE)</f>
        <v>0.311</v>
      </c>
      <c r="G13" s="141" cm="1">
        <f t="array" ref="G13">_xll.FDSZ(C13,"FG_PRICE(0)")</f>
        <v>520.16999999999996</v>
      </c>
      <c r="H13" s="141" cm="1">
        <f t="array" ref="H13">_xll.FDSZ(C13,"FG_PRICE_MAVG(0,,,,30)")</f>
        <v>510.71699999999998</v>
      </c>
      <c r="I13" s="141" cm="1">
        <f t="array" ref="I13">_xll.FDSZ(C13,"FG_PRICE_MAVG(0,,,,60)")</f>
        <v>510.83017000000001</v>
      </c>
      <c r="J13" s="141" cm="1">
        <f t="array" ref="J13">_xll.FDSZ(C13,"FG_PRICE_MAVG(0,,,,200)")</f>
        <v>470.42975000000001</v>
      </c>
      <c r="L13">
        <f t="shared" si="0"/>
        <v>1</v>
      </c>
      <c r="M13">
        <f t="shared" si="1"/>
        <v>1</v>
      </c>
      <c r="N13">
        <f t="shared" si="2"/>
        <v>1</v>
      </c>
      <c r="P13">
        <f t="shared" si="3"/>
        <v>3</v>
      </c>
      <c r="R13" t="s">
        <v>845</v>
      </c>
      <c r="S13" s="7" cm="1">
        <f t="array" ref="S13">_xll.FDSZ($R13,"FG_PRICE(0)")</f>
        <v>392.14526000000001</v>
      </c>
      <c r="T13" s="7" cm="1">
        <f t="array" ref="T13">_xll.FDSZ($R13,"FG_PRICE(0)")</f>
        <v>392.14526000000001</v>
      </c>
      <c r="U13" s="7" cm="1">
        <f t="array" ref="U13">_xll.FDSZ($R13,"FG_PRICE(0)")</f>
        <v>392.14526000000001</v>
      </c>
      <c r="V13" s="7" cm="1">
        <f t="array" ref="V13">_xll.FDSZ($R13,"FG_PRICE(0)")</f>
        <v>392.14526000000001</v>
      </c>
    </row>
    <row r="14" spans="1:22" x14ac:dyDescent="0.35">
      <c r="A14" t="s">
        <v>869</v>
      </c>
      <c r="B14" t="str" cm="1">
        <f t="array" ref="B14">_xll.FDS(C14,"FG_COMPANY_NAME")</f>
        <v>iShares MSCI France ETF</v>
      </c>
      <c r="C14" t="s">
        <v>865</v>
      </c>
      <c r="D14" t="s">
        <v>621</v>
      </c>
      <c r="E14" t="s">
        <v>865</v>
      </c>
      <c r="F14" s="9">
        <f>HLOOKUP(E14,'Monthly Returns'!$A$1:$AE$136,134,FALSE)</f>
        <v>0.67200000000000004</v>
      </c>
      <c r="G14" s="141" cm="1">
        <f t="array" ref="G14">_xll.FDSZ(C14,"FG_PRICE(0)")</f>
        <v>41.97</v>
      </c>
      <c r="H14" s="141" cm="1">
        <f t="array" ref="H14">_xll.FDSZ(C14,"FG_PRICE_MAVG(0,,,,30)")</f>
        <v>40.565334</v>
      </c>
      <c r="I14" s="141" cm="1">
        <f t="array" ref="I14">_xll.FDSZ(C14,"FG_PRICE_MAVG(0,,,,60)")</f>
        <v>40.598835000000001</v>
      </c>
      <c r="J14" s="141" cm="1">
        <f t="array" ref="J14">_xll.FDSZ(C14,"FG_PRICE_MAVG(0,,,,200)")</f>
        <v>38.228274999999996</v>
      </c>
      <c r="L14">
        <f t="shared" si="0"/>
        <v>1</v>
      </c>
      <c r="M14">
        <f t="shared" si="1"/>
        <v>1</v>
      </c>
      <c r="N14">
        <f t="shared" si="2"/>
        <v>1</v>
      </c>
      <c r="P14">
        <f t="shared" si="3"/>
        <v>3</v>
      </c>
      <c r="R14" t="s">
        <v>845</v>
      </c>
      <c r="S14" s="7" cm="1">
        <f t="array" ref="S14">_xll.FDSZ($R14,"FG_PRICE(0)")</f>
        <v>392.14526000000001</v>
      </c>
      <c r="T14" s="7" cm="1">
        <f t="array" ref="T14">_xll.FDSZ($R14,"FG_PRICE(0)")</f>
        <v>392.14526000000001</v>
      </c>
      <c r="U14" s="7" cm="1">
        <f t="array" ref="U14">_xll.FDSZ($R14,"FG_PRICE(0)")</f>
        <v>392.14526000000001</v>
      </c>
      <c r="V14" s="7" cm="1">
        <f t="array" ref="V14">_xll.FDSZ($R14,"FG_PRICE(0)")</f>
        <v>392.14526000000001</v>
      </c>
    </row>
    <row r="15" spans="1:22" x14ac:dyDescent="0.35">
      <c r="A15" t="s">
        <v>870</v>
      </c>
      <c r="B15" t="str" cm="1">
        <f t="array" ref="B15">_xll.FDS(C15,"FG_COMPANY_NAME")</f>
        <v>iShares MSCI Netherlands ETF</v>
      </c>
      <c r="C15" t="s">
        <v>867</v>
      </c>
      <c r="D15" t="s">
        <v>673</v>
      </c>
      <c r="E15" t="s">
        <v>867</v>
      </c>
      <c r="F15" s="9">
        <f>HLOOKUP(E15,'Monthly Returns'!$A$1:$AE$136,134,FALSE)</f>
        <v>0.45900000000000002</v>
      </c>
      <c r="G15" s="141" cm="1">
        <f t="array" ref="G15">_xll.FDSZ(C15,"FG_PRICE(0)")</f>
        <v>50.37</v>
      </c>
      <c r="H15" s="141" cm="1">
        <f t="array" ref="H15">_xll.FDSZ(C15,"FG_PRICE_MAVG(0,,,,30)")</f>
        <v>48.804831999999998</v>
      </c>
      <c r="I15" s="141" cm="1">
        <f t="array" ref="I15">_xll.FDSZ(C15,"FG_PRICE_MAVG(0,,,,60)")</f>
        <v>48.542167999999997</v>
      </c>
      <c r="J15" s="141" cm="1">
        <f t="array" ref="J15">_xll.FDSZ(C15,"FG_PRICE_MAVG(0,,,,200)")</f>
        <v>43.716079999999998</v>
      </c>
      <c r="L15">
        <f t="shared" si="0"/>
        <v>1</v>
      </c>
      <c r="M15">
        <f t="shared" si="1"/>
        <v>1</v>
      </c>
      <c r="N15">
        <f t="shared" si="2"/>
        <v>1</v>
      </c>
      <c r="P15">
        <f t="shared" si="3"/>
        <v>3</v>
      </c>
      <c r="R15" t="s">
        <v>845</v>
      </c>
      <c r="S15" s="7" cm="1">
        <f t="array" ref="S15">_xll.FDSZ($R15,"FG_PRICE(0)")</f>
        <v>392.14526000000001</v>
      </c>
      <c r="T15" s="7" cm="1">
        <f t="array" ref="T15">_xll.FDSZ($R15,"FG_PRICE(0)")</f>
        <v>392.14526000000001</v>
      </c>
      <c r="U15" s="7" cm="1">
        <f t="array" ref="U15">_xll.FDSZ($R15,"FG_PRICE(0)")</f>
        <v>392.14526000000001</v>
      </c>
      <c r="V15" s="7" cm="1">
        <f t="array" ref="V15">_xll.FDSZ($R15,"FG_PRICE(0)")</f>
        <v>392.14526000000001</v>
      </c>
    </row>
    <row r="16" spans="1:22" x14ac:dyDescent="0.35">
      <c r="A16" t="s">
        <v>273</v>
      </c>
      <c r="B16" t="str" cm="1">
        <f t="array" ref="B16">_xll.FDS(C16,"FG_COMPANY_NAME")</f>
        <v>iShares MSCI Sweden ETF</v>
      </c>
      <c r="C16" t="s">
        <v>864</v>
      </c>
      <c r="D16" t="s">
        <v>705</v>
      </c>
      <c r="E16" t="s">
        <v>864</v>
      </c>
      <c r="F16" s="9">
        <f>HLOOKUP(E16,'Monthly Returns'!$A$1:$AE$136,134,FALSE)</f>
        <v>0.38500000000000001</v>
      </c>
      <c r="G16" s="141" cm="1">
        <f t="array" ref="G16">_xll.FDSZ(C16,"FG_PRICE(0)")</f>
        <v>40.42</v>
      </c>
      <c r="H16" s="141" cm="1">
        <f t="array" ref="H16">_xll.FDSZ(C16,"FG_PRICE_MAVG(0,,,,30)")</f>
        <v>39.362499999999997</v>
      </c>
      <c r="I16" s="141" cm="1">
        <f t="array" ref="I16">_xll.FDSZ(C16,"FG_PRICE_MAVG(0,,,,60)")</f>
        <v>39.659584000000002</v>
      </c>
      <c r="J16" s="141" cm="1">
        <f t="array" ref="J16">_xll.FDSZ(C16,"FG_PRICE_MAVG(0,,,,200)")</f>
        <v>36.394950000000001</v>
      </c>
      <c r="L16">
        <f t="shared" si="0"/>
        <v>1</v>
      </c>
      <c r="M16">
        <f t="shared" si="1"/>
        <v>1</v>
      </c>
      <c r="N16">
        <f t="shared" si="2"/>
        <v>1</v>
      </c>
      <c r="P16">
        <f t="shared" si="3"/>
        <v>3</v>
      </c>
      <c r="R16" t="s">
        <v>845</v>
      </c>
      <c r="S16" s="7" cm="1">
        <f t="array" ref="S16">_xll.FDSZ($R16,"FG_PRICE(0)")</f>
        <v>392.14526000000001</v>
      </c>
      <c r="T16" s="7" cm="1">
        <f t="array" ref="T16">_xll.FDSZ($R16,"FG_PRICE(0)")</f>
        <v>392.14526000000001</v>
      </c>
      <c r="U16" s="7" cm="1">
        <f t="array" ref="U16">_xll.FDSZ($R16,"FG_PRICE(0)")</f>
        <v>392.14526000000001</v>
      </c>
      <c r="V16" s="7" cm="1">
        <f t="array" ref="V16">_xll.FDSZ($R16,"FG_PRICE(0)")</f>
        <v>392.14526000000001</v>
      </c>
    </row>
    <row r="17" spans="1:22" x14ac:dyDescent="0.35">
      <c r="A17" t="s">
        <v>868</v>
      </c>
      <c r="B17" t="str" cm="1">
        <f t="array" ref="B17">_xll.FDS(C17,"FG_COMPANY_NAME")</f>
        <v>iShares MSCI Italy ETF</v>
      </c>
      <c r="C17" t="s">
        <v>866</v>
      </c>
      <c r="D17" t="s">
        <v>641</v>
      </c>
      <c r="E17" t="s">
        <v>866</v>
      </c>
      <c r="F17" s="9">
        <f>HLOOKUP(E17,'Monthly Returns'!$A$1:$AE$136,134,FALSE)</f>
        <v>0.55700000000000005</v>
      </c>
      <c r="G17" s="141" cm="1">
        <f t="array" ref="G17">_xll.FDSZ(C17,"FG_PRICE(0)")</f>
        <v>37.89</v>
      </c>
      <c r="H17" s="141" cm="1">
        <f t="array" ref="H17">_xll.FDSZ(C17,"FG_PRICE_MAVG(0,,,,30)")</f>
        <v>36.951999999999998</v>
      </c>
      <c r="I17" s="141" cm="1">
        <f t="array" ref="I17">_xll.FDSZ(C17,"FG_PRICE_MAVG(0,,,,60)")</f>
        <v>36.650500000000001</v>
      </c>
      <c r="J17" s="141" cm="1">
        <f t="array" ref="J17">_xll.FDSZ(C17,"FG_PRICE_MAVG(0,,,,200)")</f>
        <v>33.4741</v>
      </c>
      <c r="L17">
        <f t="shared" si="0"/>
        <v>1</v>
      </c>
      <c r="M17">
        <f t="shared" si="1"/>
        <v>1</v>
      </c>
      <c r="N17">
        <f t="shared" si="2"/>
        <v>1</v>
      </c>
      <c r="P17">
        <f t="shared" si="3"/>
        <v>3</v>
      </c>
      <c r="R17" t="s">
        <v>845</v>
      </c>
      <c r="S17" s="7" cm="1">
        <f t="array" ref="S17">_xll.FDSZ($R17,"FG_PRICE(0)")</f>
        <v>392.14526000000001</v>
      </c>
      <c r="T17" s="7" cm="1">
        <f t="array" ref="T17">_xll.FDSZ($R17,"FG_PRICE(0)")</f>
        <v>392.14526000000001</v>
      </c>
      <c r="U17" s="7" cm="1">
        <f t="array" ref="U17">_xll.FDSZ($R17,"FG_PRICE(0)")</f>
        <v>392.14526000000001</v>
      </c>
      <c r="V17" s="7" cm="1">
        <f t="array" ref="V17">_xll.FDSZ($R17,"FG_PRICE(0)")</f>
        <v>392.14526000000001</v>
      </c>
    </row>
    <row r="19" spans="1:22" x14ac:dyDescent="0.35">
      <c r="K19" s="1" t="s">
        <v>906</v>
      </c>
      <c r="L19" s="1">
        <f>SUM(L5:L17)</f>
        <v>12</v>
      </c>
      <c r="M19" s="1">
        <f t="shared" ref="M19:N19" si="4">SUM(M5:M17)</f>
        <v>12</v>
      </c>
      <c r="N19" s="1">
        <f t="shared" si="4"/>
        <v>12</v>
      </c>
    </row>
    <row r="20" spans="1:22" x14ac:dyDescent="0.35">
      <c r="K20" s="1" t="s">
        <v>86</v>
      </c>
      <c r="L20" s="1">
        <f>COUNT(L5:L17)</f>
        <v>13</v>
      </c>
      <c r="M20" s="1">
        <f t="shared" ref="M20:N20" si="5">COUNT(M5:M17)</f>
        <v>13</v>
      </c>
      <c r="N20" s="1">
        <f t="shared" si="5"/>
        <v>13</v>
      </c>
    </row>
    <row r="21" spans="1:22" x14ac:dyDescent="0.35">
      <c r="K21" s="1"/>
      <c r="L21" s="1"/>
      <c r="M21" s="1"/>
      <c r="N21" s="1"/>
    </row>
    <row r="22" spans="1:22" x14ac:dyDescent="0.35">
      <c r="K22" s="1" t="s">
        <v>88</v>
      </c>
      <c r="L22" s="182">
        <f>L19/L20</f>
        <v>0.92307692307692313</v>
      </c>
      <c r="M22" s="182">
        <f t="shared" ref="M22:N22" si="6">M19/M20</f>
        <v>0.92307692307692313</v>
      </c>
      <c r="N22" s="182">
        <f t="shared" si="6"/>
        <v>0.92307692307692313</v>
      </c>
    </row>
    <row r="23" spans="1:22" x14ac:dyDescent="0.35">
      <c r="A23" t="s">
        <v>865</v>
      </c>
      <c r="B23" t="s">
        <v>869</v>
      </c>
      <c r="C23" t="str" cm="1">
        <f t="array" ref="C23">_xll.FDS(A23,"FG_COMPANY_NAME")</f>
        <v>iShares MSCI France ETF</v>
      </c>
      <c r="D23" t="s">
        <v>865</v>
      </c>
    </row>
    <row r="24" spans="1:22" x14ac:dyDescent="0.35">
      <c r="A24" t="s">
        <v>867</v>
      </c>
      <c r="B24" t="s">
        <v>870</v>
      </c>
      <c r="C24" t="str" cm="1">
        <f t="array" ref="C24">_xll.FDS(A24,"FG_COMPANY_NAME")</f>
        <v>iShares MSCI Netherlands ETF</v>
      </c>
      <c r="D24" t="s">
        <v>867</v>
      </c>
    </row>
    <row r="25" spans="1:22" x14ac:dyDescent="0.35">
      <c r="A25" t="s">
        <v>864</v>
      </c>
      <c r="B25" t="s">
        <v>273</v>
      </c>
      <c r="C25" t="str" cm="1">
        <f t="array" ref="C25">_xll.FDS(A25,"FG_COMPANY_NAME")</f>
        <v>iShares MSCI Sweden ETF</v>
      </c>
      <c r="D25" t="s">
        <v>864</v>
      </c>
    </row>
    <row r="26" spans="1:22" x14ac:dyDescent="0.35">
      <c r="A26" t="s">
        <v>866</v>
      </c>
      <c r="B26" t="s">
        <v>868</v>
      </c>
      <c r="C26" t="str" cm="1">
        <f t="array" ref="C26">_xll.FDS(A26,"FG_COMPANY_NAME")</f>
        <v>iShares MSCI Italy ETF</v>
      </c>
      <c r="D26" t="s">
        <v>866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topLeftCell="H1" workbookViewId="0">
      <selection activeCell="R5" sqref="R5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784</v>
      </c>
      <c r="C2" t="s">
        <v>785</v>
      </c>
      <c r="D2" t="s">
        <v>786</v>
      </c>
      <c r="E2" t="s">
        <v>787</v>
      </c>
      <c r="F2" t="s">
        <v>788</v>
      </c>
      <c r="G2" t="s">
        <v>789</v>
      </c>
      <c r="H2" t="s">
        <v>790</v>
      </c>
      <c r="I2" t="s">
        <v>791</v>
      </c>
      <c r="J2" t="s">
        <v>792</v>
      </c>
      <c r="S2" t="s">
        <v>793</v>
      </c>
    </row>
    <row r="3" spans="1:20" x14ac:dyDescent="0.35">
      <c r="A3" t="s">
        <v>794</v>
      </c>
      <c r="B3" t="s">
        <v>795</v>
      </c>
      <c r="C3" cm="1">
        <f t="array" ref="C3">_xll.FDS($A3,"FG_PRICE(0)")</f>
        <v>116.59</v>
      </c>
      <c r="D3" cm="1">
        <f t="array" ref="D3">_xll.FDS($A3,"FG_PRICE_MAVG(0,,,,30)")</f>
        <v>108.83667</v>
      </c>
      <c r="E3" s="47" cm="1">
        <f t="array" ref="E3">_xll.FDS($A3,"FG_PRICE_CHANGE(0,-1AM)")</f>
        <v>11.751174158918801</v>
      </c>
      <c r="F3" s="47" cm="1">
        <f t="array" ref="F3">_xll.FDS($A3,"FG_PRICE_CHANGE(0,-3AM)")</f>
        <v>-9.4446601941747605</v>
      </c>
      <c r="G3" s="47" cm="1">
        <f t="array" ref="G3">_xll.FDS($A3,"FG_PRICE_CHANGE(0,-6AM)")</f>
        <v>-8.4707175380750499</v>
      </c>
      <c r="H3" s="47" cm="1">
        <f t="array" ref="H3">_xll.FDS($A3,"FG_PRICE_CHANGE(0,-1AY)")</f>
        <v>9.93870815652995</v>
      </c>
      <c r="I3" s="47" cm="1">
        <f t="array" ref="I3">_xll.FDS($A3,"FG_PRICE(0)/MAX(FG_PRICE(0,-1AY))")</f>
        <v>0.80875416204217498</v>
      </c>
      <c r="J3" cm="1">
        <f t="array" ref="J3">_xll.FDS($A3,"MAX(FG_PRICE(0,-5AY))")</f>
        <v>219.77</v>
      </c>
      <c r="P3" t="s">
        <v>430</v>
      </c>
      <c r="Q3" t="s">
        <v>432</v>
      </c>
      <c r="R3" t="s">
        <v>430</v>
      </c>
      <c r="S3">
        <f>IF(E3&lt;$C$19, 1, IF(E3&gt;$C$20,-1,0))</f>
        <v>-1</v>
      </c>
      <c r="T3">
        <f>S3</f>
        <v>-1</v>
      </c>
    </row>
    <row r="4" spans="1:20" x14ac:dyDescent="0.35">
      <c r="A4" t="s">
        <v>796</v>
      </c>
      <c r="B4" t="s">
        <v>797</v>
      </c>
      <c r="C4" cm="1">
        <f t="array" ref="C4">_xll.FDS($A4,"FG_PRICE(0)")</f>
        <v>4.6074999999999999</v>
      </c>
      <c r="D4" cm="1">
        <f t="array" ref="D4">_xll.FDS($A4,"FG_PRICE_MAVG(0,,,,30)")</f>
        <v>4.3997663999999999</v>
      </c>
      <c r="E4" s="47" cm="1">
        <f t="array" ref="E4">_xll.FDS($A4,"FG_PRICE_CHANGE(0,-1AM)")</f>
        <v>7.5011665888940797</v>
      </c>
      <c r="F4" s="47" cm="1">
        <f t="array" ref="F4">_xll.FDS($A4,"FG_PRICE_CHANGE(0,-3AM)")</f>
        <v>25</v>
      </c>
      <c r="G4" s="47" cm="1">
        <f t="array" ref="G4">_xll.FDS($A4,"FG_PRICE_CHANGE(0,-6AM)")</f>
        <v>26.753782668500701</v>
      </c>
      <c r="H4" s="47" cm="1">
        <f t="array" ref="H4">_xll.FDS($A4,"FG_PRICE_CHANGE(0,-1AY)")</f>
        <v>18.475186423245098</v>
      </c>
      <c r="I4" s="47" cm="1">
        <f t="array" ref="I4">_xll.FDS($A4,"FG_PRICE(0)/MAX(FG_PRICE(0,-1AY))")</f>
        <v>0.98894612577806396</v>
      </c>
      <c r="J4" cm="1">
        <f t="array" ref="J4">_xll.FDS($A4,"MAX(FG_PRICE(0,-5AY))")</f>
        <v>4.9290000000000003</v>
      </c>
      <c r="P4" t="s">
        <v>27</v>
      </c>
      <c r="Q4" t="s">
        <v>433</v>
      </c>
      <c r="R4" t="s">
        <v>27</v>
      </c>
      <c r="S4">
        <f>IF(E4&lt;$C$19, 1, IF(E4&gt;$C$20,-1,0))</f>
        <v>0</v>
      </c>
      <c r="T4">
        <f t="shared" ref="T4:T5" si="0">S4</f>
        <v>0</v>
      </c>
    </row>
    <row r="5" spans="1:20" x14ac:dyDescent="0.35">
      <c r="A5" t="s">
        <v>798</v>
      </c>
      <c r="B5" t="s">
        <v>457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2.2386282448202</v>
      </c>
      <c r="H5" s="47" cm="1">
        <f t="array" ref="H5">_xll.FDS($A5,"FG_PRICE_CHANGE(0,-1AY)")</f>
        <v>11.622464898595901</v>
      </c>
      <c r="I5" s="47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434</v>
      </c>
      <c r="R5" t="s">
        <v>35</v>
      </c>
      <c r="S5">
        <f>IF(E9&lt;$C$19, 1, IF(E9&gt;$C$20,-1,0))</f>
        <v>0</v>
      </c>
      <c r="T5">
        <f t="shared" si="0"/>
        <v>0</v>
      </c>
    </row>
    <row r="6" spans="1:20" x14ac:dyDescent="0.35">
      <c r="A6" t="s">
        <v>799</v>
      </c>
      <c r="B6" t="s">
        <v>800</v>
      </c>
      <c r="C6" cm="1">
        <f t="array" ref="C6">_xll.FDS($A6,"FG_PRICE(0)")</f>
        <v>6.1974999999999998</v>
      </c>
      <c r="D6" cm="1">
        <f t="array" ref="D6">_xll.FDS($A6,"FG_PRICE_MAVG(0,,,,30)")</f>
        <v>5.7515000000000001</v>
      </c>
      <c r="E6" s="47" cm="1">
        <f t="array" ref="E6">_xll.FDS($A6,"FG_PRICE_CHANGE(0,-1AM)")</f>
        <v>11.116091438816699</v>
      </c>
      <c r="F6" s="47" cm="1">
        <f t="array" ref="F6">_xll.FDS($A6,"FG_PRICE_CHANGE(0,-3AM)")</f>
        <v>3.8542103058231998</v>
      </c>
      <c r="G6" s="47" cm="1">
        <f t="array" ref="G6">_xll.FDS($A6,"FG_PRICE_CHANGE(0,-6AM)")</f>
        <v>6.7154541541110602</v>
      </c>
      <c r="H6" s="47" cm="1">
        <f t="array" ref="H6">_xll.FDS($A6,"FG_PRICE_CHANGE(0,-1AY)")</f>
        <v>-1.70499603489294</v>
      </c>
      <c r="I6" s="47" cm="1">
        <f t="array" ref="I6">_xll.FDS($A6,"FG_PRICE(0)/MAX(FG_PRICE(0,-1AY))")</f>
        <v>0.81519237093061503</v>
      </c>
      <c r="J6" cm="1">
        <f t="array" ref="J6">_xll.FDS($A6,"MAX(FG_PRICE(0,-5AY))")</f>
        <v>14.2525</v>
      </c>
      <c r="P6" t="s">
        <v>30</v>
      </c>
      <c r="Q6" t="s">
        <v>435</v>
      </c>
      <c r="R6" t="s">
        <v>30</v>
      </c>
    </row>
    <row r="7" spans="1:20" x14ac:dyDescent="0.35">
      <c r="A7" t="s">
        <v>801</v>
      </c>
      <c r="B7" t="s">
        <v>802</v>
      </c>
      <c r="C7" cm="1">
        <f t="array" ref="C7">_xll.FDS($A7,"FG_PRICE(0)")</f>
        <v>3923</v>
      </c>
      <c r="D7" cm="1">
        <f t="array" ref="D7">_xll.FDS($A7,"FG_PRICE_MAVG(0,,,,30)")</f>
        <v>4188.8999999999996</v>
      </c>
      <c r="E7" s="47" cm="1">
        <f t="array" ref="E7">_xll.FDS($A7,"FG_PRICE_CHANGE(0,-1AM)")</f>
        <v>-13.150321009519599</v>
      </c>
      <c r="F7" s="47" cm="1">
        <f t="array" ref="F7">_xll.FDS($A7,"FG_PRICE_CHANGE(0,-3AM)")</f>
        <v>7.6530612244907203E-2</v>
      </c>
      <c r="G7" s="47" cm="1">
        <f t="array" ref="G7">_xll.FDS($A7,"FG_PRICE_CHANGE(0,-6AM)")</f>
        <v>8.3701657458563599</v>
      </c>
      <c r="H7" s="47" cm="1">
        <f t="array" ref="H7">_xll.FDS($A7,"FG_PRICE_CHANGE(0,-1AY)")</f>
        <v>-3.1358024691358102</v>
      </c>
      <c r="I7" s="47" cm="1">
        <f t="array" ref="I7">_xll.FDS($A7,"FG_PRICE(0)/MAX(FG_PRICE(0,-1AY))")</f>
        <v>0.85673727888185203</v>
      </c>
      <c r="J7" cm="1">
        <f t="array" ref="J7">_xll.FDS($A7,"MAX(FG_PRICE(0,-5AY))")</f>
        <v>8163</v>
      </c>
      <c r="P7" t="s">
        <v>23</v>
      </c>
      <c r="Q7" t="s">
        <v>436</v>
      </c>
      <c r="R7" t="s">
        <v>23</v>
      </c>
    </row>
    <row r="8" spans="1:20" x14ac:dyDescent="0.35">
      <c r="A8" t="s">
        <v>803</v>
      </c>
      <c r="B8" t="s">
        <v>804</v>
      </c>
      <c r="C8" cm="1">
        <f t="array" ref="C8">_xll.FDS($A8,"FG_PRICE(0)")</f>
        <v>972</v>
      </c>
      <c r="D8" cm="1">
        <f t="array" ref="D8">_xll.FDS($A8,"FG_PRICE_MAVG(0,,,,30)")</f>
        <v>949.2</v>
      </c>
      <c r="E8" s="47" cm="1">
        <f t="array" ref="E8">_xll.FDS($A8,"FG_PRICE_CHANGE(0,-1AM)")</f>
        <v>-1.3197969543147201</v>
      </c>
      <c r="F8" s="47" cm="1">
        <f t="array" ref="F8">_xll.FDS($A8,"FG_PRICE_CHANGE(0,-3AM)")</f>
        <v>9.8305084745762699</v>
      </c>
      <c r="G8" s="47" cm="1">
        <f t="array" ref="G8">_xll.FDS($A8,"FG_PRICE_CHANGE(0,-6AM)")</f>
        <v>11.340206185567</v>
      </c>
      <c r="H8" s="47" cm="1">
        <f t="array" ref="H8">_xll.FDS($A8,"FG_PRICE_CHANGE(0,-1AY)")</f>
        <v>-10.989010989011</v>
      </c>
      <c r="I8" s="47" cm="1">
        <f t="array" ref="I8">_xll.FDS($A8,"FG_PRICE(0)/MAX(FG_PRICE(0,-1AY))")</f>
        <v>0.86017699115044199</v>
      </c>
      <c r="J8" cm="1">
        <f t="array" ref="J8">_xll.FDS($A8,"MAX(FG_PRICE(0,-5AY))")</f>
        <v>1272.5899999999999</v>
      </c>
      <c r="P8" t="s">
        <v>29</v>
      </c>
      <c r="Q8" t="s">
        <v>437</v>
      </c>
      <c r="R8" t="s">
        <v>29</v>
      </c>
    </row>
    <row r="9" spans="1:20" x14ac:dyDescent="0.35">
      <c r="A9" t="s">
        <v>805</v>
      </c>
      <c r="B9" t="s">
        <v>806</v>
      </c>
      <c r="C9" cm="1">
        <f t="array" ref="C9">_xll.FDS($A9,"FG_PRICE(0)")</f>
        <v>18625</v>
      </c>
      <c r="D9" cm="1">
        <f t="array" ref="D9">_xll.FDS($A9,"FG_PRICE_MAVG(0,,,,30)")</f>
        <v>18171.5</v>
      </c>
      <c r="E9" s="47" cm="1">
        <f t="array" ref="E9">_xll.FDS($A9,"FG_PRICE_CHANGE(0,-1AM)")</f>
        <v>4.7525309336332997</v>
      </c>
      <c r="F9" s="47" cm="1">
        <f t="array" ref="F9">_xll.FDS($A9,"FG_PRICE_CHANGE(0,-3AM)")</f>
        <v>18.441971383147798</v>
      </c>
      <c r="G9" s="47" cm="1">
        <f t="array" ref="G9">_xll.FDS($A9,"FG_PRICE_CHANGE(0,-6AM)")</f>
        <v>5.5240793201133203</v>
      </c>
      <c r="H9" s="47" cm="1">
        <f t="array" ref="H9">_xll.FDS($A9,"FG_PRICE_CHANGE(0,-1AY)")</f>
        <v>-22.168825741746801</v>
      </c>
      <c r="I9" s="47" cm="1">
        <f t="array" ref="I9">_xll.FDS($A9,"FG_PRICE(0)/MAX(FG_PRICE(0,-1AY))")</f>
        <v>0.778311742582532</v>
      </c>
      <c r="J9" cm="1">
        <f t="array" ref="J9">_xll.FDS($A9,"MAX(FG_PRICE(0,-5AY))")</f>
        <v>48241</v>
      </c>
      <c r="P9" t="s">
        <v>33</v>
      </c>
      <c r="Q9" t="s">
        <v>438</v>
      </c>
      <c r="R9" t="s">
        <v>33</v>
      </c>
      <c r="S9">
        <f>IF(E7&lt;$C$19, 1, IF(E7&gt;$C$20,-1,0))</f>
        <v>1</v>
      </c>
      <c r="T9">
        <f t="shared" ref="T9" si="1">S9</f>
        <v>1</v>
      </c>
    </row>
    <row r="10" spans="1:20" x14ac:dyDescent="0.35">
      <c r="A10" t="s">
        <v>807</v>
      </c>
      <c r="B10" t="s">
        <v>808</v>
      </c>
      <c r="C10" cm="1">
        <f t="array" ref="C10">_xll.FDS($A10,"FG_PRICE(0)")</f>
        <v>960</v>
      </c>
      <c r="D10" cm="1">
        <f t="array" ref="D10">_xll.FDS($A10,"FG_PRICE_MAVG(0,,,,30)")</f>
        <v>1012.23334</v>
      </c>
      <c r="E10" s="47" cm="1">
        <f t="array" ref="E10">_xll.FDS($A10,"FG_PRICE_CHANGE(0,-1AM)")</f>
        <v>-11.1111111111111</v>
      </c>
      <c r="F10" s="47" cm="1">
        <f t="array" ref="F10">_xll.FDS($A10,"FG_PRICE_CHANGE(0,-3AM)")</f>
        <v>7.8651685393258397</v>
      </c>
      <c r="G10" s="47" cm="1">
        <f t="array" ref="G10">_xll.FDS($A10,"FG_PRICE_CHANGE(0,-6AM)")</f>
        <v>-7.6923076923076898</v>
      </c>
      <c r="H10" s="47" cm="1">
        <f t="array" ref="H10">_xll.FDS($A10,"FG_PRICE_CHANGE(0,-1AY)")</f>
        <v>-39.432176656151398</v>
      </c>
      <c r="I10" s="47" cm="1">
        <f t="array" ref="I10">_xll.FDS($A10,"FG_PRICE(0)/MAX(FG_PRICE(0,-1AY))")</f>
        <v>0.58787507654623405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809</v>
      </c>
      <c r="C11" cm="1">
        <f t="array" ref="C11">_xll.FDS($A11,"FG_PRICE(0)")</f>
        <v>575.6</v>
      </c>
      <c r="D11" cm="1">
        <f t="array" ref="D11">_xll.FDS($A11,"FG_PRICE_MAVG(0,,,,30)")</f>
        <v>598.02</v>
      </c>
      <c r="E11" s="47" cm="1">
        <f t="array" ref="E11">_xll.FDS($A11,"FG_PRICE_CHANGE(0,-1AM)")</f>
        <v>-9.2256741838826706</v>
      </c>
      <c r="F11" s="47" cm="1">
        <f t="array" ref="F11">_xll.FDS($A11,"FG_PRICE_CHANGE(0,-3AM)")</f>
        <v>-13.5086401202104</v>
      </c>
      <c r="G11" s="47" cm="1">
        <f t="array" ref="G11">_xll.FDS($A11,"FG_PRICE_CHANGE(0,-6AM)")</f>
        <v>-23.922812582606401</v>
      </c>
      <c r="H11" s="47" cm="1">
        <f t="array" ref="H11">_xll.FDS($A11,"FG_PRICE_CHANGE(0,-1AY)")</f>
        <v>-18.826681709208898</v>
      </c>
      <c r="I11" s="47" cm="1">
        <f t="array" ref="I11">_xll.FDS($A11,"FG_PRICE(0)/MAX(FG_PRICE(0,-1AY))")</f>
        <v>0.75399528425465001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810</v>
      </c>
      <c r="B12" t="s">
        <v>811</v>
      </c>
      <c r="C12" cm="1">
        <f t="array" ref="C12">_xll.FDS($A12,"FG_PRICE(0)")</f>
        <v>0.96773726000000004</v>
      </c>
      <c r="D12" cm="1">
        <f t="array" ref="D12">_xll.FDS($A12,"FG_PRICE_MAVG(0,,,,30)")</f>
        <v>0.96727110000000005</v>
      </c>
      <c r="E12" s="47" cm="1">
        <f t="array" ref="E12">_xll.FDS($A12,"FG_PRICE_CHANGE(0,-1AM)")</f>
        <v>-0.328494416725789</v>
      </c>
      <c r="F12" s="47" cm="1">
        <f t="array" ref="F12">_xll.FDS($A12,"FG_PRICE_CHANGE(0,-3AM)")</f>
        <v>-0.34842623611539603</v>
      </c>
      <c r="G12" s="47" cm="1">
        <f t="array" ref="G12">_xll.FDS($A12,"FG_PRICE_CHANGE(0,-6AM)")</f>
        <v>-6.7484862509661303</v>
      </c>
      <c r="H12" s="47" cm="1">
        <f t="array" ref="H12">_xll.FDS($A12,"FG_PRICE_CHANGE(0,-1AY)")</f>
        <v>-8.7326607455679994</v>
      </c>
      <c r="I12" s="47" cm="1">
        <f t="array" ref="I12">_xll.FDS($A12,"FG_PRICE(0)/MAX(FG_PRICE(0,-1AY))")</f>
        <v>0.91267339254432001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1, IF(E3&gt;$C$20,-1,0))</f>
        <v>-1</v>
      </c>
      <c r="T13">
        <f t="shared" ref="T13:T23" si="2">S13</f>
        <v>-1</v>
      </c>
    </row>
    <row r="14" spans="1:20" x14ac:dyDescent="0.35">
      <c r="P14" t="s">
        <v>22</v>
      </c>
      <c r="Q14" t="s">
        <v>439</v>
      </c>
      <c r="R14" t="s">
        <v>22</v>
      </c>
    </row>
    <row r="15" spans="1:20" x14ac:dyDescent="0.35">
      <c r="P15" t="s">
        <v>28</v>
      </c>
      <c r="Q15" t="s">
        <v>440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1, IF(E5&gt;$C$20,-1,0))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441</v>
      </c>
      <c r="R18" t="s">
        <v>31</v>
      </c>
    </row>
    <row r="19" spans="2:20" x14ac:dyDescent="0.35">
      <c r="B19" t="s">
        <v>813</v>
      </c>
      <c r="C19" s="53">
        <v>-5</v>
      </c>
      <c r="P19" s="1" t="s">
        <v>744</v>
      </c>
      <c r="Q19" s="1" t="s">
        <v>745</v>
      </c>
      <c r="R19" s="1" t="s">
        <v>744</v>
      </c>
    </row>
    <row r="20" spans="2:20" x14ac:dyDescent="0.35">
      <c r="B20" t="s">
        <v>814</v>
      </c>
      <c r="C20" s="53">
        <v>10</v>
      </c>
      <c r="P20" t="s">
        <v>25</v>
      </c>
      <c r="Q20" t="s">
        <v>442</v>
      </c>
      <c r="R20" t="s">
        <v>25</v>
      </c>
    </row>
    <row r="21" spans="2:20" x14ac:dyDescent="0.35">
      <c r="P21" t="s">
        <v>34</v>
      </c>
      <c r="Q21" t="s">
        <v>443</v>
      </c>
      <c r="R21" t="s">
        <v>34</v>
      </c>
      <c r="S21" s="1"/>
    </row>
    <row r="22" spans="2:20" x14ac:dyDescent="0.35">
      <c r="P22" t="s">
        <v>37</v>
      </c>
      <c r="Q22" t="s">
        <v>444</v>
      </c>
      <c r="R22" t="s">
        <v>37</v>
      </c>
    </row>
    <row r="23" spans="2:20" x14ac:dyDescent="0.35">
      <c r="P23" t="s">
        <v>36</v>
      </c>
      <c r="Q23" t="s">
        <v>445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431</v>
      </c>
      <c r="Q24" t="s">
        <v>446</v>
      </c>
      <c r="R24" t="s">
        <v>431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447</v>
      </c>
      <c r="R30" t="s">
        <v>48</v>
      </c>
    </row>
    <row r="31" spans="2:20" x14ac:dyDescent="0.35">
      <c r="P31" t="s">
        <v>51</v>
      </c>
      <c r="Q31" t="s">
        <v>448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Y127"/>
  <sheetViews>
    <sheetView topLeftCell="A121" workbookViewId="0">
      <selection activeCell="N127" sqref="N127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_xll.FDS(B1,"JULIAN(FMA_DIV_YLD(LTMA,-10AY,0,AM,""PORTAGG"",""MEANR"").dates)")</f>
        <v>41768</v>
      </c>
      <c r="B2" s="3" cm="1">
        <f t="array" ref="B2:B122">_xll.FDS(B1,"FMA_PE(LTMA,-10AY,0,AM,""PORTAGG"",""MEANR"")")</f>
        <v>18.012446399680599</v>
      </c>
      <c r="C2" s="3" cm="1">
        <f t="array" ref="C2:C122">_xll.FDS(C1,"FMA_PE(LTMA,-10AY,0,AM,""PORTAGG"",""MEANR"")")</f>
        <v>15.2140957094035</v>
      </c>
      <c r="D2" s="3" cm="1">
        <f t="array" ref="D2:D122">_xll.FDS(D1,"FMA_PE(LTMA,-10AY,0,AM,""PORTAGG"",""MEANR"")")</f>
        <v>16.242258858257902</v>
      </c>
      <c r="E2" s="3" cm="1">
        <f t="array" ref="E2:E122">_xll.FDS(E1,"FMA_PE(LTMA,-10AY,0,AM,""PORTAGG"",""MEANR"")")</f>
        <v>14.599836795730701</v>
      </c>
      <c r="F2" s="3" cm="1">
        <f t="array" ref="F2:F122">_xll.FDS(F1,"FMA_PE(LTMA,-10AY,0,AM,""PORTAGG"",""MEANR"")")</f>
        <v>15.1688181548055</v>
      </c>
      <c r="G2" s="3" cm="1">
        <f t="array" ref="G2:G122">_xll.FDS(G1,"FMA_PE(LTMA,-10AY,0,AM,""PORTAGG"",""MEANR"")")</f>
        <v>17.147510423644398</v>
      </c>
      <c r="H2" s="3" cm="1">
        <f t="array" ref="H2:H122">_xll.FDS(H1,"FMA_PE(LTMA,-10AY,0,AM,""PORTAGG"",""MEANR"")")</f>
        <v>14.3859734416984</v>
      </c>
      <c r="I2" s="3" cm="1">
        <f t="array" ref="I2:I122">_xll.FDS(I1,"FMA_PE(LTMA,-10AY,0,AM,""PORTAGG"",""MEANR"")")</f>
        <v>18.683179805962101</v>
      </c>
      <c r="J2" s="3" cm="1">
        <f t="array" ref="J2:J122">_xll.FDS(J1,"FMA_PE(LTMA,-10AY,0,AM,""PORTAGG"",""MEANR"")")</f>
        <v>16.2035090824088</v>
      </c>
      <c r="K2" s="3" cm="1">
        <f t="array" ref="K2:K122">_xll.FDS(K1,"FMA_PE(LTMA,-10AY,0,AM,""PORTAGG"",""MEANR"")")</f>
        <v>15.8082287657263</v>
      </c>
      <c r="L2" s="3" cm="1">
        <f t="array" ref="L2:L122">_xll.FDS(L1,"FMA_PE(LTMA,-10AY,0,AM,""PORTAGG"",""MEANR"")")</f>
        <v>16.8531231483305</v>
      </c>
      <c r="M2" s="3" cm="1">
        <f t="array" ref="M2:M122">_xll.FDS(M1,"FMA_PE(LTMA,-10AY,0,AM,""PORTAGG"",""MEANR"")")</f>
        <v>15.476945962359499</v>
      </c>
      <c r="N2" s="3" cm="1">
        <f t="array" ref="N2:N122">_xll.FDS(N1,"FMA_PE(LTMA,-10AY,0,AM,""PORTAGG"",""MEANR"")")</f>
        <v>17.0669320017407</v>
      </c>
    </row>
    <row r="3" spans="1:14" x14ac:dyDescent="0.35">
      <c r="A3" s="2">
        <v>41799</v>
      </c>
      <c r="B3" s="3">
        <v>17.984819116325099</v>
      </c>
      <c r="C3" s="3">
        <v>15.161686200864199</v>
      </c>
      <c r="D3" s="3">
        <v>16.202235687499901</v>
      </c>
      <c r="E3" s="3">
        <v>14.730187822553001</v>
      </c>
      <c r="F3" s="3">
        <v>15.310252090379601</v>
      </c>
      <c r="G3" s="3">
        <v>17.2038752285019</v>
      </c>
      <c r="H3" s="3">
        <v>14.4113987828792</v>
      </c>
      <c r="I3" s="3">
        <v>18.993914064316201</v>
      </c>
      <c r="J3" s="3">
        <v>16.374512004252299</v>
      </c>
      <c r="K3" s="3">
        <v>15.938104116232999</v>
      </c>
      <c r="L3" s="3">
        <v>16.914349090916399</v>
      </c>
      <c r="M3" s="3">
        <v>15.7981718444561</v>
      </c>
      <c r="N3" s="3">
        <v>17.436910456207698</v>
      </c>
    </row>
    <row r="4" spans="1:14" x14ac:dyDescent="0.35">
      <c r="A4" s="2">
        <v>41829</v>
      </c>
      <c r="B4" s="3">
        <v>17.9556627339154</v>
      </c>
      <c r="C4" s="3">
        <v>15.2409396772482</v>
      </c>
      <c r="D4" s="3">
        <v>16.324560095018601</v>
      </c>
      <c r="E4" s="3">
        <v>14.5085497177005</v>
      </c>
      <c r="F4" s="3">
        <v>15.2918251124636</v>
      </c>
      <c r="G4" s="3">
        <v>17.096189527304499</v>
      </c>
      <c r="H4" s="3">
        <v>14.292601740291101</v>
      </c>
      <c r="I4" s="3">
        <v>19.120541389078198</v>
      </c>
      <c r="J4" s="3">
        <v>16.4345313963655</v>
      </c>
      <c r="K4" s="3">
        <v>15.525538152053601</v>
      </c>
      <c r="L4" s="3">
        <v>16.672277901259399</v>
      </c>
      <c r="M4" s="3">
        <v>15.804605720265</v>
      </c>
      <c r="N4" s="3">
        <v>17.201234526180102</v>
      </c>
    </row>
    <row r="5" spans="1:14" x14ac:dyDescent="0.35">
      <c r="A5" s="2">
        <v>41859</v>
      </c>
      <c r="B5" s="3">
        <v>17.814055445232501</v>
      </c>
      <c r="C5" s="3">
        <v>15.163751884662799</v>
      </c>
      <c r="D5" s="3">
        <v>16.234254375736601</v>
      </c>
      <c r="E5" s="3">
        <v>13.860322062199501</v>
      </c>
      <c r="F5" s="3">
        <v>14.818903289439</v>
      </c>
      <c r="G5" s="3">
        <v>16.9437560317559</v>
      </c>
      <c r="H5" s="3">
        <v>14.0598319107142</v>
      </c>
      <c r="I5" s="3">
        <v>18.910092767469099</v>
      </c>
      <c r="J5" s="3">
        <v>16.1588884981917</v>
      </c>
      <c r="K5" s="3">
        <v>15.041763927187599</v>
      </c>
      <c r="L5" s="3">
        <v>16.061394306495799</v>
      </c>
      <c r="M5" s="3">
        <v>15.6603574981335</v>
      </c>
      <c r="N5" s="3">
        <v>16.591183853368602</v>
      </c>
    </row>
    <row r="6" spans="1:14" x14ac:dyDescent="0.35">
      <c r="A6" s="2">
        <v>41891</v>
      </c>
      <c r="B6" s="3">
        <v>17.97102129009</v>
      </c>
      <c r="C6" s="3">
        <v>15.448258497523099</v>
      </c>
      <c r="D6" s="3">
        <v>16.433490738475101</v>
      </c>
      <c r="E6" s="3">
        <v>14.3402558399493</v>
      </c>
      <c r="F6" s="3">
        <v>15.1418561000482</v>
      </c>
      <c r="G6" s="3">
        <v>17.4543195425737</v>
      </c>
      <c r="H6" s="3">
        <v>14.1673160617142</v>
      </c>
      <c r="I6" s="3">
        <v>19.374019475830199</v>
      </c>
      <c r="J6" s="3">
        <v>16.472246679118602</v>
      </c>
      <c r="K6" s="3">
        <v>15.529279079992801</v>
      </c>
      <c r="L6" s="3">
        <v>16.765533036803699</v>
      </c>
      <c r="M6" s="3">
        <v>15.833295652999199</v>
      </c>
      <c r="N6" s="3">
        <v>17.975775823031299</v>
      </c>
    </row>
    <row r="7" spans="1:14" x14ac:dyDescent="0.35">
      <c r="A7" s="2">
        <v>41921</v>
      </c>
      <c r="B7" s="3">
        <v>17.958160806145901</v>
      </c>
      <c r="C7" s="3">
        <v>14.823626025970499</v>
      </c>
      <c r="D7" s="3">
        <v>15.552797967174399</v>
      </c>
      <c r="E7" s="3">
        <v>13.508733065989601</v>
      </c>
      <c r="F7" s="3">
        <v>14.8567861502095</v>
      </c>
      <c r="G7" s="3">
        <v>16.830247057915599</v>
      </c>
      <c r="H7" s="3">
        <v>13.6097830230502</v>
      </c>
      <c r="I7" s="3">
        <v>19.026361269777698</v>
      </c>
      <c r="J7" s="3">
        <v>16.118099227873198</v>
      </c>
      <c r="K7" s="3">
        <v>14.7143551136142</v>
      </c>
      <c r="L7" s="3">
        <v>16.259290845221599</v>
      </c>
      <c r="M7" s="3">
        <v>15.3985527326239</v>
      </c>
      <c r="N7" s="3">
        <v>16.6998252092705</v>
      </c>
    </row>
    <row r="8" spans="1:14" x14ac:dyDescent="0.35">
      <c r="A8" s="2">
        <v>41950</v>
      </c>
      <c r="B8" s="3">
        <v>18.497988265559599</v>
      </c>
      <c r="C8" s="3">
        <v>15.3197001559365</v>
      </c>
      <c r="D8" s="3">
        <v>15.6780769913796</v>
      </c>
      <c r="E8" s="3">
        <v>13.7081942695499</v>
      </c>
      <c r="F8" s="3">
        <v>15.6360040351016</v>
      </c>
      <c r="G8" s="3">
        <v>17.279448245801699</v>
      </c>
      <c r="H8" s="3">
        <v>13.833105787805</v>
      </c>
      <c r="I8" s="3">
        <v>19.7512945585278</v>
      </c>
      <c r="J8" s="3">
        <v>16.835896019990098</v>
      </c>
      <c r="K8" s="3">
        <v>14.834006430256901</v>
      </c>
      <c r="L8" s="3">
        <v>17.078156025084802</v>
      </c>
      <c r="M8" s="3">
        <v>16.6450859233152</v>
      </c>
      <c r="N8" s="3">
        <v>17.160740135913901</v>
      </c>
    </row>
    <row r="9" spans="1:14" x14ac:dyDescent="0.35">
      <c r="A9" s="2">
        <v>41982</v>
      </c>
      <c r="B9" s="3">
        <v>19.054184246094501</v>
      </c>
      <c r="C9" s="3">
        <v>14.350987598745601</v>
      </c>
      <c r="D9" s="3">
        <v>15.287022295756801</v>
      </c>
      <c r="E9" s="3">
        <v>14.324430831600701</v>
      </c>
      <c r="F9" s="3">
        <v>16.1178121258245</v>
      </c>
      <c r="G9" s="3">
        <v>17.3943228057054</v>
      </c>
      <c r="H9" s="3">
        <v>13.7226186339223</v>
      </c>
      <c r="I9" s="3">
        <v>20.3665984808645</v>
      </c>
      <c r="J9" s="3">
        <v>17.116914632428301</v>
      </c>
      <c r="K9" s="3">
        <v>15.0951567932663</v>
      </c>
      <c r="L9" s="3">
        <v>17.5340766263026</v>
      </c>
      <c r="M9" s="3">
        <v>17.359548969431199</v>
      </c>
      <c r="N9" s="3">
        <v>18.338119128594101</v>
      </c>
    </row>
    <row r="10" spans="1:14" x14ac:dyDescent="0.35">
      <c r="A10" s="2">
        <v>42013</v>
      </c>
      <c r="B10" s="3">
        <v>19.2938661591459</v>
      </c>
      <c r="C10" s="3">
        <v>14.9696334262436</v>
      </c>
      <c r="D10" s="3">
        <v>15.3376035407089</v>
      </c>
      <c r="E10" s="3">
        <v>14.0789368329184</v>
      </c>
      <c r="F10" s="3">
        <v>15.562590144006499</v>
      </c>
      <c r="G10" s="3">
        <v>17.2204408039944</v>
      </c>
      <c r="H10" s="3">
        <v>13.477067340513299</v>
      </c>
      <c r="I10" s="3">
        <v>19.946715321454398</v>
      </c>
      <c r="J10" s="3">
        <v>17.1803597250845</v>
      </c>
      <c r="K10" s="3">
        <v>14.7245678776234</v>
      </c>
      <c r="L10" s="3">
        <v>17.316934398598601</v>
      </c>
      <c r="M10" s="3">
        <v>17.350184584236501</v>
      </c>
      <c r="N10" s="3">
        <v>17.984734061112899</v>
      </c>
    </row>
    <row r="11" spans="1:14" x14ac:dyDescent="0.35">
      <c r="A11" s="2">
        <v>42044</v>
      </c>
      <c r="B11" s="3">
        <v>19.888558147425002</v>
      </c>
      <c r="C11" s="3">
        <v>15.868543119092299</v>
      </c>
      <c r="D11" s="3">
        <v>16.3432314204729</v>
      </c>
      <c r="E11" s="3">
        <v>15.399611084952401</v>
      </c>
      <c r="F11" s="3">
        <v>15.711223248586901</v>
      </c>
      <c r="G11" s="3">
        <v>17.172192036716801</v>
      </c>
      <c r="H11" s="3">
        <v>14.472408414519601</v>
      </c>
      <c r="I11" s="3">
        <v>19.6724000461172</v>
      </c>
      <c r="J11" s="3">
        <v>17.1323502599503</v>
      </c>
      <c r="K11" s="3">
        <v>16.263191507506399</v>
      </c>
      <c r="L11" s="3">
        <v>18.477345019753599</v>
      </c>
      <c r="M11" s="3">
        <v>18.917563943117301</v>
      </c>
      <c r="N11" s="3">
        <v>25.196404035396402</v>
      </c>
    </row>
    <row r="12" spans="1:14" x14ac:dyDescent="0.35">
      <c r="A12" s="2">
        <v>42072</v>
      </c>
      <c r="B12" s="3">
        <v>20.4993947355674</v>
      </c>
      <c r="C12" s="3">
        <v>16.160916143002598</v>
      </c>
      <c r="D12" s="3">
        <v>16.990403947410101</v>
      </c>
      <c r="E12" s="3">
        <v>16.4843134318001</v>
      </c>
      <c r="F12" s="3">
        <v>16.9001047264554</v>
      </c>
      <c r="G12" s="3">
        <v>17.950288286662701</v>
      </c>
      <c r="H12" s="3">
        <v>15.1786690474918</v>
      </c>
      <c r="I12" s="3">
        <v>20.690714734815501</v>
      </c>
      <c r="J12" s="3">
        <v>17.543564128232401</v>
      </c>
      <c r="K12" s="3">
        <v>17.5215945147316</v>
      </c>
      <c r="L12" s="3">
        <v>20.0973690331756</v>
      </c>
      <c r="M12" s="3">
        <v>20.1536880982346</v>
      </c>
      <c r="N12" s="3">
        <v>44.416892777532297</v>
      </c>
    </row>
    <row r="13" spans="1:14" x14ac:dyDescent="0.35">
      <c r="A13" s="2">
        <v>42103</v>
      </c>
      <c r="B13" s="3">
        <v>20.209527511595599</v>
      </c>
      <c r="C13" s="3">
        <v>16.326342639809301</v>
      </c>
      <c r="D13" s="3">
        <v>17.229246803751099</v>
      </c>
      <c r="E13" s="3">
        <v>16.568301470285299</v>
      </c>
      <c r="F13" s="3">
        <v>16.928540645662501</v>
      </c>
      <c r="G13" s="3">
        <v>18.172371178555</v>
      </c>
      <c r="H13" s="3">
        <v>15.4081939714552</v>
      </c>
      <c r="I13" s="3">
        <v>20.4977387415972</v>
      </c>
      <c r="J13" s="3">
        <v>17.5339422229993</v>
      </c>
      <c r="K13" s="3">
        <v>17.696277897849399</v>
      </c>
      <c r="L13" s="3">
        <v>19.979591966486399</v>
      </c>
      <c r="M13" s="3">
        <v>19.903126832479799</v>
      </c>
      <c r="N13" s="3">
        <v>41.721269499810603</v>
      </c>
    </row>
    <row r="14" spans="1:14" x14ac:dyDescent="0.35">
      <c r="A14" s="2">
        <v>42132</v>
      </c>
      <c r="B14" s="3">
        <v>20.0486370879803</v>
      </c>
      <c r="C14" s="3">
        <v>16.171792662089</v>
      </c>
      <c r="D14" s="3">
        <v>17.337281623929201</v>
      </c>
      <c r="E14" s="3">
        <v>16.221101033600799</v>
      </c>
      <c r="F14" s="3">
        <v>16.8777776509109</v>
      </c>
      <c r="G14" s="3">
        <v>18.019671532742802</v>
      </c>
      <c r="H14" s="3">
        <v>15.6949630011271</v>
      </c>
      <c r="I14" s="3">
        <v>20.326923991366201</v>
      </c>
      <c r="J14" s="3">
        <v>17.565463151217099</v>
      </c>
      <c r="K14" s="3">
        <v>17.5264820946777</v>
      </c>
      <c r="L14" s="3">
        <v>19.597886435512201</v>
      </c>
      <c r="M14" s="3">
        <v>19.141109021475199</v>
      </c>
      <c r="N14" s="3">
        <v>39.010300259333199</v>
      </c>
    </row>
    <row r="15" spans="1:14" x14ac:dyDescent="0.35">
      <c r="A15" s="2">
        <v>42164</v>
      </c>
      <c r="B15" s="3">
        <v>20.0079154517319</v>
      </c>
      <c r="C15" s="3">
        <v>15.872395987211799</v>
      </c>
      <c r="D15" s="3">
        <v>17.155355827942198</v>
      </c>
      <c r="E15" s="3">
        <v>15.605174114251</v>
      </c>
      <c r="F15" s="3">
        <v>16.954673196822998</v>
      </c>
      <c r="G15" s="3">
        <v>17.900254841661798</v>
      </c>
      <c r="H15" s="3">
        <v>15.5608600324374</v>
      </c>
      <c r="I15" s="3">
        <v>20.066561058120399</v>
      </c>
      <c r="J15" s="3">
        <v>17.412710870463101</v>
      </c>
      <c r="K15" s="3">
        <v>17.140353179653101</v>
      </c>
      <c r="L15" s="3">
        <v>19.066827282508999</v>
      </c>
      <c r="M15" s="3">
        <v>18.921257356373001</v>
      </c>
      <c r="N15" s="3">
        <v>35.661522979786497</v>
      </c>
    </row>
    <row r="16" spans="1:14" x14ac:dyDescent="0.35">
      <c r="A16" s="2">
        <v>42194</v>
      </c>
      <c r="B16" s="3">
        <v>19.675774295469299</v>
      </c>
      <c r="C16" s="3">
        <v>15.828410387030701</v>
      </c>
      <c r="D16" s="3">
        <v>16.865641778360398</v>
      </c>
      <c r="E16" s="3">
        <v>15.357196009343401</v>
      </c>
      <c r="F16" s="3">
        <v>16.460675405487201</v>
      </c>
      <c r="G16" s="3">
        <v>17.7958748653265</v>
      </c>
      <c r="H16" s="3">
        <v>15.4353456559463</v>
      </c>
      <c r="I16" s="3">
        <v>19.7009641175542</v>
      </c>
      <c r="J16" s="3">
        <v>17.269293767965301</v>
      </c>
      <c r="K16" s="3">
        <v>16.834441473352701</v>
      </c>
      <c r="L16" s="3">
        <v>18.718832772659798</v>
      </c>
      <c r="M16" s="3">
        <v>18.428239809674299</v>
      </c>
      <c r="N16" s="3">
        <v>32.680146897676302</v>
      </c>
    </row>
    <row r="17" spans="1:14" x14ac:dyDescent="0.35">
      <c r="A17" s="2">
        <v>42223</v>
      </c>
      <c r="B17" s="3">
        <v>19.7606320245722</v>
      </c>
      <c r="C17" s="3">
        <v>15.8319538123132</v>
      </c>
      <c r="D17" s="3">
        <v>16.946007002264501</v>
      </c>
      <c r="E17" s="3">
        <v>15.4684899623573</v>
      </c>
      <c r="F17" s="3">
        <v>16.928721551873199</v>
      </c>
      <c r="G17" s="3">
        <v>18.073174656258701</v>
      </c>
      <c r="H17" s="3">
        <v>15.8234109728165</v>
      </c>
      <c r="I17" s="3">
        <v>20.235214437851401</v>
      </c>
      <c r="J17" s="3">
        <v>17.389816118728799</v>
      </c>
      <c r="K17" s="3">
        <v>17.2367325472046</v>
      </c>
      <c r="L17" s="3">
        <v>18.913712812966899</v>
      </c>
      <c r="M17" s="3">
        <v>18.53745497413</v>
      </c>
      <c r="N17" s="3">
        <v>30.863044641466701</v>
      </c>
    </row>
    <row r="18" spans="1:14" x14ac:dyDescent="0.35">
      <c r="A18" s="2">
        <v>42256</v>
      </c>
      <c r="B18" s="3">
        <v>19.162473440200898</v>
      </c>
      <c r="C18" s="3">
        <v>15.5373932516154</v>
      </c>
      <c r="D18" s="3">
        <v>16.4315796315224</v>
      </c>
      <c r="E18" s="3">
        <v>14.370267852732299</v>
      </c>
      <c r="F18" s="3">
        <v>15.695750470226001</v>
      </c>
      <c r="G18" s="3">
        <v>17.426861934820501</v>
      </c>
      <c r="H18" s="3">
        <v>15.177374809437699</v>
      </c>
      <c r="I18" s="3">
        <v>19.337141865938399</v>
      </c>
      <c r="J18" s="3">
        <v>16.629501581353701</v>
      </c>
      <c r="K18" s="3">
        <v>16.100390060935801</v>
      </c>
      <c r="L18" s="3">
        <v>17.465563530112401</v>
      </c>
      <c r="M18" s="3">
        <v>17.439978030028101</v>
      </c>
      <c r="N18" s="3">
        <v>27.185132684825501</v>
      </c>
    </row>
    <row r="19" spans="1:14" x14ac:dyDescent="0.35">
      <c r="A19" s="2">
        <v>42286</v>
      </c>
      <c r="B19" s="3">
        <v>18.6646324256699</v>
      </c>
      <c r="C19" s="3">
        <v>15.768634104197201</v>
      </c>
      <c r="D19" s="3">
        <v>17.048287079156701</v>
      </c>
      <c r="E19" s="3">
        <v>13.977451513567299</v>
      </c>
      <c r="F19" s="3">
        <v>15.6083422029541</v>
      </c>
      <c r="G19" s="3">
        <v>17.429364244710399</v>
      </c>
      <c r="H19" s="3">
        <v>15.755362555997699</v>
      </c>
      <c r="I19" s="3">
        <v>19.5756943326247</v>
      </c>
      <c r="J19" s="3">
        <v>17.085438942492701</v>
      </c>
      <c r="K19" s="3">
        <v>16.078070171554199</v>
      </c>
      <c r="L19" s="3">
        <v>16.966378047972601</v>
      </c>
      <c r="M19" s="3">
        <v>17.074673912028299</v>
      </c>
      <c r="N19" s="3">
        <v>24.798071596921702</v>
      </c>
    </row>
    <row r="20" spans="1:14" x14ac:dyDescent="0.35">
      <c r="A20" s="2">
        <v>42317</v>
      </c>
      <c r="B20" s="3">
        <v>19.587341276779501</v>
      </c>
      <c r="C20" s="3">
        <v>15.2831430593618</v>
      </c>
      <c r="D20" s="3">
        <v>16.769656731338898</v>
      </c>
      <c r="E20" s="3">
        <v>14.425072159840299</v>
      </c>
      <c r="F20" s="3">
        <v>16.154479888209899</v>
      </c>
      <c r="G20" s="3">
        <v>17.586373338219801</v>
      </c>
      <c r="H20" s="3">
        <v>15.7237122202796</v>
      </c>
      <c r="I20" s="3">
        <v>20.368160696496499</v>
      </c>
      <c r="J20" s="3">
        <v>17.417167742113701</v>
      </c>
      <c r="K20" s="3">
        <v>16.401225334027</v>
      </c>
      <c r="L20" s="3">
        <v>17.452993680729499</v>
      </c>
      <c r="M20" s="3">
        <v>16.9897627917953</v>
      </c>
      <c r="N20" s="3">
        <v>22.363176048049901</v>
      </c>
    </row>
    <row r="21" spans="1:14" x14ac:dyDescent="0.35">
      <c r="A21" s="2">
        <v>42347</v>
      </c>
      <c r="B21" s="3">
        <v>19.375102082465698</v>
      </c>
      <c r="C21" s="3">
        <v>15.258052147091099</v>
      </c>
      <c r="D21" s="3">
        <v>16.069468472907499</v>
      </c>
      <c r="E21" s="3">
        <v>14.035082348024201</v>
      </c>
      <c r="F21" s="3">
        <v>15.852618718740199</v>
      </c>
      <c r="G21" s="3">
        <v>17.2429838691078</v>
      </c>
      <c r="H21" s="3">
        <v>15.485603161545701</v>
      </c>
      <c r="I21" s="3">
        <v>20.214281910772002</v>
      </c>
      <c r="J21" s="3">
        <v>17.148967680551898</v>
      </c>
      <c r="K21" s="3">
        <v>15.6011033999393</v>
      </c>
      <c r="L21" s="3">
        <v>17.2756747590625</v>
      </c>
      <c r="M21" s="3">
        <v>16.301851687077299</v>
      </c>
      <c r="N21" s="3">
        <v>19.878726538070399</v>
      </c>
    </row>
    <row r="22" spans="1:14" x14ac:dyDescent="0.35">
      <c r="A22" s="2">
        <v>42377</v>
      </c>
      <c r="B22" s="3">
        <v>19.2829323334111</v>
      </c>
      <c r="C22" s="3">
        <v>14.9852778490439</v>
      </c>
      <c r="D22" s="3">
        <v>15.0505927050366</v>
      </c>
      <c r="E22" s="3">
        <v>12.8407409301555</v>
      </c>
      <c r="F22" s="3">
        <v>14.653757762364499</v>
      </c>
      <c r="G22" s="3">
        <v>16.293636456436399</v>
      </c>
      <c r="H22" s="3">
        <v>14.838810247841</v>
      </c>
      <c r="I22" s="3">
        <v>18.890959187362899</v>
      </c>
      <c r="J22" s="3">
        <v>16.133869999364101</v>
      </c>
      <c r="K22" s="3">
        <v>14.464777058505</v>
      </c>
      <c r="L22" s="3">
        <v>15.679078893842</v>
      </c>
      <c r="M22" s="3">
        <v>14.856381550376399</v>
      </c>
      <c r="N22" s="3">
        <v>16.910668513024099</v>
      </c>
    </row>
    <row r="23" spans="1:14" x14ac:dyDescent="0.35">
      <c r="A23" s="2">
        <v>42409</v>
      </c>
      <c r="B23" s="3">
        <v>18.8141183973487</v>
      </c>
      <c r="C23" s="3">
        <v>14.783395957074299</v>
      </c>
      <c r="D23" s="3">
        <v>14.8066196252382</v>
      </c>
      <c r="E23" s="3">
        <v>11.787338919762201</v>
      </c>
      <c r="F23" s="3">
        <v>13.440635992627399</v>
      </c>
      <c r="G23" s="3">
        <v>15.9280035491291</v>
      </c>
      <c r="H23" s="3">
        <v>14.2436051797016</v>
      </c>
      <c r="I23" s="3">
        <v>17.299805023770102</v>
      </c>
      <c r="J23" s="3">
        <v>16.2966838906097</v>
      </c>
      <c r="K23" s="3">
        <v>14.0614035703684</v>
      </c>
      <c r="L23" s="3">
        <v>14.8729471303648</v>
      </c>
      <c r="M23" s="3">
        <v>14.1843509515804</v>
      </c>
      <c r="N23" s="3">
        <v>12.9046880760825</v>
      </c>
    </row>
    <row r="24" spans="1:14" x14ac:dyDescent="0.35">
      <c r="A24" s="2">
        <v>42438</v>
      </c>
      <c r="B24" s="3">
        <v>19.320361809586299</v>
      </c>
      <c r="C24" s="3">
        <v>15.136524800349299</v>
      </c>
      <c r="D24" s="3">
        <v>15.855389811254</v>
      </c>
      <c r="E24" s="3">
        <v>12.6886911791184</v>
      </c>
      <c r="F24" s="3">
        <v>13.852971434643299</v>
      </c>
      <c r="G24" s="3">
        <v>16.634412869357998</v>
      </c>
      <c r="H24" s="3">
        <v>15.596984186502601</v>
      </c>
      <c r="I24" s="3">
        <v>18.218272567801002</v>
      </c>
      <c r="J24" s="3">
        <v>16.188193427520002</v>
      </c>
      <c r="K24" s="3">
        <v>15.171977505741999</v>
      </c>
      <c r="L24" s="3">
        <v>16.385318260394101</v>
      </c>
      <c r="M24" s="3">
        <v>15.6363490903444</v>
      </c>
      <c r="N24" s="3">
        <v>15.3861449759853</v>
      </c>
    </row>
    <row r="25" spans="1:14" x14ac:dyDescent="0.35">
      <c r="A25" s="2">
        <v>42468</v>
      </c>
      <c r="B25" s="3">
        <v>19.3363810249183</v>
      </c>
      <c r="C25" s="3">
        <v>15.0440316161878</v>
      </c>
      <c r="D25" s="3">
        <v>16.012416567423902</v>
      </c>
      <c r="E25" s="3">
        <v>12.6768696427742</v>
      </c>
      <c r="F25" s="3">
        <v>13.6592564364196</v>
      </c>
      <c r="G25" s="3">
        <v>16.681307887254899</v>
      </c>
      <c r="H25" s="3">
        <v>15.7835128991294</v>
      </c>
      <c r="I25" s="3">
        <v>18.387166687408801</v>
      </c>
      <c r="J25" s="3">
        <v>16.445215307047398</v>
      </c>
      <c r="K25" s="3">
        <v>15.0653239307366</v>
      </c>
      <c r="L25" s="3">
        <v>16.275252036565298</v>
      </c>
      <c r="M25" s="3">
        <v>15.568623432862401</v>
      </c>
      <c r="N25" s="3">
        <v>15.128809353151601</v>
      </c>
    </row>
    <row r="26" spans="1:14" x14ac:dyDescent="0.35">
      <c r="A26" s="2">
        <v>42499</v>
      </c>
      <c r="B26" s="3">
        <v>19.567826839416401</v>
      </c>
      <c r="C26" s="3">
        <v>15.605698894623099</v>
      </c>
      <c r="D26" s="3">
        <v>16.2832653325835</v>
      </c>
      <c r="E26" s="3">
        <v>12.8050372849816</v>
      </c>
      <c r="F26" s="3">
        <v>13.673380491480501</v>
      </c>
      <c r="G26" s="3">
        <v>16.752224285120501</v>
      </c>
      <c r="H26" s="3">
        <v>15.8083983886615</v>
      </c>
      <c r="I26" s="3">
        <v>18.3280146479721</v>
      </c>
      <c r="J26" s="3">
        <v>16.565182572190999</v>
      </c>
      <c r="K26" s="3">
        <v>15.0605631821684</v>
      </c>
      <c r="L26" s="3">
        <v>16.144045559880499</v>
      </c>
      <c r="M26" s="3">
        <v>15.5317168894061</v>
      </c>
      <c r="N26" s="3">
        <v>15.053083400576</v>
      </c>
    </row>
    <row r="27" spans="1:14" x14ac:dyDescent="0.35">
      <c r="A27" s="2">
        <v>42530</v>
      </c>
      <c r="B27" s="3">
        <v>19.764839289921898</v>
      </c>
      <c r="C27" s="3">
        <v>15.8256515438331</v>
      </c>
      <c r="D27" s="3">
        <v>16.842175730190299</v>
      </c>
      <c r="E27" s="3">
        <v>12.8630141141455</v>
      </c>
      <c r="F27" s="3">
        <v>14.0623231983358</v>
      </c>
      <c r="G27" s="3">
        <v>17.106992683031901</v>
      </c>
      <c r="H27" s="3">
        <v>16.047259438528702</v>
      </c>
      <c r="I27" s="3">
        <v>18.635812211203401</v>
      </c>
      <c r="J27" s="3">
        <v>16.857342410925099</v>
      </c>
      <c r="K27" s="3">
        <v>15.1291829994663</v>
      </c>
      <c r="L27" s="3">
        <v>16.197828771723401</v>
      </c>
      <c r="M27" s="3">
        <v>15.4813459600807</v>
      </c>
      <c r="N27" s="3">
        <v>15.009341536821401</v>
      </c>
    </row>
    <row r="28" spans="1:14" x14ac:dyDescent="0.35">
      <c r="A28" s="2">
        <v>42559</v>
      </c>
      <c r="B28" s="3">
        <v>19.839674447750198</v>
      </c>
      <c r="C28" s="3">
        <v>15.757960593723601</v>
      </c>
      <c r="D28" s="3">
        <v>16.939870294223201</v>
      </c>
      <c r="E28" s="3">
        <v>12.620634287696801</v>
      </c>
      <c r="F28" s="3">
        <v>13.494767164553201</v>
      </c>
      <c r="G28" s="3">
        <v>17.1371365275191</v>
      </c>
      <c r="H28" s="3">
        <v>16.263222564499198</v>
      </c>
      <c r="I28" s="3">
        <v>18.8651845983645</v>
      </c>
      <c r="J28" s="3">
        <v>17.0754004946733</v>
      </c>
      <c r="K28" s="3">
        <v>14.6954175579069</v>
      </c>
      <c r="L28" s="3">
        <v>15.7503795083664</v>
      </c>
      <c r="M28" s="3">
        <v>15.3556729210987</v>
      </c>
      <c r="N28" s="3">
        <v>14.3120535116153</v>
      </c>
    </row>
    <row r="29" spans="1:14" x14ac:dyDescent="0.35">
      <c r="A29" s="2">
        <v>42591</v>
      </c>
      <c r="B29" s="3">
        <v>20.609518970020702</v>
      </c>
      <c r="C29" s="3">
        <v>16.595099146266499</v>
      </c>
      <c r="D29" s="3">
        <v>17.4669756487604</v>
      </c>
      <c r="E29" s="3">
        <v>13.4102122822597</v>
      </c>
      <c r="F29" s="3">
        <v>14.101559179908</v>
      </c>
      <c r="G29" s="3">
        <v>17.776440247951999</v>
      </c>
      <c r="H29" s="3">
        <v>16.857780721565099</v>
      </c>
      <c r="I29" s="3">
        <v>19.548437591106602</v>
      </c>
      <c r="J29" s="3">
        <v>17.493877995371399</v>
      </c>
      <c r="K29" s="3">
        <v>15.0344070184599</v>
      </c>
      <c r="L29" s="3">
        <v>16.169880604776701</v>
      </c>
      <c r="M29" s="3">
        <v>16.0239106151685</v>
      </c>
      <c r="N29" s="3">
        <v>15.053713879720799</v>
      </c>
    </row>
    <row r="30" spans="1:14" x14ac:dyDescent="0.35">
      <c r="A30" s="2">
        <v>42622</v>
      </c>
      <c r="B30" s="3">
        <v>21.283528621764699</v>
      </c>
      <c r="C30" s="3">
        <v>16.3410469681811</v>
      </c>
      <c r="D30" s="3">
        <v>17.526059808015599</v>
      </c>
      <c r="E30" s="3">
        <v>13.533234412315499</v>
      </c>
      <c r="F30" s="3">
        <v>14.4021382193022</v>
      </c>
      <c r="G30" s="3">
        <v>18.0029716744111</v>
      </c>
      <c r="H30" s="3">
        <v>16.851203979754001</v>
      </c>
      <c r="I30" s="3">
        <v>19.301173470897201</v>
      </c>
      <c r="J30" s="3">
        <v>17.3883673167525</v>
      </c>
      <c r="K30" s="3">
        <v>15.0337553651864</v>
      </c>
      <c r="L30" s="3">
        <v>16.042003750556599</v>
      </c>
      <c r="M30" s="3">
        <v>16.085063009533801</v>
      </c>
      <c r="N30" s="3">
        <v>15.093280623359901</v>
      </c>
    </row>
    <row r="31" spans="1:14" x14ac:dyDescent="0.35">
      <c r="A31" s="2">
        <v>42650</v>
      </c>
      <c r="B31" s="3">
        <v>20.535924322637801</v>
      </c>
      <c r="C31" s="3">
        <v>16.864459604281201</v>
      </c>
      <c r="D31" s="3">
        <v>17.831122649760399</v>
      </c>
      <c r="E31" s="3">
        <v>13.568740514506899</v>
      </c>
      <c r="F31" s="3">
        <v>14.399865424143099</v>
      </c>
      <c r="G31" s="3">
        <v>17.939920797886298</v>
      </c>
      <c r="H31" s="3">
        <v>17.0723124975937</v>
      </c>
      <c r="I31" s="3">
        <v>19.972966268996402</v>
      </c>
      <c r="J31" s="3">
        <v>17.6973522215849</v>
      </c>
      <c r="K31" s="3">
        <v>14.8489451468359</v>
      </c>
      <c r="L31" s="3">
        <v>15.859844264305201</v>
      </c>
      <c r="M31" s="3">
        <v>16.601457167766501</v>
      </c>
      <c r="N31" s="3">
        <v>14.608178500347501</v>
      </c>
    </row>
    <row r="32" spans="1:14" x14ac:dyDescent="0.35">
      <c r="A32" s="2">
        <v>42683</v>
      </c>
      <c r="B32" s="3">
        <v>19.3668084596111</v>
      </c>
      <c r="C32" s="3">
        <v>16.3575322991239</v>
      </c>
      <c r="D32" s="3">
        <v>18.383753939306001</v>
      </c>
      <c r="E32" s="3">
        <v>13.659809076753</v>
      </c>
      <c r="F32" s="3">
        <v>13.971675656621301</v>
      </c>
      <c r="G32" s="3">
        <v>17.6666464627504</v>
      </c>
      <c r="H32" s="3">
        <v>16.657233511451899</v>
      </c>
      <c r="I32" s="3">
        <v>19.872843924077799</v>
      </c>
      <c r="J32" s="3">
        <v>17.881697685952702</v>
      </c>
      <c r="K32" s="3">
        <v>14.937490299912</v>
      </c>
      <c r="L32" s="3">
        <v>15.663348028028</v>
      </c>
      <c r="M32" s="3">
        <v>17.076152782642399</v>
      </c>
      <c r="N32" s="3">
        <v>14.778975884480101</v>
      </c>
    </row>
    <row r="33" spans="1:14" x14ac:dyDescent="0.35">
      <c r="A33" s="2">
        <v>42713</v>
      </c>
      <c r="B33" s="3">
        <v>19.9085519685142</v>
      </c>
      <c r="C33" s="3">
        <v>17.472439647350701</v>
      </c>
      <c r="D33" s="3">
        <v>19.151296267397498</v>
      </c>
      <c r="E33" s="3">
        <v>14.3636267024595</v>
      </c>
      <c r="F33" s="3">
        <v>16.400754707546199</v>
      </c>
      <c r="G33" s="3">
        <v>17.865488676799998</v>
      </c>
      <c r="H33" s="3">
        <v>16.886847417880201</v>
      </c>
      <c r="I33" s="3">
        <v>20.2460574627044</v>
      </c>
      <c r="J33" s="3">
        <v>18.790744094241099</v>
      </c>
      <c r="K33" s="3">
        <v>15.490792462809599</v>
      </c>
      <c r="L33" s="3">
        <v>15.9210527944989</v>
      </c>
      <c r="M33" s="3">
        <v>18.0715369323263</v>
      </c>
      <c r="N33" s="3">
        <v>15.600308867887</v>
      </c>
    </row>
    <row r="34" spans="1:14" x14ac:dyDescent="0.35">
      <c r="A34" s="2">
        <v>42744</v>
      </c>
      <c r="B34" s="3">
        <v>20.341972523141699</v>
      </c>
      <c r="C34" s="3">
        <v>18.1457838908097</v>
      </c>
      <c r="D34" s="3">
        <v>19.422876013128398</v>
      </c>
      <c r="E34" s="3">
        <v>14.870878819807601</v>
      </c>
      <c r="F34" s="3">
        <v>16.7130466889319</v>
      </c>
      <c r="G34" s="3">
        <v>18.624356830351399</v>
      </c>
      <c r="H34" s="3">
        <v>17.220371681759801</v>
      </c>
      <c r="I34" s="3">
        <v>20.925366019441999</v>
      </c>
      <c r="J34" s="3">
        <v>19.017258804036601</v>
      </c>
      <c r="K34" s="3">
        <v>15.8513609136202</v>
      </c>
      <c r="L34" s="3">
        <v>16.358645371953799</v>
      </c>
      <c r="M34" s="3">
        <v>18.0978367518161</v>
      </c>
      <c r="N34" s="3">
        <v>28.137699134980402</v>
      </c>
    </row>
    <row r="35" spans="1:14" x14ac:dyDescent="0.35">
      <c r="A35" s="2">
        <v>42775</v>
      </c>
      <c r="B35" s="3">
        <v>20.601413537386801</v>
      </c>
      <c r="C35" s="3">
        <v>17.574990787310799</v>
      </c>
      <c r="D35" s="3">
        <v>19.678584577122699</v>
      </c>
      <c r="E35" s="3">
        <v>14.8865587693231</v>
      </c>
      <c r="F35" s="3">
        <v>16.0505811670557</v>
      </c>
      <c r="G35" s="3">
        <v>18.676404846040001</v>
      </c>
      <c r="H35" s="3">
        <v>17.2944894511242</v>
      </c>
      <c r="I35" s="3">
        <v>21.483593651078699</v>
      </c>
      <c r="J35" s="3">
        <v>19.123947353073</v>
      </c>
      <c r="K35" s="3">
        <v>15.5642446053723</v>
      </c>
      <c r="L35" s="3">
        <v>16.249904606044201</v>
      </c>
      <c r="M35" s="3">
        <v>17.943887209202</v>
      </c>
      <c r="N35" s="3">
        <v>20.779055873469499</v>
      </c>
    </row>
    <row r="36" spans="1:14" x14ac:dyDescent="0.35">
      <c r="A36" s="2">
        <v>42803</v>
      </c>
      <c r="B36" s="3">
        <v>19.781634540846198</v>
      </c>
      <c r="C36" s="3">
        <v>17.471720503089401</v>
      </c>
      <c r="D36" s="3">
        <v>19.329032697865902</v>
      </c>
      <c r="E36" s="3">
        <v>14.975559621463599</v>
      </c>
      <c r="F36" s="3">
        <v>15.9259490022212</v>
      </c>
      <c r="G36" s="3">
        <v>19.630114112778301</v>
      </c>
      <c r="H36" s="3">
        <v>17.2787063779368</v>
      </c>
      <c r="I36" s="3">
        <v>21.691091033497099</v>
      </c>
      <c r="J36" s="3">
        <v>19.4553928856824</v>
      </c>
      <c r="K36" s="3">
        <v>15.6073379441059</v>
      </c>
      <c r="L36" s="3">
        <v>16.479939897585002</v>
      </c>
      <c r="M36" s="3">
        <v>17.436635866774601</v>
      </c>
      <c r="N36" s="3">
        <v>83.924408876483</v>
      </c>
    </row>
    <row r="37" spans="1:14" x14ac:dyDescent="0.35">
      <c r="A37" s="2">
        <v>42832</v>
      </c>
      <c r="B37" s="3">
        <v>19.834803715576399</v>
      </c>
      <c r="C37" s="3">
        <v>17.323259456993199</v>
      </c>
      <c r="D37" s="3">
        <v>19.073924808281902</v>
      </c>
      <c r="E37" s="3">
        <v>14.9332899692868</v>
      </c>
      <c r="F37" s="3">
        <v>15.6215402650393</v>
      </c>
      <c r="G37" s="3">
        <v>19.4295857313254</v>
      </c>
      <c r="H37" s="3">
        <v>17.0704791111216</v>
      </c>
      <c r="I37" s="3">
        <v>21.622332619210301</v>
      </c>
      <c r="J37" s="3">
        <v>19.2941438071779</v>
      </c>
      <c r="K37" s="3">
        <v>15.6743108017477</v>
      </c>
      <c r="L37" s="3">
        <v>16.514402194071799</v>
      </c>
      <c r="M37" s="3">
        <v>17.5673085890507</v>
      </c>
      <c r="N37" s="3">
        <v>77.124913935774401</v>
      </c>
    </row>
    <row r="38" spans="1:14" x14ac:dyDescent="0.35">
      <c r="A38" s="2">
        <v>42864</v>
      </c>
      <c r="B38" s="3">
        <v>19.987432768450301</v>
      </c>
      <c r="C38" s="3">
        <v>17.1283179815082</v>
      </c>
      <c r="D38" s="3">
        <v>18.689208413912599</v>
      </c>
      <c r="E38" s="3">
        <v>14.943558062214301</v>
      </c>
      <c r="F38" s="3">
        <v>15.702926641043399</v>
      </c>
      <c r="G38" s="3">
        <v>19.563428866164699</v>
      </c>
      <c r="H38" s="3">
        <v>16.857326652328599</v>
      </c>
      <c r="I38" s="3">
        <v>21.8402300048255</v>
      </c>
      <c r="J38" s="3">
        <v>19.2152803689096</v>
      </c>
      <c r="K38" s="3">
        <v>15.8707678709631</v>
      </c>
      <c r="L38" s="3">
        <v>16.8229245759401</v>
      </c>
      <c r="M38" s="3">
        <v>17.720948784441202</v>
      </c>
      <c r="N38" s="3">
        <v>69.862446259407605</v>
      </c>
    </row>
    <row r="39" spans="1:14" x14ac:dyDescent="0.35">
      <c r="A39" s="2">
        <v>42895</v>
      </c>
      <c r="B39" s="3">
        <v>19.946115112116001</v>
      </c>
      <c r="C39" s="3">
        <v>16.771107705738402</v>
      </c>
      <c r="D39" s="3">
        <v>18.373167450692801</v>
      </c>
      <c r="E39" s="3">
        <v>14.8163297120057</v>
      </c>
      <c r="F39" s="3">
        <v>15.650420849847301</v>
      </c>
      <c r="G39" s="3">
        <v>19.444060745297101</v>
      </c>
      <c r="H39" s="3">
        <v>16.694006769294699</v>
      </c>
      <c r="I39" s="3">
        <v>21.874801358703401</v>
      </c>
      <c r="J39" s="3">
        <v>19.1942620012913</v>
      </c>
      <c r="K39" s="3">
        <v>15.755551725532101</v>
      </c>
      <c r="L39" s="3">
        <v>16.7603890824502</v>
      </c>
      <c r="M39" s="3">
        <v>17.646861459841698</v>
      </c>
      <c r="N39" s="3">
        <v>62.445649144494901</v>
      </c>
    </row>
    <row r="40" spans="1:14" x14ac:dyDescent="0.35">
      <c r="A40" s="2">
        <v>42923</v>
      </c>
      <c r="B40" s="3">
        <v>20.098721647028398</v>
      </c>
      <c r="C40" s="3">
        <v>16.727312903018099</v>
      </c>
      <c r="D40" s="3">
        <v>17.943247047748901</v>
      </c>
      <c r="E40" s="3">
        <v>14.515501274071999</v>
      </c>
      <c r="F40" s="3">
        <v>15.4708678296731</v>
      </c>
      <c r="G40" s="3">
        <v>19.292547499644499</v>
      </c>
      <c r="H40" s="3">
        <v>16.396606111533501</v>
      </c>
      <c r="I40" s="3">
        <v>21.646162586737901</v>
      </c>
      <c r="J40" s="3">
        <v>19.065362624673099</v>
      </c>
      <c r="K40" s="3">
        <v>15.551345075380601</v>
      </c>
      <c r="L40" s="3">
        <v>16.5089269240984</v>
      </c>
      <c r="M40" s="3">
        <v>17.580587942551499</v>
      </c>
      <c r="N40" s="3">
        <v>55.849431735002597</v>
      </c>
    </row>
    <row r="41" spans="1:14" x14ac:dyDescent="0.35">
      <c r="A41" s="2">
        <v>42956</v>
      </c>
      <c r="B41" s="3">
        <v>20.598481530135199</v>
      </c>
      <c r="C41" s="3">
        <v>16.810870930177199</v>
      </c>
      <c r="D41" s="3">
        <v>17.922884910831002</v>
      </c>
      <c r="E41" s="3">
        <v>14.251865757315301</v>
      </c>
      <c r="F41" s="3">
        <v>15.294291471069901</v>
      </c>
      <c r="G41" s="3">
        <v>19.291926418010998</v>
      </c>
      <c r="H41" s="3">
        <v>16.406728698295701</v>
      </c>
      <c r="I41" s="3">
        <v>22.151271262350601</v>
      </c>
      <c r="J41" s="3">
        <v>19.157396087838201</v>
      </c>
      <c r="K41" s="3">
        <v>15.5479805518139</v>
      </c>
      <c r="L41" s="3">
        <v>16.745747892786898</v>
      </c>
      <c r="M41" s="3">
        <v>17.058359256428599</v>
      </c>
      <c r="N41" s="3">
        <v>48.3220967155886</v>
      </c>
    </row>
    <row r="42" spans="1:14" x14ac:dyDescent="0.35">
      <c r="A42" s="2">
        <v>42986</v>
      </c>
      <c r="B42" s="3">
        <v>20.703037627065601</v>
      </c>
      <c r="C42" s="3">
        <v>16.494294067524599</v>
      </c>
      <c r="D42" s="3">
        <v>17.304987650649199</v>
      </c>
      <c r="E42" s="3">
        <v>14.2073531703741</v>
      </c>
      <c r="F42" s="3">
        <v>14.6839244666431</v>
      </c>
      <c r="G42" s="3">
        <v>19.165869940737299</v>
      </c>
      <c r="H42" s="3">
        <v>15.99755873736</v>
      </c>
      <c r="I42" s="3">
        <v>22.117818084974299</v>
      </c>
      <c r="J42" s="3">
        <v>19.000084185222601</v>
      </c>
      <c r="K42" s="3">
        <v>15.531957833235399</v>
      </c>
      <c r="L42" s="3">
        <v>16.6293228876062</v>
      </c>
      <c r="M42" s="3">
        <v>16.9373572160079</v>
      </c>
      <c r="N42" s="3">
        <v>41.203455908272801</v>
      </c>
    </row>
    <row r="43" spans="1:14" x14ac:dyDescent="0.35">
      <c r="A43" s="2">
        <v>43017</v>
      </c>
      <c r="B43" s="3">
        <v>20.756572007900601</v>
      </c>
      <c r="C43" s="3">
        <v>16.400330546599601</v>
      </c>
      <c r="D43" s="3">
        <v>17.621978341152101</v>
      </c>
      <c r="E43" s="3">
        <v>14.743503563790201</v>
      </c>
      <c r="F43" s="3">
        <v>15.0105563401314</v>
      </c>
      <c r="G43" s="3">
        <v>19.597062370263099</v>
      </c>
      <c r="H43" s="3">
        <v>15.8473212698638</v>
      </c>
      <c r="I43" s="3">
        <v>22.537591636347099</v>
      </c>
      <c r="J43" s="3">
        <v>19.503043948873401</v>
      </c>
      <c r="K43" s="3">
        <v>16.045585264390901</v>
      </c>
      <c r="L43" s="3">
        <v>17.144600648894802</v>
      </c>
      <c r="M43" s="3">
        <v>17.688431275609702</v>
      </c>
      <c r="N43" s="3">
        <v>34.372243725086101</v>
      </c>
    </row>
    <row r="44" spans="1:14" x14ac:dyDescent="0.35">
      <c r="A44" s="2">
        <v>43048</v>
      </c>
      <c r="B44" s="3">
        <v>21.197397529953001</v>
      </c>
      <c r="C44" s="3">
        <v>16.933895292032499</v>
      </c>
      <c r="D44" s="3">
        <v>17.501860327115399</v>
      </c>
      <c r="E44" s="3">
        <v>15.3067620162917</v>
      </c>
      <c r="F44" s="3">
        <v>15.980467315131699</v>
      </c>
      <c r="G44" s="3">
        <v>20.133298045816399</v>
      </c>
      <c r="H44" s="3">
        <v>15.463609417290099</v>
      </c>
      <c r="I44" s="3">
        <v>22.985473522886601</v>
      </c>
      <c r="J44" s="3">
        <v>19.620678455030301</v>
      </c>
      <c r="K44" s="3">
        <v>16.089465611284901</v>
      </c>
      <c r="L44" s="3">
        <v>17.409686727814002</v>
      </c>
      <c r="M44" s="3">
        <v>18.306580403877199</v>
      </c>
      <c r="N44" s="3">
        <v>27.210989477159401</v>
      </c>
    </row>
    <row r="45" spans="1:14" x14ac:dyDescent="0.35">
      <c r="A45" s="2">
        <v>43077</v>
      </c>
      <c r="B45" s="3">
        <v>21.8003076342161</v>
      </c>
      <c r="C45" s="3">
        <v>16.579253036847</v>
      </c>
      <c r="D45" s="3">
        <v>17.3250294085497</v>
      </c>
      <c r="E45" s="3">
        <v>15.488887952707399</v>
      </c>
      <c r="F45" s="3">
        <v>16.186559058119201</v>
      </c>
      <c r="G45" s="3">
        <v>20.401859905778</v>
      </c>
      <c r="H45" s="3">
        <v>15.142918914072901</v>
      </c>
      <c r="I45" s="3">
        <v>23.1165535866492</v>
      </c>
      <c r="J45" s="3">
        <v>20.064336147825799</v>
      </c>
      <c r="K45" s="3">
        <v>16.202518468969501</v>
      </c>
      <c r="L45" s="3">
        <v>17.244952738429099</v>
      </c>
      <c r="M45" s="3">
        <v>18.06014548616</v>
      </c>
      <c r="N45" s="3">
        <v>20.990762551481499</v>
      </c>
    </row>
    <row r="46" spans="1:14" x14ac:dyDescent="0.35">
      <c r="A46" s="2">
        <v>43109</v>
      </c>
      <c r="B46" s="3">
        <v>22.386525822856399</v>
      </c>
      <c r="C46" s="3">
        <v>16.934874272603601</v>
      </c>
      <c r="D46" s="3">
        <v>17.313418086604202</v>
      </c>
      <c r="E46" s="3">
        <v>15.760268657627</v>
      </c>
      <c r="F46" s="3">
        <v>16.984536652332199</v>
      </c>
      <c r="G46" s="3">
        <v>21.162000629361401</v>
      </c>
      <c r="H46" s="3">
        <v>15.5745715568883</v>
      </c>
      <c r="I46" s="3">
        <v>24.538836510820499</v>
      </c>
      <c r="J46" s="3">
        <v>20.7628696387786</v>
      </c>
      <c r="K46" s="3">
        <v>16.5547876199056</v>
      </c>
      <c r="L46" s="3">
        <v>17.639407485845901</v>
      </c>
      <c r="M46" s="3">
        <v>18.5072584114351</v>
      </c>
      <c r="N46" s="3">
        <v>15.713583189847499</v>
      </c>
    </row>
    <row r="47" spans="1:14" x14ac:dyDescent="0.35">
      <c r="A47" s="2">
        <v>43140</v>
      </c>
      <c r="B47" s="3">
        <v>20.491844623097599</v>
      </c>
      <c r="C47" s="3">
        <v>16.120923748452899</v>
      </c>
      <c r="D47" s="3">
        <v>15.7055638038075</v>
      </c>
      <c r="E47" s="3">
        <v>14.0776883634533</v>
      </c>
      <c r="F47" s="3">
        <v>15.187424759020001</v>
      </c>
      <c r="G47" s="3">
        <v>19.972893372101201</v>
      </c>
      <c r="H47" s="3">
        <v>14.2238916401885</v>
      </c>
      <c r="I47" s="3">
        <v>22.759455568099401</v>
      </c>
      <c r="J47" s="3">
        <v>19.2822126347187</v>
      </c>
      <c r="K47" s="3">
        <v>15.3835866010904</v>
      </c>
      <c r="L47" s="3">
        <v>16.381345542391301</v>
      </c>
      <c r="M47" s="3">
        <v>16.165481367316701</v>
      </c>
      <c r="N47" s="3">
        <v>14.288060606790101</v>
      </c>
    </row>
    <row r="48" spans="1:14" x14ac:dyDescent="0.35">
      <c r="A48" s="2">
        <v>43168</v>
      </c>
      <c r="B48" s="3">
        <v>22.560370549709798</v>
      </c>
      <c r="C48" s="3">
        <v>16.502246099838001</v>
      </c>
      <c r="D48" s="3">
        <v>15.8189162920825</v>
      </c>
      <c r="E48" s="3">
        <v>14.229153280713</v>
      </c>
      <c r="F48" s="3">
        <v>14.382892448093701</v>
      </c>
      <c r="G48" s="3">
        <v>21.091539060839601</v>
      </c>
      <c r="H48" s="3">
        <v>13.9813350069092</v>
      </c>
      <c r="I48" s="3">
        <v>24.176639276379099</v>
      </c>
      <c r="J48" s="3">
        <v>19.8054180333876</v>
      </c>
      <c r="K48" s="3">
        <v>15.5902164776156</v>
      </c>
      <c r="L48" s="3">
        <v>16.680892486094098</v>
      </c>
      <c r="M48" s="3">
        <v>16.980711173082899</v>
      </c>
      <c r="N48" s="3">
        <v>14.213166354276</v>
      </c>
    </row>
    <row r="49" spans="1:14" x14ac:dyDescent="0.35">
      <c r="A49" s="2">
        <v>43199</v>
      </c>
      <c r="B49" s="3">
        <v>22.4353528468598</v>
      </c>
      <c r="C49" s="3">
        <v>16.2723393024575</v>
      </c>
      <c r="D49" s="3">
        <v>15.6057021177976</v>
      </c>
      <c r="E49" s="3">
        <v>14.1047861797629</v>
      </c>
      <c r="F49" s="3">
        <v>14.2414653390921</v>
      </c>
      <c r="G49" s="3">
        <v>20.5406431848408</v>
      </c>
      <c r="H49" s="3">
        <v>13.942559867252699</v>
      </c>
      <c r="I49" s="3">
        <v>23.421707037603198</v>
      </c>
      <c r="J49" s="3">
        <v>19.2802161958653</v>
      </c>
      <c r="K49" s="3">
        <v>15.4990227275677</v>
      </c>
      <c r="L49" s="3">
        <v>16.569848890537401</v>
      </c>
      <c r="M49" s="3">
        <v>16.730378421303399</v>
      </c>
      <c r="N49" s="3">
        <v>14.117953247910901</v>
      </c>
    </row>
    <row r="50" spans="1:14" x14ac:dyDescent="0.35">
      <c r="A50" s="2">
        <v>43229</v>
      </c>
      <c r="B50" s="3">
        <v>22.416014899868799</v>
      </c>
      <c r="C50" s="3">
        <v>16.346842838077901</v>
      </c>
      <c r="D50" s="3">
        <v>15.6256122548706</v>
      </c>
      <c r="E50" s="3">
        <v>14.2330505752977</v>
      </c>
      <c r="F50" s="3">
        <v>14.2384461316959</v>
      </c>
      <c r="G50" s="3">
        <v>20.231921832836601</v>
      </c>
      <c r="H50" s="3">
        <v>14.1074533833731</v>
      </c>
      <c r="I50" s="3">
        <v>23.334439295551</v>
      </c>
      <c r="J50" s="3">
        <v>19.0835794586757</v>
      </c>
      <c r="K50" s="3">
        <v>15.61506446273</v>
      </c>
      <c r="L50" s="3">
        <v>16.576661468030998</v>
      </c>
      <c r="M50" s="3">
        <v>16.876528942196099</v>
      </c>
      <c r="N50" s="3">
        <v>14.211198858281</v>
      </c>
    </row>
    <row r="51" spans="1:14" x14ac:dyDescent="0.35">
      <c r="A51" s="2">
        <v>43259</v>
      </c>
      <c r="B51" s="3">
        <v>22.731382825339399</v>
      </c>
      <c r="C51" s="3">
        <v>16.168060314384402</v>
      </c>
      <c r="D51" s="3">
        <v>15.575331497429699</v>
      </c>
      <c r="E51" s="3">
        <v>14.1196296975432</v>
      </c>
      <c r="F51" s="3">
        <v>14.168918215758</v>
      </c>
      <c r="G51" s="3">
        <v>19.5314046073055</v>
      </c>
      <c r="H51" s="3">
        <v>13.955979200816399</v>
      </c>
      <c r="I51" s="3">
        <v>23.314994050319999</v>
      </c>
      <c r="J51" s="3">
        <v>18.980219568748499</v>
      </c>
      <c r="K51" s="3">
        <v>15.357932189064799</v>
      </c>
      <c r="L51" s="3">
        <v>16.649822666462601</v>
      </c>
      <c r="M51" s="3">
        <v>16.5264792034606</v>
      </c>
      <c r="N51" s="3">
        <v>13.3380397091967</v>
      </c>
    </row>
    <row r="52" spans="1:14" x14ac:dyDescent="0.35">
      <c r="A52" s="2">
        <v>43290</v>
      </c>
      <c r="B52" s="3">
        <v>22.9661308671716</v>
      </c>
      <c r="C52" s="3">
        <v>16.392801762074299</v>
      </c>
      <c r="D52" s="3">
        <v>15.5273231356813</v>
      </c>
      <c r="E52" s="3">
        <v>14.027463009563601</v>
      </c>
      <c r="F52" s="3">
        <v>13.8079621244271</v>
      </c>
      <c r="G52" s="3">
        <v>19.321856355156701</v>
      </c>
      <c r="H52" s="3">
        <v>13.8783162180803</v>
      </c>
      <c r="I52" s="3">
        <v>23.261222233146899</v>
      </c>
      <c r="J52" s="3">
        <v>18.731411902978401</v>
      </c>
      <c r="K52" s="3">
        <v>15.255679855918601</v>
      </c>
      <c r="L52" s="3">
        <v>16.5862875277552</v>
      </c>
      <c r="M52" s="3">
        <v>16.528003915134999</v>
      </c>
      <c r="N52" s="3">
        <v>13.336771124852101</v>
      </c>
    </row>
    <row r="53" spans="1:14" x14ac:dyDescent="0.35">
      <c r="A53" s="2">
        <v>43321</v>
      </c>
      <c r="B53" s="3">
        <v>22.929625178778501</v>
      </c>
      <c r="C53" s="3">
        <v>16.398184026230599</v>
      </c>
      <c r="D53" s="3">
        <v>15.463085866469299</v>
      </c>
      <c r="E53" s="3">
        <v>14.1422994430259</v>
      </c>
      <c r="F53" s="3">
        <v>13.7931790311459</v>
      </c>
      <c r="G53" s="3">
        <v>19.165021911420201</v>
      </c>
      <c r="H53" s="3">
        <v>13.8942770639377</v>
      </c>
      <c r="I53" s="3">
        <v>23.2271488162311</v>
      </c>
      <c r="J53" s="3">
        <v>18.664204107489201</v>
      </c>
      <c r="K53" s="3">
        <v>15.237494239763601</v>
      </c>
      <c r="L53" s="3">
        <v>16.797485792090001</v>
      </c>
      <c r="M53" s="3">
        <v>16.682020399425902</v>
      </c>
      <c r="N53" s="3">
        <v>13.101779900503701</v>
      </c>
    </row>
    <row r="54" spans="1:14" x14ac:dyDescent="0.35">
      <c r="A54" s="2">
        <v>43350</v>
      </c>
      <c r="B54" s="3">
        <v>23.258241115328399</v>
      </c>
      <c r="C54" s="3">
        <v>16.0074256616399</v>
      </c>
      <c r="D54" s="3">
        <v>15.0922527522245</v>
      </c>
      <c r="E54" s="3">
        <v>13.731671648333499</v>
      </c>
      <c r="F54" s="3">
        <v>13.3413194319534</v>
      </c>
      <c r="G54" s="3">
        <v>18.550606533364402</v>
      </c>
      <c r="H54" s="3">
        <v>13.299200902759701</v>
      </c>
      <c r="I54" s="3">
        <v>22.953493310515</v>
      </c>
      <c r="J54" s="3">
        <v>18.524229379318001</v>
      </c>
      <c r="K54" s="3">
        <v>14.7401988710944</v>
      </c>
      <c r="L54" s="3">
        <v>16.352552043027</v>
      </c>
      <c r="M54" s="3">
        <v>16.552517014067199</v>
      </c>
      <c r="N54" s="3">
        <v>12.3863291595943</v>
      </c>
    </row>
    <row r="55" spans="1:14" x14ac:dyDescent="0.35">
      <c r="A55" s="2">
        <v>43382</v>
      </c>
      <c r="B55" s="3">
        <v>23.172380246380499</v>
      </c>
      <c r="C55" s="3">
        <v>15.6930484501557</v>
      </c>
      <c r="D55" s="3">
        <v>14.8785980187732</v>
      </c>
      <c r="E55" s="3">
        <v>13.6477928595572</v>
      </c>
      <c r="F55" s="3">
        <v>13.6378378953045</v>
      </c>
      <c r="G55" s="3">
        <v>18.150287253127299</v>
      </c>
      <c r="H55" s="3">
        <v>13.2774056543842</v>
      </c>
      <c r="I55" s="3">
        <v>22.642726641441001</v>
      </c>
      <c r="J55" s="3">
        <v>18.375471978089699</v>
      </c>
      <c r="K55" s="3">
        <v>14.696508203640199</v>
      </c>
      <c r="L55" s="3">
        <v>15.9473827422949</v>
      </c>
      <c r="M55" s="3">
        <v>16.3759280929293</v>
      </c>
      <c r="N55" s="3">
        <v>12.013362128719701</v>
      </c>
    </row>
    <row r="56" spans="1:14" x14ac:dyDescent="0.35">
      <c r="A56" s="2">
        <v>43413</v>
      </c>
      <c r="B56" s="3">
        <v>23.100848781512202</v>
      </c>
      <c r="C56" s="3">
        <v>15.4997242575337</v>
      </c>
      <c r="D56" s="3">
        <v>14.193902072836099</v>
      </c>
      <c r="E56" s="3">
        <v>13.1517536795005</v>
      </c>
      <c r="F56" s="3">
        <v>12.924374932581101</v>
      </c>
      <c r="G56" s="3">
        <v>17.999914402914101</v>
      </c>
      <c r="H56" s="3">
        <v>12.885322582042701</v>
      </c>
      <c r="I56" s="3">
        <v>21.192970596821802</v>
      </c>
      <c r="J56" s="3">
        <v>17.5514468335417</v>
      </c>
      <c r="K56" s="3">
        <v>14.1703250775406</v>
      </c>
      <c r="L56" s="3">
        <v>15.708900722768901</v>
      </c>
      <c r="M56" s="3">
        <v>15.2068225607652</v>
      </c>
      <c r="N56" s="3">
        <v>11.455461812967499</v>
      </c>
    </row>
    <row r="57" spans="1:14" x14ac:dyDescent="0.35">
      <c r="A57" s="2">
        <v>43441</v>
      </c>
      <c r="B57" s="3">
        <v>22.788032044044002</v>
      </c>
      <c r="C57" s="3">
        <v>14.8477124818024</v>
      </c>
      <c r="D57" s="3">
        <v>13.683482382708799</v>
      </c>
      <c r="E57" s="3">
        <v>12.4367199439864</v>
      </c>
      <c r="F57" s="3">
        <v>12.504045726765</v>
      </c>
      <c r="G57" s="3">
        <v>17.130964451627001</v>
      </c>
      <c r="H57" s="3">
        <v>12.192802629495599</v>
      </c>
      <c r="I57" s="3">
        <v>19.748399071358801</v>
      </c>
      <c r="J57" s="3">
        <v>16.4748098865252</v>
      </c>
      <c r="K57" s="3">
        <v>13.3059676187005</v>
      </c>
      <c r="L57" s="3">
        <v>14.8737606909066</v>
      </c>
      <c r="M57" s="3">
        <v>14.2681216471785</v>
      </c>
      <c r="N57" s="3">
        <v>10.8202107571258</v>
      </c>
    </row>
    <row r="58" spans="1:14" x14ac:dyDescent="0.35">
      <c r="A58" s="2">
        <v>43474</v>
      </c>
      <c r="B58" s="3">
        <v>23.292125694165101</v>
      </c>
      <c r="C58" s="3">
        <v>15.0254027915738</v>
      </c>
      <c r="D58" s="3">
        <v>13.6174216582578</v>
      </c>
      <c r="E58" s="3">
        <v>12.4671625465794</v>
      </c>
      <c r="F58" s="3">
        <v>11.806318190780299</v>
      </c>
      <c r="G58" s="3">
        <v>16.759104166320999</v>
      </c>
      <c r="H58" s="3">
        <v>12.2691722117741</v>
      </c>
      <c r="I58" s="3">
        <v>19.556055203597101</v>
      </c>
      <c r="J58" s="3">
        <v>15.991031188326801</v>
      </c>
      <c r="K58" s="3">
        <v>13.200016451367899</v>
      </c>
      <c r="L58" s="3">
        <v>14.6015363538485</v>
      </c>
      <c r="M58" s="3">
        <v>14.4561565052809</v>
      </c>
      <c r="N58" s="3">
        <v>10.8304073810994</v>
      </c>
    </row>
    <row r="59" spans="1:14" x14ac:dyDescent="0.35">
      <c r="A59" s="2">
        <v>43504</v>
      </c>
      <c r="B59" s="3">
        <v>23.764722863681499</v>
      </c>
      <c r="C59" s="3">
        <v>15.727647599179701</v>
      </c>
      <c r="D59" s="3">
        <v>14.640179165912301</v>
      </c>
      <c r="E59" s="3">
        <v>12.6318446564247</v>
      </c>
      <c r="F59" s="3">
        <v>12.0513059519051</v>
      </c>
      <c r="G59" s="3">
        <v>17.462709038717101</v>
      </c>
      <c r="H59" s="3">
        <v>12.6055372883771</v>
      </c>
      <c r="I59" s="3">
        <v>20.356916201375999</v>
      </c>
      <c r="J59" s="3">
        <v>16.667566757438099</v>
      </c>
      <c r="K59" s="3">
        <v>13.706088324163799</v>
      </c>
      <c r="L59" s="3">
        <v>15.4171253643713</v>
      </c>
      <c r="M59" s="3">
        <v>16.766338319997899</v>
      </c>
      <c r="N59" s="3">
        <v>10.7399408502187</v>
      </c>
    </row>
    <row r="60" spans="1:14" x14ac:dyDescent="0.35">
      <c r="A60" s="2">
        <v>43532</v>
      </c>
      <c r="B60" s="3">
        <v>24.1803351618377</v>
      </c>
      <c r="C60" s="3">
        <v>15.9024796837006</v>
      </c>
      <c r="D60" s="3">
        <v>14.7133223918647</v>
      </c>
      <c r="E60" s="3">
        <v>13.1967730997372</v>
      </c>
      <c r="F60" s="3">
        <v>12.6477990488159</v>
      </c>
      <c r="G60" s="3">
        <v>18.275889556997502</v>
      </c>
      <c r="H60" s="3">
        <v>12.9044151049543</v>
      </c>
      <c r="I60" s="3">
        <v>20.838429546010399</v>
      </c>
      <c r="J60" s="3">
        <v>17.050035675765798</v>
      </c>
      <c r="K60" s="3">
        <v>14.5387710563668</v>
      </c>
      <c r="L60" s="3">
        <v>16.0929839464726</v>
      </c>
      <c r="M60" s="3">
        <v>18.050333899613701</v>
      </c>
      <c r="N60" s="3">
        <v>11.2641008276793</v>
      </c>
    </row>
    <row r="61" spans="1:14" x14ac:dyDescent="0.35">
      <c r="A61" s="2">
        <v>43564</v>
      </c>
      <c r="B61" s="3">
        <v>24.112424758163399</v>
      </c>
      <c r="C61" s="3">
        <v>15.850524130780499</v>
      </c>
      <c r="D61" s="3">
        <v>14.7439654169516</v>
      </c>
      <c r="E61" s="3">
        <v>13.2335006277593</v>
      </c>
      <c r="F61" s="3">
        <v>12.756287802189</v>
      </c>
      <c r="G61" s="3">
        <v>18.3171972663744</v>
      </c>
      <c r="H61" s="3">
        <v>13.009325329131199</v>
      </c>
      <c r="I61" s="3">
        <v>21.185655649698301</v>
      </c>
      <c r="J61" s="3">
        <v>17.209787786293099</v>
      </c>
      <c r="K61" s="3">
        <v>14.586657436097999</v>
      </c>
      <c r="L61" s="3">
        <v>16.230090552922601</v>
      </c>
      <c r="M61" s="3">
        <v>17.832967714658601</v>
      </c>
      <c r="N61" s="3">
        <v>11.332810395468799</v>
      </c>
    </row>
    <row r="62" spans="1:14" x14ac:dyDescent="0.35">
      <c r="A62" s="2">
        <v>43594</v>
      </c>
      <c r="B62" s="3">
        <v>24.257084278073101</v>
      </c>
      <c r="C62" s="3">
        <v>15.8364253271513</v>
      </c>
      <c r="D62" s="3">
        <v>14.524052148786501</v>
      </c>
      <c r="E62" s="3">
        <v>13.253767709400799</v>
      </c>
      <c r="F62" s="3">
        <v>12.6314589326992</v>
      </c>
      <c r="G62" s="3">
        <v>18.068155667985302</v>
      </c>
      <c r="H62" s="3">
        <v>12.8754432936089</v>
      </c>
      <c r="I62" s="3">
        <v>21.276291227787699</v>
      </c>
      <c r="J62" s="3">
        <v>17.170905073395001</v>
      </c>
      <c r="K62" s="3">
        <v>14.460874664571</v>
      </c>
      <c r="L62" s="3">
        <v>16.1590763544596</v>
      </c>
      <c r="M62" s="3">
        <v>17.5545823034733</v>
      </c>
      <c r="N62" s="3">
        <v>11.1442072197864</v>
      </c>
    </row>
    <row r="63" spans="1:14" x14ac:dyDescent="0.35">
      <c r="A63" s="2">
        <v>43623</v>
      </c>
      <c r="B63" s="3">
        <v>24.1552641667163</v>
      </c>
      <c r="C63" s="3">
        <v>16.025348485261699</v>
      </c>
      <c r="D63" s="3">
        <v>14.441658175897601</v>
      </c>
      <c r="E63" s="3">
        <v>13.185891598209301</v>
      </c>
      <c r="F63" s="3">
        <v>12.7153514060013</v>
      </c>
      <c r="G63" s="3">
        <v>18.243897256720501</v>
      </c>
      <c r="H63" s="3">
        <v>12.9580870657761</v>
      </c>
      <c r="I63" s="3">
        <v>21.147846507871598</v>
      </c>
      <c r="J63" s="3">
        <v>17.1751293206162</v>
      </c>
      <c r="K63" s="3">
        <v>14.488072114930301</v>
      </c>
      <c r="L63" s="3">
        <v>16.193974867937602</v>
      </c>
      <c r="M63" s="3">
        <v>17.1106943260775</v>
      </c>
      <c r="N63" s="3">
        <v>10.9484591021744</v>
      </c>
    </row>
    <row r="64" spans="1:14" x14ac:dyDescent="0.35">
      <c r="A64" s="2">
        <v>43655</v>
      </c>
      <c r="B64" s="3">
        <v>24.788681593860499</v>
      </c>
      <c r="C64" s="3">
        <v>16.260939619862899</v>
      </c>
      <c r="D64" s="3">
        <v>14.528212682721501</v>
      </c>
      <c r="E64" s="3">
        <v>13.538807005148</v>
      </c>
      <c r="F64" s="3">
        <v>12.9732523990746</v>
      </c>
      <c r="G64" s="3">
        <v>18.359760946832001</v>
      </c>
      <c r="H64" s="3">
        <v>13.093529839609401</v>
      </c>
      <c r="I64" s="3">
        <v>21.877773008814302</v>
      </c>
      <c r="J64" s="3">
        <v>17.557559996662899</v>
      </c>
      <c r="K64" s="3">
        <v>14.719126250853</v>
      </c>
      <c r="L64" s="3">
        <v>16.392502924418601</v>
      </c>
      <c r="M64" s="3">
        <v>17.138557593806301</v>
      </c>
      <c r="N64" s="3">
        <v>11.2737490191427</v>
      </c>
    </row>
    <row r="65" spans="1:14" x14ac:dyDescent="0.35">
      <c r="A65" s="2">
        <v>43686</v>
      </c>
      <c r="B65" s="3">
        <v>25.442255133865402</v>
      </c>
      <c r="C65" s="3">
        <v>16.263679974199299</v>
      </c>
      <c r="D65" s="3">
        <v>14.3899521995027</v>
      </c>
      <c r="E65" s="3">
        <v>13.3144695032251</v>
      </c>
      <c r="F65" s="3">
        <v>12.7371439933295</v>
      </c>
      <c r="G65" s="3">
        <v>18.191742701197601</v>
      </c>
      <c r="H65" s="3">
        <v>12.779792158539699</v>
      </c>
      <c r="I65" s="3">
        <v>21.684763677812999</v>
      </c>
      <c r="J65" s="3">
        <v>17.468674373948499</v>
      </c>
      <c r="K65" s="3">
        <v>14.5334875072987</v>
      </c>
      <c r="L65" s="3">
        <v>16.199228983281301</v>
      </c>
      <c r="M65" s="3">
        <v>15.968751873692799</v>
      </c>
      <c r="N65" s="3">
        <v>10.820632994551801</v>
      </c>
    </row>
    <row r="66" spans="1:14" x14ac:dyDescent="0.35">
      <c r="A66" s="2">
        <v>43717</v>
      </c>
      <c r="B66" s="3">
        <v>28.9838589793967</v>
      </c>
      <c r="C66" s="3">
        <v>16.618725439130898</v>
      </c>
      <c r="D66" s="3">
        <v>14.5025721003451</v>
      </c>
      <c r="E66" s="3">
        <v>13.9044834929621</v>
      </c>
      <c r="F66" s="3">
        <v>13.142244602005601</v>
      </c>
      <c r="G66" s="3">
        <v>18.483671773325799</v>
      </c>
      <c r="H66" s="3">
        <v>12.924528309489499</v>
      </c>
      <c r="I66" s="3">
        <v>22.1540561783196</v>
      </c>
      <c r="J66" s="3">
        <v>17.769173971582401</v>
      </c>
      <c r="K66" s="3">
        <v>14.966265391415501</v>
      </c>
      <c r="L66" s="3">
        <v>16.8977386342961</v>
      </c>
      <c r="M66" s="3">
        <v>16.064353070814299</v>
      </c>
      <c r="N66" s="3">
        <v>11.29679596013</v>
      </c>
    </row>
    <row r="67" spans="1:14" x14ac:dyDescent="0.35">
      <c r="A67" s="2">
        <v>43747</v>
      </c>
      <c r="B67" s="3">
        <v>28.772184579297299</v>
      </c>
      <c r="C67" s="3">
        <v>16.634212519802499</v>
      </c>
      <c r="D67" s="3">
        <v>14.477530177303301</v>
      </c>
      <c r="E67" s="3">
        <v>13.8857545937715</v>
      </c>
      <c r="F67" s="3">
        <v>13.395312963312101</v>
      </c>
      <c r="G67" s="3">
        <v>18.168199110510599</v>
      </c>
      <c r="H67" s="3">
        <v>12.826706571331499</v>
      </c>
      <c r="I67" s="3">
        <v>22.007576522495299</v>
      </c>
      <c r="J67" s="3">
        <v>17.6714173167884</v>
      </c>
      <c r="K67" s="3">
        <v>14.870779493593499</v>
      </c>
      <c r="L67" s="3">
        <v>16.875135285343301</v>
      </c>
      <c r="M67" s="3">
        <v>16.1950011396824</v>
      </c>
      <c r="N67" s="3">
        <v>11.1390757684314</v>
      </c>
    </row>
    <row r="68" spans="1:14" x14ac:dyDescent="0.35">
      <c r="A68" s="2">
        <v>43777</v>
      </c>
      <c r="B68" s="3">
        <v>29.089780895135299</v>
      </c>
      <c r="C68" s="3">
        <v>17.467570943009001</v>
      </c>
      <c r="D68" s="3">
        <v>15.0417764068709</v>
      </c>
      <c r="E68" s="3">
        <v>15.1694182595225</v>
      </c>
      <c r="F68" s="3">
        <v>14.414700152102</v>
      </c>
      <c r="G68" s="3">
        <v>18.8488744264966</v>
      </c>
      <c r="H68" s="3">
        <v>13.373383196323401</v>
      </c>
      <c r="I68" s="3">
        <v>23.435424747947302</v>
      </c>
      <c r="J68" s="3">
        <v>18.6644310448097</v>
      </c>
      <c r="K68" s="3">
        <v>15.9322165165079</v>
      </c>
      <c r="L68" s="3">
        <v>17.845586208335799</v>
      </c>
      <c r="M68" s="3">
        <v>17.0747681711679</v>
      </c>
      <c r="N68" s="3">
        <v>12.001388835943001</v>
      </c>
    </row>
    <row r="69" spans="1:14" x14ac:dyDescent="0.35">
      <c r="A69" s="2">
        <v>43808</v>
      </c>
      <c r="B69" s="3">
        <v>31.157234614435001</v>
      </c>
      <c r="C69" s="3">
        <v>17.598091323294401</v>
      </c>
      <c r="D69" s="3">
        <v>15.071582704277899</v>
      </c>
      <c r="E69" s="3">
        <v>15.1742560498115</v>
      </c>
      <c r="F69" s="3">
        <v>15.0981098206528</v>
      </c>
      <c r="G69" s="3">
        <v>19.111416242514899</v>
      </c>
      <c r="H69" s="3">
        <v>13.476191919163099</v>
      </c>
      <c r="I69" s="3">
        <v>24.136346522012101</v>
      </c>
      <c r="J69" s="3">
        <v>19.125281630855302</v>
      </c>
      <c r="K69" s="3">
        <v>16.005103416381601</v>
      </c>
      <c r="L69" s="3">
        <v>18.3406106064554</v>
      </c>
      <c r="M69" s="3">
        <v>15.903422056610401</v>
      </c>
      <c r="N69" s="3">
        <v>11.769613313833</v>
      </c>
    </row>
    <row r="70" spans="1:14" x14ac:dyDescent="0.35">
      <c r="A70" s="2">
        <v>43839</v>
      </c>
      <c r="B70" s="3">
        <v>32.410334205301503</v>
      </c>
      <c r="C70" s="3">
        <v>18.105177509240502</v>
      </c>
      <c r="D70" s="3">
        <v>15.4027589463458</v>
      </c>
      <c r="E70" s="3">
        <v>15.7334230985571</v>
      </c>
      <c r="F70" s="3">
        <v>15.386505434556801</v>
      </c>
      <c r="G70" s="3">
        <v>19.6313605910752</v>
      </c>
      <c r="H70" s="3">
        <v>14.2062393703455</v>
      </c>
      <c r="I70" s="3">
        <v>26.1437363491514</v>
      </c>
      <c r="J70" s="3">
        <v>20.1244567447436</v>
      </c>
      <c r="K70" s="3">
        <v>16.622799649368801</v>
      </c>
      <c r="L70" s="3">
        <v>18.904886819127</v>
      </c>
      <c r="M70" s="3">
        <v>16.436302432674999</v>
      </c>
      <c r="N70" s="3">
        <v>12.3204451105729</v>
      </c>
    </row>
    <row r="71" spans="1:14" x14ac:dyDescent="0.35">
      <c r="A71" s="2">
        <v>43868</v>
      </c>
      <c r="B71" s="3">
        <v>32.792507484380302</v>
      </c>
      <c r="C71" s="3">
        <v>18.454330731042301</v>
      </c>
      <c r="D71" s="3">
        <v>15.6793140455</v>
      </c>
      <c r="E71" s="3">
        <v>15.527100156171899</v>
      </c>
      <c r="F71" s="3">
        <v>15.4776187792543</v>
      </c>
      <c r="G71" s="3">
        <v>20.031741102570901</v>
      </c>
      <c r="H71" s="3">
        <v>13.9648665752364</v>
      </c>
      <c r="I71" s="3">
        <v>26.610498182765301</v>
      </c>
      <c r="J71" s="3">
        <v>20.239023954279801</v>
      </c>
      <c r="K71" s="3">
        <v>16.502447672068801</v>
      </c>
      <c r="L71" s="3">
        <v>19.624232681941201</v>
      </c>
      <c r="M71" s="3">
        <v>14.050493758765899</v>
      </c>
      <c r="N71" s="3">
        <v>12.7266777283102</v>
      </c>
    </row>
    <row r="72" spans="1:14" x14ac:dyDescent="0.35">
      <c r="A72" s="2">
        <v>43899</v>
      </c>
      <c r="B72" s="3">
        <v>30.904041169686501</v>
      </c>
      <c r="C72" s="3">
        <v>16.6414417201205</v>
      </c>
      <c r="D72" s="3">
        <v>14.100243295176201</v>
      </c>
      <c r="E72" s="3">
        <v>13.763998806576099</v>
      </c>
      <c r="F72" s="3">
        <v>13.774566306221701</v>
      </c>
      <c r="G72" s="3">
        <v>17.8246262987766</v>
      </c>
      <c r="H72" s="3">
        <v>12.153180834798199</v>
      </c>
      <c r="I72" s="3">
        <v>23.506660233412202</v>
      </c>
      <c r="J72" s="3">
        <v>17.668502995249298</v>
      </c>
      <c r="K72" s="3">
        <v>14.371363898810101</v>
      </c>
      <c r="L72" s="3">
        <v>17.0830583258068</v>
      </c>
      <c r="M72" s="3">
        <v>12.7125525177208</v>
      </c>
      <c r="N72" s="3">
        <v>11.036512893198299</v>
      </c>
    </row>
    <row r="73" spans="1:14" x14ac:dyDescent="0.35">
      <c r="A73" s="2">
        <v>43930</v>
      </c>
      <c r="B73" s="3">
        <v>30.789089398490599</v>
      </c>
      <c r="C73" s="3">
        <v>16.7400853802088</v>
      </c>
      <c r="D73" s="3">
        <v>14.702422411932201</v>
      </c>
      <c r="E73" s="3">
        <v>14.2755371533434</v>
      </c>
      <c r="F73" s="3">
        <v>13.8930910141816</v>
      </c>
      <c r="G73" s="3">
        <v>18.127303300799401</v>
      </c>
      <c r="H73" s="3">
        <v>12.7909100078683</v>
      </c>
      <c r="I73" s="3">
        <v>23.958636862035501</v>
      </c>
      <c r="J73" s="3">
        <v>18.282622658648101</v>
      </c>
      <c r="K73" s="3">
        <v>14.9613602640288</v>
      </c>
      <c r="L73" s="3">
        <v>17.296378021840798</v>
      </c>
      <c r="M73" s="3">
        <v>13.616371147560001</v>
      </c>
      <c r="N73" s="3">
        <v>11.3594125527211</v>
      </c>
    </row>
    <row r="74" spans="1:14" x14ac:dyDescent="0.35">
      <c r="A74" s="2">
        <v>43959</v>
      </c>
      <c r="B74" s="3">
        <v>31.8079860318139</v>
      </c>
      <c r="C74" s="3">
        <v>17.3381554514832</v>
      </c>
      <c r="D74" s="3">
        <v>16.1377913305158</v>
      </c>
      <c r="E74" s="3">
        <v>15.2582534684707</v>
      </c>
      <c r="F74" s="3">
        <v>14.3956039721597</v>
      </c>
      <c r="G74" s="3">
        <v>18.680121684158902</v>
      </c>
      <c r="H74" s="3">
        <v>13.865579298602199</v>
      </c>
      <c r="I74" s="3">
        <v>25.672346595181299</v>
      </c>
      <c r="J74" s="3">
        <v>19.665802985175901</v>
      </c>
      <c r="K74" s="3">
        <v>16.1595324824461</v>
      </c>
      <c r="L74" s="3">
        <v>17.988110147751001</v>
      </c>
      <c r="M74" s="3">
        <v>15.1996961122356</v>
      </c>
      <c r="N74" s="3">
        <v>13.4476460483447</v>
      </c>
    </row>
    <row r="75" spans="1:14" x14ac:dyDescent="0.35">
      <c r="A75" s="2">
        <v>43991</v>
      </c>
      <c r="B75" s="3">
        <v>32.445971086314998</v>
      </c>
      <c r="C75" s="3">
        <v>18.809855146330602</v>
      </c>
      <c r="D75" s="3">
        <v>17.394128329696201</v>
      </c>
      <c r="E75" s="3">
        <v>17.179715788103</v>
      </c>
      <c r="F75" s="3">
        <v>16.4161776394822</v>
      </c>
      <c r="G75" s="3">
        <v>19.420298926739399</v>
      </c>
      <c r="H75" s="3">
        <v>15.1267677010428</v>
      </c>
      <c r="I75" s="3">
        <v>27.200659916319101</v>
      </c>
      <c r="J75" s="3">
        <v>21.1763403167371</v>
      </c>
      <c r="K75" s="3">
        <v>18.012237509300999</v>
      </c>
      <c r="L75" s="3">
        <v>19.253604258173901</v>
      </c>
      <c r="M75" s="3">
        <v>16.549635369282399</v>
      </c>
      <c r="N75" s="3">
        <v>15.8254193625955</v>
      </c>
    </row>
    <row r="76" spans="1:14" x14ac:dyDescent="0.35">
      <c r="A76" s="2">
        <v>44021</v>
      </c>
      <c r="B76" s="3">
        <v>33.138530593597601</v>
      </c>
      <c r="C76" s="3">
        <v>18.605273652517599</v>
      </c>
      <c r="D76" s="3">
        <v>17.460347127068001</v>
      </c>
      <c r="E76" s="3">
        <v>18.287098919729001</v>
      </c>
      <c r="F76" s="3">
        <v>17.236773866931301</v>
      </c>
      <c r="G76" s="3">
        <v>19.7573036519432</v>
      </c>
      <c r="H76" s="3">
        <v>15.148321643057001</v>
      </c>
      <c r="I76" s="3">
        <v>28.792797227765298</v>
      </c>
      <c r="J76" s="3">
        <v>21.6346336567401</v>
      </c>
      <c r="K76" s="3">
        <v>19.1064931664955</v>
      </c>
      <c r="L76" s="3">
        <v>19.945683948897099</v>
      </c>
      <c r="M76" s="3">
        <v>17.541924545106799</v>
      </c>
      <c r="N76" s="3">
        <v>16.808935244306401</v>
      </c>
    </row>
    <row r="77" spans="1:14" x14ac:dyDescent="0.35">
      <c r="A77" s="2">
        <v>44050</v>
      </c>
      <c r="B77" s="3">
        <v>33.694096012393601</v>
      </c>
      <c r="C77" s="3">
        <v>19.138905750621301</v>
      </c>
      <c r="D77" s="3">
        <v>18.167000959963701</v>
      </c>
      <c r="E77" s="3">
        <v>19.0254185128837</v>
      </c>
      <c r="F77" s="3">
        <v>17.8980207310642</v>
      </c>
      <c r="G77" s="3">
        <v>20.0959217214582</v>
      </c>
      <c r="H77" s="3">
        <v>15.9874506670883</v>
      </c>
      <c r="I77" s="3">
        <v>29.1053992036647</v>
      </c>
      <c r="J77" s="3">
        <v>22.5270808944957</v>
      </c>
      <c r="K77" s="3">
        <v>21.476173641001701</v>
      </c>
      <c r="L77" s="3">
        <v>20.605848727071098</v>
      </c>
      <c r="M77" s="3">
        <v>17.303055892816602</v>
      </c>
      <c r="N77" s="3">
        <v>17.333491720341101</v>
      </c>
    </row>
    <row r="78" spans="1:14" x14ac:dyDescent="0.35">
      <c r="A78" s="2">
        <v>44083</v>
      </c>
      <c r="B78" s="3">
        <v>33.716513190481898</v>
      </c>
      <c r="C78" s="3">
        <v>19.3972280142921</v>
      </c>
      <c r="D78" s="3">
        <v>18.306909381765401</v>
      </c>
      <c r="E78" s="3">
        <v>20.476285029393502</v>
      </c>
      <c r="F78" s="3">
        <v>19.151454150740101</v>
      </c>
      <c r="G78" s="3">
        <v>20.837197037377599</v>
      </c>
      <c r="H78" s="3">
        <v>16.792781466399401</v>
      </c>
      <c r="I78" s="3">
        <v>30.3284412906517</v>
      </c>
      <c r="J78" s="3">
        <v>23.3445678160538</v>
      </c>
      <c r="K78" s="3">
        <v>23.168567878508998</v>
      </c>
      <c r="L78" s="3">
        <v>21.48405946718</v>
      </c>
      <c r="M78" s="3">
        <v>17.720111167194698</v>
      </c>
      <c r="N78" s="3">
        <v>18.516824977842798</v>
      </c>
    </row>
    <row r="79" spans="1:14" x14ac:dyDescent="0.35">
      <c r="A79" s="2">
        <v>44113</v>
      </c>
      <c r="B79" s="3">
        <v>35.036135797800299</v>
      </c>
      <c r="C79" s="3">
        <v>19.9101742863037</v>
      </c>
      <c r="D79" s="3">
        <v>18.8406299275922</v>
      </c>
      <c r="E79" s="3">
        <v>20.669717246723501</v>
      </c>
      <c r="F79" s="3">
        <v>20.471041639951899</v>
      </c>
      <c r="G79" s="3">
        <v>20.992011780095901</v>
      </c>
      <c r="H79" s="3">
        <v>17.213382064138401</v>
      </c>
      <c r="I79" s="3">
        <v>31.715920391883198</v>
      </c>
      <c r="J79" s="3">
        <v>24.347116373319199</v>
      </c>
      <c r="K79" s="3">
        <v>23.953888154647501</v>
      </c>
      <c r="L79" s="3">
        <v>22.634051680146499</v>
      </c>
      <c r="M79" s="3">
        <v>18.304568641108201</v>
      </c>
      <c r="N79" s="3">
        <v>18.764734268899399</v>
      </c>
    </row>
    <row r="80" spans="1:14" x14ac:dyDescent="0.35">
      <c r="A80" s="2">
        <v>44144</v>
      </c>
      <c r="B80" s="3">
        <v>36.495888253280697</v>
      </c>
      <c r="C80" s="3">
        <v>20.870990973523899</v>
      </c>
      <c r="D80" s="3">
        <v>18.8571074546606</v>
      </c>
      <c r="E80" s="3">
        <v>20.3101526683953</v>
      </c>
      <c r="F80" s="3">
        <v>21.4077227768394</v>
      </c>
      <c r="G80" s="3">
        <v>21.087668854249198</v>
      </c>
      <c r="H80" s="3">
        <v>17.371776158760898</v>
      </c>
      <c r="I80" s="3">
        <v>31.686455083677199</v>
      </c>
      <c r="J80" s="3">
        <v>24.594170748015301</v>
      </c>
      <c r="K80" s="3">
        <v>26.385265929311199</v>
      </c>
      <c r="L80" s="3">
        <v>23.582439913958002</v>
      </c>
      <c r="M80" s="3">
        <v>16.423515208871802</v>
      </c>
      <c r="N80" s="3">
        <v>20.294125207478999</v>
      </c>
    </row>
    <row r="81" spans="1:14" x14ac:dyDescent="0.35">
      <c r="A81" s="2">
        <v>44174</v>
      </c>
      <c r="B81" s="3">
        <v>37.029658092200101</v>
      </c>
      <c r="C81" s="3">
        <v>22.771178607185</v>
      </c>
      <c r="D81" s="3">
        <v>20.199633226927102</v>
      </c>
      <c r="E81" s="3">
        <v>21.002508132453201</v>
      </c>
      <c r="F81" s="3">
        <v>22.655914386320699</v>
      </c>
      <c r="G81" s="3">
        <v>21.156373596530699</v>
      </c>
      <c r="H81" s="3">
        <v>19.402073106126402</v>
      </c>
      <c r="I81" s="3">
        <v>33.6482140685725</v>
      </c>
      <c r="J81" s="3">
        <v>25.8326060020322</v>
      </c>
      <c r="K81" s="3">
        <v>28.043939375537601</v>
      </c>
      <c r="L81" s="3">
        <v>26.272840881810001</v>
      </c>
      <c r="M81" s="3">
        <v>17.279027472621099</v>
      </c>
      <c r="N81" s="3">
        <v>22.5306498077803</v>
      </c>
    </row>
    <row r="82" spans="1:14" x14ac:dyDescent="0.35">
      <c r="A82" s="2">
        <v>44204</v>
      </c>
      <c r="B82" s="3">
        <v>39.176897926578299</v>
      </c>
      <c r="C82" s="3">
        <v>23.6619447046297</v>
      </c>
      <c r="D82" s="3">
        <v>21.364767171799802</v>
      </c>
      <c r="E82" s="3">
        <v>22.377880300481799</v>
      </c>
      <c r="F82" s="3">
        <v>24.032276226305001</v>
      </c>
      <c r="G82" s="3">
        <v>22.137803175260999</v>
      </c>
      <c r="H82" s="3">
        <v>20.667602160618902</v>
      </c>
      <c r="I82" s="3">
        <v>35.673700746795099</v>
      </c>
      <c r="J82" s="3">
        <v>27.767860294748399</v>
      </c>
      <c r="K82" s="3">
        <v>29.3587071449445</v>
      </c>
      <c r="L82" s="3">
        <v>27.916597597029899</v>
      </c>
      <c r="M82" s="3">
        <v>18.623033566874799</v>
      </c>
      <c r="N82" s="3">
        <v>23.822676990742501</v>
      </c>
    </row>
    <row r="83" spans="1:14" x14ac:dyDescent="0.35">
      <c r="A83" s="2">
        <v>44236</v>
      </c>
      <c r="B83" s="3">
        <v>35.989587206163101</v>
      </c>
      <c r="C83" s="3">
        <v>22.978283852876999</v>
      </c>
      <c r="D83" s="3">
        <v>21.377329779406701</v>
      </c>
      <c r="E83" s="3">
        <v>21.341802005447398</v>
      </c>
      <c r="F83" s="3">
        <v>23.787130647051502</v>
      </c>
      <c r="G83" s="3">
        <v>21.359960973032301</v>
      </c>
      <c r="H83" s="3">
        <v>19.377394385332401</v>
      </c>
      <c r="I83" s="3">
        <v>35.342522385041001</v>
      </c>
      <c r="J83" s="3">
        <v>27.3402569551521</v>
      </c>
      <c r="K83" s="3">
        <v>28.035676555681398</v>
      </c>
      <c r="L83" s="3">
        <v>28.716382055040299</v>
      </c>
      <c r="M83" s="3">
        <v>17.922982214696699</v>
      </c>
      <c r="N83" s="3">
        <v>21.294192685008799</v>
      </c>
    </row>
    <row r="84" spans="1:14" x14ac:dyDescent="0.35">
      <c r="A84" s="2">
        <v>44264</v>
      </c>
      <c r="B84" s="3">
        <v>34.305506222675</v>
      </c>
      <c r="C84" s="3">
        <v>21.7116992062134</v>
      </c>
      <c r="D84" s="3">
        <v>19.8968843805444</v>
      </c>
      <c r="E84" s="3">
        <v>20.234819553978699</v>
      </c>
      <c r="F84" s="3">
        <v>21.571018289397401</v>
      </c>
      <c r="G84" s="3">
        <v>20.475964921027</v>
      </c>
      <c r="H84" s="3">
        <v>18.73268757256</v>
      </c>
      <c r="I84" s="3">
        <v>32.731173048266797</v>
      </c>
      <c r="J84" s="3">
        <v>26.1905215384282</v>
      </c>
      <c r="K84" s="3">
        <v>26.854109241667299</v>
      </c>
      <c r="L84" s="3">
        <v>28.769757341678002</v>
      </c>
      <c r="M84" s="3">
        <v>17.811652278787498</v>
      </c>
      <c r="N84" s="3">
        <v>20.163597467477</v>
      </c>
    </row>
    <row r="85" spans="1:14" x14ac:dyDescent="0.35">
      <c r="A85" s="2">
        <v>44295</v>
      </c>
      <c r="B85" s="3">
        <v>34.475465548886802</v>
      </c>
      <c r="C85" s="3">
        <v>21.312188187047902</v>
      </c>
      <c r="D85" s="3">
        <v>19.528842341223601</v>
      </c>
      <c r="E85" s="3">
        <v>19.9978889789909</v>
      </c>
      <c r="F85" s="3">
        <v>21.2109846421044</v>
      </c>
      <c r="G85" s="3">
        <v>20.629868606695702</v>
      </c>
      <c r="H85" s="3">
        <v>18.117631958510501</v>
      </c>
      <c r="I85" s="3">
        <v>32.885490905610602</v>
      </c>
      <c r="J85" s="3">
        <v>26.087149037360501</v>
      </c>
      <c r="K85" s="3">
        <v>26.110520890721698</v>
      </c>
      <c r="L85" s="3">
        <v>28.563993917726599</v>
      </c>
      <c r="M85" s="3">
        <v>18.349470590264001</v>
      </c>
      <c r="N85" s="3">
        <v>19.5983226751671</v>
      </c>
    </row>
    <row r="86" spans="1:14" x14ac:dyDescent="0.35">
      <c r="A86" s="2">
        <v>44323</v>
      </c>
      <c r="B86" s="3">
        <v>34.586261076859998</v>
      </c>
      <c r="C86" s="3">
        <v>20.961171647695501</v>
      </c>
      <c r="D86" s="3">
        <v>19.1914994263918</v>
      </c>
      <c r="E86" s="3">
        <v>19.245100708049598</v>
      </c>
      <c r="F86" s="3">
        <v>20.714344059689299</v>
      </c>
      <c r="G86" s="3">
        <v>20.5181069020412</v>
      </c>
      <c r="H86" s="3">
        <v>17.6112825123971</v>
      </c>
      <c r="I86" s="3">
        <v>31.923335278632699</v>
      </c>
      <c r="J86" s="3">
        <v>25.526601863319499</v>
      </c>
      <c r="K86" s="3">
        <v>25.268243259474001</v>
      </c>
      <c r="L86" s="3">
        <v>27.726847074864899</v>
      </c>
      <c r="M86" s="3">
        <v>17.588543899912398</v>
      </c>
      <c r="N86" s="3">
        <v>18.936593786589501</v>
      </c>
    </row>
    <row r="87" spans="1:14" x14ac:dyDescent="0.35">
      <c r="A87" s="2">
        <v>44356</v>
      </c>
      <c r="B87" s="3">
        <v>35.369239586012597</v>
      </c>
      <c r="C87" s="3">
        <v>20.682849498099799</v>
      </c>
      <c r="D87" s="3">
        <v>18.664692056490001</v>
      </c>
      <c r="E87" s="3">
        <v>18.732181757861699</v>
      </c>
      <c r="F87" s="3">
        <v>20.158039021806101</v>
      </c>
      <c r="G87" s="3">
        <v>20.862760819793799</v>
      </c>
      <c r="H87" s="3">
        <v>16.954186956639798</v>
      </c>
      <c r="I87" s="3">
        <v>31.4220688289771</v>
      </c>
      <c r="J87" s="3">
        <v>24.962676442396699</v>
      </c>
      <c r="K87" s="3">
        <v>24.463819365510499</v>
      </c>
      <c r="L87" s="3">
        <v>26.9384799438802</v>
      </c>
      <c r="M87" s="3">
        <v>17.898499698373499</v>
      </c>
      <c r="N87" s="3">
        <v>18.573898001785398</v>
      </c>
    </row>
    <row r="88" spans="1:14" x14ac:dyDescent="0.35">
      <c r="A88" s="2">
        <v>44386</v>
      </c>
      <c r="B88" s="3">
        <v>36.422849785520299</v>
      </c>
      <c r="C88" s="3">
        <v>19.624520693059701</v>
      </c>
      <c r="D88" s="3">
        <v>18.3030045215367</v>
      </c>
      <c r="E88" s="3">
        <v>18.196791688604399</v>
      </c>
      <c r="F88" s="3">
        <v>19.4675773175031</v>
      </c>
      <c r="G88" s="3">
        <v>20.894420909583001</v>
      </c>
      <c r="H88" s="3">
        <v>16.186239217554899</v>
      </c>
      <c r="I88" s="3">
        <v>32.052181663669401</v>
      </c>
      <c r="J88" s="3">
        <v>24.877015452783201</v>
      </c>
      <c r="K88" s="3">
        <v>23.288997424690201</v>
      </c>
      <c r="L88" s="3">
        <v>26.3643705945127</v>
      </c>
      <c r="M88" s="3">
        <v>18.130150880806699</v>
      </c>
      <c r="N88" s="3">
        <v>17.703134076901001</v>
      </c>
    </row>
    <row r="89" spans="1:14" x14ac:dyDescent="0.35">
      <c r="A89" s="2">
        <v>44417</v>
      </c>
      <c r="B89" s="3">
        <v>36.849154517807101</v>
      </c>
      <c r="C89" s="3">
        <v>19.292235388816898</v>
      </c>
      <c r="D89" s="3">
        <v>17.6329714057395</v>
      </c>
      <c r="E89" s="3">
        <v>17.369865227173602</v>
      </c>
      <c r="F89" s="3">
        <v>18.9420175667256</v>
      </c>
      <c r="G89" s="3">
        <v>21.0626629685712</v>
      </c>
      <c r="H89" s="3">
        <v>15.2598143785997</v>
      </c>
      <c r="I89" s="3">
        <v>31.3918843537787</v>
      </c>
      <c r="J89" s="3">
        <v>24.071535463487201</v>
      </c>
      <c r="K89" s="3">
        <v>22.031583944348501</v>
      </c>
      <c r="L89" s="3">
        <v>26.3338852105163</v>
      </c>
      <c r="M89" s="3">
        <v>17.559115280448101</v>
      </c>
      <c r="N89" s="3">
        <v>16.361553065941902</v>
      </c>
    </row>
    <row r="90" spans="1:14" x14ac:dyDescent="0.35">
      <c r="A90" s="2">
        <v>44448</v>
      </c>
      <c r="B90" s="3">
        <v>38.282310664522299</v>
      </c>
      <c r="C90" s="3">
        <v>18.741193557964099</v>
      </c>
      <c r="D90" s="3">
        <v>17.074236539778099</v>
      </c>
      <c r="E90" s="3">
        <v>16.640232212744198</v>
      </c>
      <c r="F90" s="3">
        <v>18.687682302023902</v>
      </c>
      <c r="G90" s="3">
        <v>20.863170789498</v>
      </c>
      <c r="H90" s="3">
        <v>14.3967263598153</v>
      </c>
      <c r="I90" s="3">
        <v>31.6228504220818</v>
      </c>
      <c r="J90" s="3">
        <v>23.797492826797399</v>
      </c>
      <c r="K90" s="3">
        <v>20.761506207206899</v>
      </c>
      <c r="L90" s="3">
        <v>25.678120912998398</v>
      </c>
      <c r="M90" s="3">
        <v>17.481210896785502</v>
      </c>
      <c r="N90" s="3">
        <v>15.3681567333771</v>
      </c>
    </row>
    <row r="91" spans="1:14" x14ac:dyDescent="0.35">
      <c r="A91" s="2">
        <v>44477</v>
      </c>
      <c r="B91" s="3">
        <v>38.500822767663202</v>
      </c>
      <c r="C91" s="3">
        <v>18.551130239993501</v>
      </c>
      <c r="D91" s="3">
        <v>16.5072064685152</v>
      </c>
      <c r="E91" s="3">
        <v>15.863602050128801</v>
      </c>
      <c r="F91" s="3">
        <v>17.5499942004129</v>
      </c>
      <c r="G91" s="3">
        <v>20.202268733684502</v>
      </c>
      <c r="H91" s="3">
        <v>13.903710763999101</v>
      </c>
      <c r="I91" s="3">
        <v>30.463981185866</v>
      </c>
      <c r="J91" s="3">
        <v>23.086392347071101</v>
      </c>
      <c r="K91" s="3">
        <v>19.280090579672201</v>
      </c>
      <c r="L91" s="3">
        <v>23.969884787936699</v>
      </c>
      <c r="M91" s="3">
        <v>16.863243901121201</v>
      </c>
      <c r="N91" s="3">
        <v>14.623570365909799</v>
      </c>
    </row>
    <row r="92" spans="1:14" x14ac:dyDescent="0.35">
      <c r="A92" s="2">
        <v>44509</v>
      </c>
      <c r="B92" s="3">
        <v>39.447141103096897</v>
      </c>
      <c r="C92" s="3">
        <v>18.504171503650401</v>
      </c>
      <c r="D92" s="3">
        <v>16.6739571279786</v>
      </c>
      <c r="E92" s="3">
        <v>15.4895026249186</v>
      </c>
      <c r="F92" s="3">
        <v>17.499859179015001</v>
      </c>
      <c r="G92" s="3">
        <v>20.933054867803101</v>
      </c>
      <c r="H92" s="3">
        <v>13.3148247315122</v>
      </c>
      <c r="I92" s="3">
        <v>31.9634289752691</v>
      </c>
      <c r="J92" s="3">
        <v>23.4664074017901</v>
      </c>
      <c r="K92" s="3">
        <v>18.779437668095898</v>
      </c>
      <c r="L92" s="3">
        <v>24.665653733835398</v>
      </c>
      <c r="M92" s="3">
        <v>16.670306566188401</v>
      </c>
      <c r="N92" s="3">
        <v>13.881505860592901</v>
      </c>
    </row>
    <row r="93" spans="1:14" x14ac:dyDescent="0.35">
      <c r="A93" s="2">
        <v>44539</v>
      </c>
      <c r="B93" s="3">
        <v>38.956950208957601</v>
      </c>
      <c r="C93" s="3">
        <v>17.914566004678701</v>
      </c>
      <c r="D93" s="3">
        <v>15.5903306916376</v>
      </c>
      <c r="E93" s="3">
        <v>14.3506278331225</v>
      </c>
      <c r="F93" s="3">
        <v>16.5451794951727</v>
      </c>
      <c r="G93" s="3">
        <v>21.064871886156801</v>
      </c>
      <c r="H93" s="3">
        <v>12.5657426869491</v>
      </c>
      <c r="I93" s="3">
        <v>31.578725756090101</v>
      </c>
      <c r="J93" s="3">
        <v>22.973525162498699</v>
      </c>
      <c r="K93" s="3">
        <v>17.592979940472901</v>
      </c>
      <c r="L93" s="3">
        <v>22.797157030906099</v>
      </c>
      <c r="M93" s="3">
        <v>16.677859000061101</v>
      </c>
      <c r="N93" s="3">
        <v>12.432807573142</v>
      </c>
    </row>
    <row r="94" spans="1:14" x14ac:dyDescent="0.35">
      <c r="A94" s="2">
        <v>44567</v>
      </c>
      <c r="B94" s="3">
        <v>39.078210374063801</v>
      </c>
      <c r="C94" s="3">
        <v>17.723571917280001</v>
      </c>
      <c r="D94" s="3">
        <v>15.3240888860688</v>
      </c>
      <c r="E94" s="3">
        <v>14.164955682298499</v>
      </c>
      <c r="F94" s="3">
        <v>16.110958477097601</v>
      </c>
      <c r="G94" s="3">
        <v>21.349440599830899</v>
      </c>
      <c r="H94" s="3">
        <v>12.568560448610601</v>
      </c>
      <c r="I94" s="3">
        <v>30.4094443542769</v>
      </c>
      <c r="J94" s="3">
        <v>22.7532125121386</v>
      </c>
      <c r="K94" s="3">
        <v>17.2644861629215</v>
      </c>
      <c r="L94" s="3">
        <v>22.3386207623508</v>
      </c>
      <c r="M94" s="3">
        <v>16.696888144744999</v>
      </c>
      <c r="N94" s="3">
        <v>12.230639440293301</v>
      </c>
    </row>
    <row r="95" spans="1:14" x14ac:dyDescent="0.35">
      <c r="A95" s="2">
        <v>44601</v>
      </c>
      <c r="B95" s="3">
        <v>37.6547682608646</v>
      </c>
      <c r="C95" s="3">
        <v>16.404406333994199</v>
      </c>
      <c r="D95" s="3">
        <v>15.6957728021381</v>
      </c>
      <c r="E95" s="3">
        <v>13.6225412549833</v>
      </c>
      <c r="F95" s="3">
        <v>15.407367592345899</v>
      </c>
      <c r="G95" s="3">
        <v>20.051428584088999</v>
      </c>
      <c r="H95" s="3">
        <v>12.843774693666701</v>
      </c>
      <c r="I95" s="3">
        <v>28.457244126471299</v>
      </c>
      <c r="J95" s="3">
        <v>21.885585167031302</v>
      </c>
      <c r="K95" s="3">
        <v>16.611073558688901</v>
      </c>
      <c r="L95" s="3">
        <v>20.577072660851801</v>
      </c>
      <c r="M95" s="3">
        <v>12.6168517238987</v>
      </c>
      <c r="N95" s="3">
        <v>11.8222141905303</v>
      </c>
    </row>
    <row r="96" spans="1:14" x14ac:dyDescent="0.35">
      <c r="A96" s="2">
        <v>44629</v>
      </c>
      <c r="B96" s="3">
        <v>35.084674700932197</v>
      </c>
      <c r="C96" s="3">
        <v>15.6769392666925</v>
      </c>
      <c r="D96" s="3">
        <v>15.2283033378851</v>
      </c>
      <c r="E96" s="3">
        <v>12.4074766376061</v>
      </c>
      <c r="F96" s="3">
        <v>14.4914870881752</v>
      </c>
      <c r="G96" s="3">
        <v>18.360430642153698</v>
      </c>
      <c r="H96" s="3">
        <v>12.430964391699399</v>
      </c>
      <c r="I96" s="3">
        <v>26.493178629895699</v>
      </c>
      <c r="J96" s="3">
        <v>20.588884129741501</v>
      </c>
      <c r="K96" s="3">
        <v>15.3285706102704</v>
      </c>
      <c r="L96" s="3">
        <v>18.2313140817635</v>
      </c>
      <c r="M96" s="3">
        <v>11.654429902075901</v>
      </c>
      <c r="N96" s="3">
        <v>10.566402218496201</v>
      </c>
    </row>
    <row r="97" spans="1:14" x14ac:dyDescent="0.35">
      <c r="A97" s="2">
        <v>44659</v>
      </c>
      <c r="B97" s="3">
        <v>34.611527515993103</v>
      </c>
      <c r="C97" s="3">
        <v>15.704207843040599</v>
      </c>
      <c r="D97" s="3">
        <v>14.9774588288382</v>
      </c>
      <c r="E97" s="3">
        <v>12.3990685325358</v>
      </c>
      <c r="F97" s="3">
        <v>14.485396767973899</v>
      </c>
      <c r="G97" s="3">
        <v>18.700161705398301</v>
      </c>
      <c r="H97" s="3">
        <v>12.292703294776899</v>
      </c>
      <c r="I97" s="3">
        <v>26.572398796658099</v>
      </c>
      <c r="J97" s="3">
        <v>20.619708289923501</v>
      </c>
      <c r="K97" s="3">
        <v>15.108468546246</v>
      </c>
      <c r="L97" s="3">
        <v>18.444287508835998</v>
      </c>
      <c r="M97" s="3">
        <v>12.198536185697099</v>
      </c>
      <c r="N97" s="3">
        <v>10.5389922310933</v>
      </c>
    </row>
    <row r="98" spans="1:14" x14ac:dyDescent="0.35">
      <c r="A98" s="2">
        <v>44690</v>
      </c>
      <c r="B98" s="3">
        <v>34.381229489783898</v>
      </c>
      <c r="C98" s="3">
        <v>15.1539216626814</v>
      </c>
      <c r="D98" s="3">
        <v>14.3053776526208</v>
      </c>
      <c r="E98" s="3">
        <v>11.931194744763101</v>
      </c>
      <c r="F98" s="3">
        <v>14.237039343760699</v>
      </c>
      <c r="G98" s="3">
        <v>18.079880001619699</v>
      </c>
      <c r="H98" s="3">
        <v>11.727707742782799</v>
      </c>
      <c r="I98" s="3">
        <v>25.276214368955799</v>
      </c>
      <c r="J98" s="3">
        <v>19.715965282265799</v>
      </c>
      <c r="K98" s="3">
        <v>14.4337120816124</v>
      </c>
      <c r="L98" s="3">
        <v>17.727333111827299</v>
      </c>
      <c r="M98" s="3">
        <v>12.866031859189899</v>
      </c>
      <c r="N98" s="3">
        <v>10.135506206432</v>
      </c>
    </row>
    <row r="99" spans="1:14" x14ac:dyDescent="0.35">
      <c r="A99" s="2">
        <v>44721</v>
      </c>
      <c r="B99" s="3">
        <v>33.3141466698399</v>
      </c>
      <c r="C99" s="3">
        <v>14.7343751470802</v>
      </c>
      <c r="D99" s="3">
        <v>14.143706138052</v>
      </c>
      <c r="E99" s="3">
        <v>12.0260123550225</v>
      </c>
      <c r="F99" s="3">
        <v>14.315826216647499</v>
      </c>
      <c r="G99" s="3">
        <v>17.916549466869</v>
      </c>
      <c r="H99" s="3">
        <v>11.6288101736436</v>
      </c>
      <c r="I99" s="3">
        <v>24.948325576420601</v>
      </c>
      <c r="J99" s="3">
        <v>19.429054869402499</v>
      </c>
      <c r="K99" s="3">
        <v>14.1947967806409</v>
      </c>
      <c r="L99" s="3">
        <v>18.506188314389298</v>
      </c>
      <c r="M99" s="3">
        <v>13.6500187447129</v>
      </c>
      <c r="N99" s="3">
        <v>9.8803550152946897</v>
      </c>
    </row>
    <row r="100" spans="1:14" x14ac:dyDescent="0.35">
      <c r="A100" s="2">
        <v>44750</v>
      </c>
      <c r="B100" s="3">
        <v>33.144143249279097</v>
      </c>
      <c r="C100" s="3">
        <v>14.1187706221358</v>
      </c>
      <c r="D100" s="3">
        <v>13.405269997741399</v>
      </c>
      <c r="E100" s="3">
        <v>11.458176541723599</v>
      </c>
      <c r="F100" s="3">
        <v>13.8634272336999</v>
      </c>
      <c r="G100" s="3">
        <v>17.7575105135131</v>
      </c>
      <c r="H100" s="3">
        <v>11.0046018958086</v>
      </c>
      <c r="I100" s="3">
        <v>24.603772074483999</v>
      </c>
      <c r="J100" s="3">
        <v>18.8970114137826</v>
      </c>
      <c r="K100" s="3">
        <v>13.444954002264099</v>
      </c>
      <c r="L100" s="3">
        <v>18.278289448185799</v>
      </c>
      <c r="M100" s="3">
        <v>13.8562486289664</v>
      </c>
      <c r="N100" s="3">
        <v>9.3262843503360706</v>
      </c>
    </row>
    <row r="101" spans="1:14" x14ac:dyDescent="0.35">
      <c r="A101" s="2">
        <v>44782</v>
      </c>
      <c r="B101" s="3">
        <v>33.543318523805603</v>
      </c>
      <c r="C101" s="3">
        <v>14.5200040403921</v>
      </c>
      <c r="D101" s="3">
        <v>13.1607010306153</v>
      </c>
      <c r="E101" s="3">
        <v>11.232863018207</v>
      </c>
      <c r="F101" s="3">
        <v>13.890488308470999</v>
      </c>
      <c r="G101" s="3">
        <v>18.259096972179499</v>
      </c>
      <c r="H101" s="3">
        <v>10.857572302402099</v>
      </c>
      <c r="I101" s="3">
        <v>25.788076958589599</v>
      </c>
      <c r="J101" s="3">
        <v>19.292965994657301</v>
      </c>
      <c r="K101" s="3">
        <v>13.2178628106301</v>
      </c>
      <c r="L101" s="3">
        <v>19.467406057527501</v>
      </c>
      <c r="M101" s="3">
        <v>14.546516504552001</v>
      </c>
      <c r="N101" s="3">
        <v>8.8824180749640398</v>
      </c>
    </row>
    <row r="102" spans="1:14" x14ac:dyDescent="0.35">
      <c r="A102" s="2">
        <v>44813</v>
      </c>
      <c r="B102" s="3">
        <v>34.322327634276597</v>
      </c>
      <c r="C102" s="3">
        <v>14.1354768250674</v>
      </c>
      <c r="D102" s="3">
        <v>12.9163798040129</v>
      </c>
      <c r="E102" s="3">
        <v>10.8861633542092</v>
      </c>
      <c r="F102" s="3">
        <v>13.7644468472723</v>
      </c>
      <c r="G102" s="3">
        <v>17.9840443064741</v>
      </c>
      <c r="H102" s="3">
        <v>10.2646011328043</v>
      </c>
      <c r="I102" s="3">
        <v>25.0694818397014</v>
      </c>
      <c r="J102" s="3">
        <v>18.9155022460629</v>
      </c>
      <c r="K102" s="3">
        <v>12.520209251778001</v>
      </c>
      <c r="L102" s="3">
        <v>18.732643435736499</v>
      </c>
      <c r="M102" s="3">
        <v>14.7530283414115</v>
      </c>
      <c r="N102" s="3">
        <v>8.4789112696545406</v>
      </c>
    </row>
    <row r="103" spans="1:14" x14ac:dyDescent="0.35">
      <c r="A103" s="2">
        <v>44841</v>
      </c>
      <c r="B103" s="3">
        <v>31.773596077122299</v>
      </c>
      <c r="C103" s="3">
        <v>13.5942256205717</v>
      </c>
      <c r="D103" s="3">
        <v>12.1572153111223</v>
      </c>
      <c r="E103" s="3">
        <v>10.1097038368952</v>
      </c>
      <c r="F103" s="3">
        <v>13.250814924100601</v>
      </c>
      <c r="G103" s="3">
        <v>16.910278360106599</v>
      </c>
      <c r="H103" s="3">
        <v>9.5366967709260297</v>
      </c>
      <c r="I103" s="3">
        <v>22.736819698968599</v>
      </c>
      <c r="J103" s="3">
        <v>17.378981127498999</v>
      </c>
      <c r="K103" s="3">
        <v>11.544570174867401</v>
      </c>
      <c r="L103" s="3">
        <v>17.2321438349883</v>
      </c>
      <c r="M103" s="3">
        <v>14.4140826534026</v>
      </c>
      <c r="N103" s="3">
        <v>8.0025278656464103</v>
      </c>
    </row>
    <row r="104" spans="1:14" x14ac:dyDescent="0.35">
      <c r="A104" s="2">
        <v>44874</v>
      </c>
      <c r="B104" s="3">
        <v>30.854233414263501</v>
      </c>
      <c r="C104" s="3">
        <v>13.7513630466322</v>
      </c>
      <c r="D104" s="3">
        <v>12.304831934344399</v>
      </c>
      <c r="E104" s="3">
        <v>10.6188260276225</v>
      </c>
      <c r="F104" s="3">
        <v>13.3514654305693</v>
      </c>
      <c r="G104" s="3">
        <v>18.992229736234101</v>
      </c>
      <c r="H104" s="3">
        <v>9.5601049190724492</v>
      </c>
      <c r="I104" s="3">
        <v>22.220503861168201</v>
      </c>
      <c r="J104" s="3">
        <v>17.530728339592699</v>
      </c>
      <c r="K104" s="3">
        <v>11.9174762771899</v>
      </c>
      <c r="L104" s="3">
        <v>17.5903474598136</v>
      </c>
      <c r="M104" s="3">
        <v>13.625008163131101</v>
      </c>
      <c r="N104" s="3">
        <v>8.3159047424592298</v>
      </c>
    </row>
    <row r="105" spans="1:14" x14ac:dyDescent="0.35">
      <c r="A105" s="2">
        <v>44904</v>
      </c>
      <c r="B105" s="3">
        <v>29.533625619538199</v>
      </c>
      <c r="C105" s="3">
        <v>14.291287379939201</v>
      </c>
      <c r="D105" s="3">
        <v>12.537394119697501</v>
      </c>
      <c r="E105" s="3">
        <v>10.830433009428599</v>
      </c>
      <c r="F105" s="3">
        <v>13.3748551116824</v>
      </c>
      <c r="G105" s="3">
        <v>20.350156298493999</v>
      </c>
      <c r="H105" s="3">
        <v>9.8868490103067099</v>
      </c>
      <c r="I105" s="3">
        <v>23.161152757011401</v>
      </c>
      <c r="J105" s="3">
        <v>17.9937709342638</v>
      </c>
      <c r="K105" s="3">
        <v>12.0529455222884</v>
      </c>
      <c r="L105" s="3">
        <v>18.6015610131616</v>
      </c>
      <c r="M105" s="3">
        <v>15.7271530681758</v>
      </c>
      <c r="N105" s="3">
        <v>7.7161479398413499</v>
      </c>
    </row>
    <row r="106" spans="1:14" x14ac:dyDescent="0.35">
      <c r="A106" s="2">
        <v>44935</v>
      </c>
      <c r="B106" s="3">
        <v>29.518446138584999</v>
      </c>
      <c r="C106" s="3">
        <v>14.1822166176844</v>
      </c>
      <c r="D106" s="3">
        <v>12.328689144340601</v>
      </c>
      <c r="E106" s="3">
        <v>11.1439045057784</v>
      </c>
      <c r="F106" s="3">
        <v>12.689715070370401</v>
      </c>
      <c r="G106" s="3">
        <v>21.138641690510799</v>
      </c>
      <c r="H106" s="3">
        <v>10.0248238059639</v>
      </c>
      <c r="I106" s="3">
        <v>23.027531594834699</v>
      </c>
      <c r="J106" s="3">
        <v>17.6608696101923</v>
      </c>
      <c r="K106" s="3">
        <v>12.286156758024401</v>
      </c>
      <c r="L106" s="3">
        <v>19.0533151974582</v>
      </c>
      <c r="M106" s="3">
        <v>16.465320911330501</v>
      </c>
      <c r="N106" s="3">
        <v>7.8598734920350104</v>
      </c>
    </row>
    <row r="107" spans="1:14" x14ac:dyDescent="0.35">
      <c r="A107" s="2">
        <v>44966</v>
      </c>
      <c r="B107" s="3">
        <v>29.906901916490899</v>
      </c>
      <c r="C107" s="3">
        <v>14.7840792451734</v>
      </c>
      <c r="D107" s="3">
        <v>12.820485747823501</v>
      </c>
      <c r="E107" s="3">
        <v>11.747723635558801</v>
      </c>
      <c r="F107" s="3">
        <v>13.5182386185162</v>
      </c>
      <c r="G107" s="3">
        <v>21.389156157827301</v>
      </c>
      <c r="H107" s="3">
        <v>10.181225867083</v>
      </c>
      <c r="I107" s="3">
        <v>25.804172534636301</v>
      </c>
      <c r="J107" s="3">
        <v>18.544096593568501</v>
      </c>
      <c r="K107" s="3">
        <v>12.749760841490501</v>
      </c>
      <c r="L107" s="3">
        <v>20.972387605506899</v>
      </c>
      <c r="M107" s="3">
        <v>26.426066135043801</v>
      </c>
      <c r="N107" s="3">
        <v>8.3224735207429994</v>
      </c>
    </row>
    <row r="108" spans="1:14" x14ac:dyDescent="0.35">
      <c r="A108" s="2">
        <v>44994</v>
      </c>
      <c r="B108" s="3">
        <v>29.306014055087601</v>
      </c>
      <c r="C108" s="3">
        <v>14.2654765489933</v>
      </c>
      <c r="D108" s="3">
        <v>12.587070987753901</v>
      </c>
      <c r="E108" s="3">
        <v>11.3804773611946</v>
      </c>
      <c r="F108" s="3">
        <v>13.747322885265699</v>
      </c>
      <c r="G108" s="3">
        <v>20.561729125425401</v>
      </c>
      <c r="H108" s="3">
        <v>10.245115590213199</v>
      </c>
      <c r="I108" s="3">
        <v>25.184361357683802</v>
      </c>
      <c r="J108" s="3">
        <v>18.001849142708</v>
      </c>
      <c r="K108" s="3">
        <v>12.9343638128643</v>
      </c>
      <c r="L108" s="3">
        <v>20.5416252065632</v>
      </c>
      <c r="M108" s="3">
        <v>25.3267044510605</v>
      </c>
      <c r="N108" s="3">
        <v>8.3191004182522601</v>
      </c>
    </row>
    <row r="109" spans="1:14" x14ac:dyDescent="0.35">
      <c r="A109" s="2">
        <v>45022</v>
      </c>
      <c r="B109" s="3">
        <v>28.837797975814102</v>
      </c>
      <c r="C109" s="3">
        <v>14.2678494278165</v>
      </c>
      <c r="D109" s="3">
        <v>12.658397244484799</v>
      </c>
      <c r="E109" s="3">
        <v>11.369298564557599</v>
      </c>
      <c r="F109" s="3">
        <v>13.582596846110199</v>
      </c>
      <c r="G109" s="3">
        <v>20.423698598563799</v>
      </c>
      <c r="H109" s="3">
        <v>10.3240240528068</v>
      </c>
      <c r="I109" s="3">
        <v>25.6386052290867</v>
      </c>
      <c r="J109" s="3">
        <v>18.230869417657299</v>
      </c>
      <c r="K109" s="3">
        <v>13.0301886729084</v>
      </c>
      <c r="L109" s="3">
        <v>20.233652604634599</v>
      </c>
      <c r="M109" s="3">
        <v>24.123977625719299</v>
      </c>
      <c r="N109" s="3">
        <v>8.3333126965668995</v>
      </c>
    </row>
    <row r="110" spans="1:14" x14ac:dyDescent="0.35">
      <c r="A110" s="2">
        <v>45055</v>
      </c>
      <c r="B110" s="3">
        <v>28.305403699760699</v>
      </c>
      <c r="C110" s="3">
        <v>14.3875900368775</v>
      </c>
      <c r="D110" s="3">
        <v>12.8358388441122</v>
      </c>
      <c r="E110" s="3">
        <v>11.370666364618099</v>
      </c>
      <c r="F110" s="3">
        <v>13.860868745887201</v>
      </c>
      <c r="G110" s="3">
        <v>20.2517395884298</v>
      </c>
      <c r="H110" s="3">
        <v>10.386564449913701</v>
      </c>
      <c r="I110" s="3">
        <v>25.647008929730699</v>
      </c>
      <c r="J110" s="3">
        <v>18.2829463814642</v>
      </c>
      <c r="K110" s="3">
        <v>13.1518862373873</v>
      </c>
      <c r="L110" s="3">
        <v>19.673723060798402</v>
      </c>
      <c r="M110" s="3">
        <v>22.895751324155199</v>
      </c>
      <c r="N110" s="3">
        <v>8.3087756305070002</v>
      </c>
    </row>
    <row r="111" spans="1:14" x14ac:dyDescent="0.35">
      <c r="A111" s="2">
        <v>45086</v>
      </c>
      <c r="B111" s="3">
        <v>26.476695542162599</v>
      </c>
      <c r="C111" s="3">
        <v>14.382888054159199</v>
      </c>
      <c r="D111" s="3">
        <v>12.876394451056001</v>
      </c>
      <c r="E111" s="3">
        <v>11.232146150223</v>
      </c>
      <c r="F111" s="3">
        <v>14.303972695846699</v>
      </c>
      <c r="G111" s="3">
        <v>19.482153679856399</v>
      </c>
      <c r="H111" s="3">
        <v>10.312207065613499</v>
      </c>
      <c r="I111" s="3">
        <v>26.647137985214599</v>
      </c>
      <c r="J111" s="3">
        <v>18.665070868500798</v>
      </c>
      <c r="K111" s="3">
        <v>13.0900081856293</v>
      </c>
      <c r="L111" s="3">
        <v>19.330597820548501</v>
      </c>
      <c r="M111" s="3">
        <v>21.757885315490402</v>
      </c>
      <c r="N111" s="3">
        <v>8.4437226725269099</v>
      </c>
    </row>
    <row r="112" spans="1:14" x14ac:dyDescent="0.35">
      <c r="A112" s="2">
        <v>45114</v>
      </c>
      <c r="B112" s="3">
        <v>25.992774364059201</v>
      </c>
      <c r="C112" s="3">
        <v>14.466600998472799</v>
      </c>
      <c r="D112" s="3">
        <v>12.9437540385095</v>
      </c>
      <c r="E112" s="3">
        <v>11.0969262416903</v>
      </c>
      <c r="F112" s="3">
        <v>14.492638015769799</v>
      </c>
      <c r="G112" s="3">
        <v>18.995842799340199</v>
      </c>
      <c r="H112" s="3">
        <v>10.2033195561432</v>
      </c>
      <c r="I112" s="3">
        <v>27.205628459393001</v>
      </c>
      <c r="J112" s="3">
        <v>19.0733738128977</v>
      </c>
      <c r="K112" s="3">
        <v>13.033793831598</v>
      </c>
      <c r="L112" s="3">
        <v>19.008824165880299</v>
      </c>
      <c r="M112" s="3">
        <v>20.436461284831999</v>
      </c>
      <c r="N112" s="3">
        <v>8.5309070359622297</v>
      </c>
    </row>
    <row r="113" spans="1:25" x14ac:dyDescent="0.35">
      <c r="A113" s="2">
        <v>45147</v>
      </c>
      <c r="B113" s="3">
        <v>24.936715397750302</v>
      </c>
      <c r="C113" s="3">
        <v>15.002533822156501</v>
      </c>
      <c r="D113" s="3">
        <v>13.442028125383001</v>
      </c>
      <c r="E113" s="3">
        <v>11.229243260512</v>
      </c>
      <c r="F113" s="3">
        <v>14.5736925757931</v>
      </c>
      <c r="G113" s="3">
        <v>18.944867535778801</v>
      </c>
      <c r="H113" s="3">
        <v>10.590515551517599</v>
      </c>
      <c r="I113" s="3">
        <v>26.4042237289726</v>
      </c>
      <c r="J113" s="3">
        <v>19.358765153521599</v>
      </c>
      <c r="K113" s="3">
        <v>13.312597132603599</v>
      </c>
      <c r="L113" s="3">
        <v>18.426908501931202</v>
      </c>
      <c r="M113" s="3">
        <v>19.0496159653574</v>
      </c>
      <c r="N113" s="3">
        <v>8.2522023069608803</v>
      </c>
    </row>
    <row r="114" spans="1:25" x14ac:dyDescent="0.35">
      <c r="A114" s="2">
        <v>45177</v>
      </c>
      <c r="B114" s="3">
        <v>24.268025464538201</v>
      </c>
      <c r="C114" s="3">
        <v>14.937382748300999</v>
      </c>
      <c r="D114" s="3">
        <v>13.46989613621</v>
      </c>
      <c r="E114" s="3">
        <v>11.195134730879101</v>
      </c>
      <c r="F114" s="3">
        <v>14.9026916909327</v>
      </c>
      <c r="G114" s="3">
        <v>18.625915673489001</v>
      </c>
      <c r="H114" s="3">
        <v>10.495798668268</v>
      </c>
      <c r="I114" s="3">
        <v>26.567420280391801</v>
      </c>
      <c r="J114" s="3">
        <v>19.4501064987214</v>
      </c>
      <c r="K114" s="3">
        <v>13.1829646268716</v>
      </c>
      <c r="L114" s="3">
        <v>17.436908815475299</v>
      </c>
      <c r="M114" s="3">
        <v>17.602925793271599</v>
      </c>
      <c r="N114" s="3">
        <v>8.3033220505129393</v>
      </c>
    </row>
    <row r="115" spans="1:25" x14ac:dyDescent="0.35">
      <c r="A115" s="2">
        <v>45208</v>
      </c>
      <c r="B115" s="3">
        <v>23.3950016095576</v>
      </c>
      <c r="C115" s="3">
        <v>14.5968687520692</v>
      </c>
      <c r="D115" s="3">
        <v>13.112529783662101</v>
      </c>
      <c r="E115" s="3">
        <v>10.902598537703501</v>
      </c>
      <c r="F115" s="3">
        <v>14.521211460699501</v>
      </c>
      <c r="G115" s="3">
        <v>18.1886492568844</v>
      </c>
      <c r="H115" s="3">
        <v>10.4788735036016</v>
      </c>
      <c r="I115" s="3">
        <v>26.431796012993399</v>
      </c>
      <c r="J115" s="3">
        <v>19.2672722258406</v>
      </c>
      <c r="K115" s="3">
        <v>12.8210315804617</v>
      </c>
      <c r="L115" s="3">
        <v>16.389119872901201</v>
      </c>
      <c r="M115" s="3">
        <v>16.231404065456498</v>
      </c>
      <c r="N115" s="3">
        <v>8.0865256434167598</v>
      </c>
    </row>
    <row r="116" spans="1:25" x14ac:dyDescent="0.35">
      <c r="A116" s="2">
        <v>45239</v>
      </c>
      <c r="B116" s="3">
        <v>22.782428098970399</v>
      </c>
      <c r="C116" s="3">
        <v>14.947401550300899</v>
      </c>
      <c r="D116" s="3">
        <v>13.3571730913128</v>
      </c>
      <c r="E116" s="3">
        <v>11.051778837243701</v>
      </c>
      <c r="F116" s="3">
        <v>14.9428798825824</v>
      </c>
      <c r="G116" s="3">
        <v>17.790123184035899</v>
      </c>
      <c r="H116" s="3">
        <v>10.566970097411501</v>
      </c>
      <c r="I116" s="3">
        <v>26.476193734715501</v>
      </c>
      <c r="J116" s="3">
        <v>19.470020146872901</v>
      </c>
      <c r="K116" s="3">
        <v>13.0128501981076</v>
      </c>
      <c r="L116" s="3">
        <v>16.181559368872399</v>
      </c>
      <c r="M116" s="3">
        <v>15.7489738382727</v>
      </c>
      <c r="N116" s="3">
        <v>8.1556362822295494</v>
      </c>
    </row>
    <row r="117" spans="1:25" x14ac:dyDescent="0.35">
      <c r="A117" s="2">
        <v>45268</v>
      </c>
      <c r="B117" s="3">
        <v>23.611131226272299</v>
      </c>
      <c r="C117" s="3">
        <v>15.396764947098101</v>
      </c>
      <c r="D117" s="3">
        <v>14.0009768244591</v>
      </c>
      <c r="E117" s="3">
        <v>11.923125378726899</v>
      </c>
      <c r="F117" s="3">
        <v>14.8939321208014</v>
      </c>
      <c r="G117" s="3">
        <v>18.2174356450323</v>
      </c>
      <c r="H117" s="3">
        <v>10.912536633946299</v>
      </c>
      <c r="I117" s="3">
        <v>27.9102498897511</v>
      </c>
      <c r="J117" s="3">
        <v>20.680885103388299</v>
      </c>
      <c r="K117" s="3">
        <v>13.8604979537464</v>
      </c>
      <c r="L117" s="3">
        <v>16.623499847689398</v>
      </c>
      <c r="M117" s="3">
        <v>17.913121779830799</v>
      </c>
      <c r="N117" s="3">
        <v>8.7951273803108005</v>
      </c>
    </row>
    <row r="118" spans="1:25" x14ac:dyDescent="0.35">
      <c r="A118" s="2">
        <v>45300</v>
      </c>
      <c r="B118" s="3">
        <v>24.0978435728865</v>
      </c>
      <c r="C118" s="3">
        <v>16.3041688439932</v>
      </c>
      <c r="D118" s="3">
        <v>14.6075213521012</v>
      </c>
      <c r="E118" s="3">
        <v>11.8894983465607</v>
      </c>
      <c r="F118" s="3">
        <v>15.566719826510599</v>
      </c>
      <c r="G118" s="3">
        <v>18.472382296025199</v>
      </c>
      <c r="H118" s="3">
        <v>11.300048694120299</v>
      </c>
      <c r="I118" s="3">
        <v>28.832657572820001</v>
      </c>
      <c r="J118" s="3">
        <v>21.651915999381298</v>
      </c>
      <c r="K118" s="3">
        <v>13.8733364629663</v>
      </c>
      <c r="L118" s="3">
        <v>16.295024405744901</v>
      </c>
      <c r="M118" s="3">
        <v>17.371393114077701</v>
      </c>
      <c r="N118" s="3">
        <v>8.92943320939297</v>
      </c>
    </row>
    <row r="119" spans="1:25" x14ac:dyDescent="0.35">
      <c r="A119" s="2">
        <v>45331</v>
      </c>
      <c r="B119" s="3">
        <v>23.29424360869</v>
      </c>
      <c r="C119" s="3">
        <v>16.5067742385129</v>
      </c>
      <c r="D119" s="3">
        <v>14.6301487896657</v>
      </c>
      <c r="E119" s="3">
        <v>12.027124843645799</v>
      </c>
      <c r="F119" s="3">
        <v>16.473129103965199</v>
      </c>
      <c r="G119" s="3">
        <v>18.681393656812102</v>
      </c>
      <c r="H119" s="3">
        <v>11.1814044015261</v>
      </c>
      <c r="I119" s="3">
        <v>30.439339901529699</v>
      </c>
      <c r="J119" s="3">
        <v>22.594754112815298</v>
      </c>
      <c r="K119" s="3">
        <v>14.6913277780959</v>
      </c>
      <c r="L119" s="3">
        <v>17.9721178097682</v>
      </c>
      <c r="M119" s="3">
        <v>15.2988691255663</v>
      </c>
      <c r="N119" s="3">
        <v>9.0843759536885997</v>
      </c>
    </row>
    <row r="120" spans="1:25" x14ac:dyDescent="0.35">
      <c r="A120" s="2">
        <v>45359</v>
      </c>
      <c r="B120" s="3">
        <v>23.798570718471499</v>
      </c>
      <c r="C120" s="3">
        <v>16.682284696027001</v>
      </c>
      <c r="D120" s="3">
        <v>14.9105500821082</v>
      </c>
      <c r="E120" s="3">
        <v>12.526168109943301</v>
      </c>
      <c r="F120" s="3">
        <v>17.0566123097475</v>
      </c>
      <c r="G120" s="3">
        <v>19.224367845755499</v>
      </c>
      <c r="H120" s="3">
        <v>11.4620608865379</v>
      </c>
      <c r="I120" s="3">
        <v>30.2193713825455</v>
      </c>
      <c r="J120" s="3">
        <v>22.742913632918</v>
      </c>
      <c r="K120" s="3">
        <v>15.5039738890378</v>
      </c>
      <c r="L120" s="3">
        <v>18.504872244839099</v>
      </c>
      <c r="M120" s="3">
        <v>16.081974967062202</v>
      </c>
      <c r="N120" s="3">
        <v>9.3858918761842407</v>
      </c>
    </row>
    <row r="121" spans="1:25" x14ac:dyDescent="0.35">
      <c r="A121" s="2">
        <v>45391</v>
      </c>
      <c r="B121" s="3">
        <v>24.066652748375599</v>
      </c>
      <c r="C121" s="3">
        <v>16.698033062360299</v>
      </c>
      <c r="D121" s="3">
        <v>15.0037701245524</v>
      </c>
      <c r="E121" s="3">
        <v>12.5475827492132</v>
      </c>
      <c r="F121" s="3">
        <v>16.969769804364301</v>
      </c>
      <c r="G121" s="3">
        <v>19.024541965900099</v>
      </c>
      <c r="H121" s="3">
        <v>11.5529808174121</v>
      </c>
      <c r="I121" s="3">
        <v>29.918506384895402</v>
      </c>
      <c r="J121" s="3">
        <v>22.6611551431976</v>
      </c>
      <c r="K121" s="3">
        <v>15.4536233282165</v>
      </c>
      <c r="L121" s="3">
        <v>18.373236006171599</v>
      </c>
      <c r="M121" s="3">
        <v>16.121823552721199</v>
      </c>
      <c r="N121" s="3">
        <v>9.4302163072821106</v>
      </c>
    </row>
    <row r="122" spans="1:25" x14ac:dyDescent="0.35">
      <c r="A122" s="2">
        <v>45418</v>
      </c>
      <c r="B122" s="3">
        <v>24.411104765503499</v>
      </c>
      <c r="C122" s="3">
        <v>16.663446151853002</v>
      </c>
      <c r="D122" s="3">
        <v>14.9777562002752</v>
      </c>
      <c r="E122" s="3">
        <v>12.5436372859893</v>
      </c>
      <c r="F122" s="3">
        <v>16.797564282474202</v>
      </c>
      <c r="G122" s="3">
        <v>18.763627322584</v>
      </c>
      <c r="H122" s="3">
        <v>11.637918343635301</v>
      </c>
      <c r="I122" s="3">
        <v>29.585807191335601</v>
      </c>
      <c r="J122" s="3">
        <v>22.482626840604901</v>
      </c>
      <c r="K122" s="3">
        <v>15.4030391429218</v>
      </c>
      <c r="L122" s="3">
        <v>18.208551445676001</v>
      </c>
      <c r="M122" s="3">
        <v>16.1032490345615</v>
      </c>
      <c r="N122" s="3">
        <v>9.5213364855680407</v>
      </c>
    </row>
    <row r="124" spans="1:25" x14ac:dyDescent="0.35">
      <c r="A124" s="2" t="s">
        <v>91</v>
      </c>
      <c r="B124" s="3" cm="1">
        <f t="array" ref="B124">MIN(_xlfn._xlws.FILTER(B1:B122, ISNUMBER(B1:B122)))</f>
        <v>17.814055445232501</v>
      </c>
      <c r="C124" s="3" cm="1">
        <f t="array" ref="C124">MIN(_xlfn._xlws.FILTER(C1:C122, ISNUMBER(C1:C122)))</f>
        <v>13.5942256205717</v>
      </c>
      <c r="D124" s="3" cm="1">
        <f t="array" ref="D124">MIN(_xlfn._xlws.FILTER(D1:D122, ISNUMBER(D1:D122)))</f>
        <v>12.1572153111223</v>
      </c>
      <c r="E124" s="3" cm="1">
        <f t="array" ref="E124">MIN(_xlfn._xlws.FILTER(E1:E122, ISNUMBER(E1:E122)))</f>
        <v>10.1097038368952</v>
      </c>
      <c r="F124" s="3" cm="1">
        <f t="array" ref="F124">MIN(_xlfn._xlws.FILTER(F1:F122, ISNUMBER(F1:F122)))</f>
        <v>11.806318190780299</v>
      </c>
      <c r="G124" s="3" cm="1">
        <f t="array" ref="G124">MIN(_xlfn._xlws.FILTER(G1:G122, ISNUMBER(G1:G122)))</f>
        <v>15.9280035491291</v>
      </c>
      <c r="H124" s="3" cm="1">
        <f t="array" ref="H124">MIN(_xlfn._xlws.FILTER(H1:H122, ISNUMBER(H1:H122)))</f>
        <v>9.5366967709260297</v>
      </c>
      <c r="I124" s="3" cm="1">
        <f t="array" ref="I124">MIN(_xlfn._xlws.FILTER(I1:I122, ISNUMBER(I1:I122)))</f>
        <v>17.299805023770102</v>
      </c>
      <c r="J124" s="3" cm="1">
        <f t="array" ref="J124">MIN(_xlfn._xlws.FILTER(J1:J122, ISNUMBER(J1:J122)))</f>
        <v>15.991031188326801</v>
      </c>
      <c r="K124" s="3" cm="1">
        <f t="array" ref="K124">MIN(_xlfn._xlws.FILTER(K1:K122, ISNUMBER(K1:K122)))</f>
        <v>11.544570174867401</v>
      </c>
      <c r="L124" s="3" cm="1">
        <f t="array" ref="L124">MIN(_xlfn._xlws.FILTER(L1:L122, ISNUMBER(L1:L122)))</f>
        <v>14.6015363538485</v>
      </c>
      <c r="M124" s="3" cm="1">
        <f t="array" ref="M124">MIN(_xlfn._xlws.FILTER(M1:M122, ISNUMBER(M1:M122)))</f>
        <v>11.654429902075901</v>
      </c>
      <c r="N124" s="3" cm="1">
        <f t="array" ref="N124">MIN(_xlfn._xlws.FILTER(N1:N122, ISNUMBER(N1:N122)))</f>
        <v>7.7161479398413499</v>
      </c>
    </row>
    <row r="125" spans="1:25" x14ac:dyDescent="0.35">
      <c r="A125" s="2" t="s">
        <v>92</v>
      </c>
      <c r="B125" s="3" cm="1">
        <f t="array" ref="B125">MAX(_xlfn._xlws.FILTER(B1:B122, ISNUMBER(B1:B122)))</f>
        <v>39.447141103096897</v>
      </c>
      <c r="C125" s="3" cm="1">
        <f t="array" ref="C125">MAX(_xlfn._xlws.FILTER(C1:C122, ISNUMBER(C1:C122)))</f>
        <v>23.6619447046297</v>
      </c>
      <c r="D125" s="3" cm="1">
        <f t="array" ref="D125">MAX(_xlfn._xlws.FILTER(D1:D122, ISNUMBER(D1:D122)))</f>
        <v>21.377329779406701</v>
      </c>
      <c r="E125" s="3" cm="1">
        <f t="array" ref="E125">MAX(_xlfn._xlws.FILTER(E1:E122, ISNUMBER(E1:E122)))</f>
        <v>22.377880300481799</v>
      </c>
      <c r="F125" s="3" cm="1">
        <f t="array" ref="F125">MAX(_xlfn._xlws.FILTER(F1:F122, ISNUMBER(F1:F122)))</f>
        <v>24.032276226305001</v>
      </c>
      <c r="G125" s="3" cm="1">
        <f t="array" ref="G125">MAX(_xlfn._xlws.FILTER(G1:G122, ISNUMBER(G1:G122)))</f>
        <v>22.137803175260999</v>
      </c>
      <c r="H125" s="3" cm="1">
        <f t="array" ref="H125">MAX(_xlfn._xlws.FILTER(H1:H122, ISNUMBER(H1:H122)))</f>
        <v>20.667602160618902</v>
      </c>
      <c r="I125" s="3" cm="1">
        <f t="array" ref="I125">MAX(_xlfn._xlws.FILTER(I1:I122, ISNUMBER(I1:I122)))</f>
        <v>35.673700746795099</v>
      </c>
      <c r="J125" s="3" cm="1">
        <f t="array" ref="J125">MAX(_xlfn._xlws.FILTER(J1:J122, ISNUMBER(J1:J122)))</f>
        <v>27.767860294748399</v>
      </c>
      <c r="K125" s="3" cm="1">
        <f t="array" ref="K125">MAX(_xlfn._xlws.FILTER(K1:K122, ISNUMBER(K1:K122)))</f>
        <v>29.3587071449445</v>
      </c>
      <c r="L125" s="3" cm="1">
        <f t="array" ref="L125">MAX(_xlfn._xlws.FILTER(L1:L122, ISNUMBER(L1:L122)))</f>
        <v>28.769757341678002</v>
      </c>
      <c r="M125" s="3" cm="1">
        <f t="array" ref="M125">MAX(_xlfn._xlws.FILTER(M1:M122, ISNUMBER(M1:M122)))</f>
        <v>26.426066135043801</v>
      </c>
      <c r="N125" s="3" cm="1">
        <f t="array" ref="N125">MAX(_xlfn._xlws.FILTER(N1:N122, ISNUMBER(N1:N122)))</f>
        <v>83.924408876483</v>
      </c>
    </row>
    <row r="127" spans="1:25" x14ac:dyDescent="0.35">
      <c r="A127" s="2" t="s">
        <v>93</v>
      </c>
      <c r="B127" s="9" cm="1">
        <f t="array" ref="B127">_xlfn.PERCENTRANK.EXC(_xlfn._xlws.FILTER(B1:B122, ISNUMBER(B1:B122)),B121)</f>
        <v>0.52400000000000002</v>
      </c>
      <c r="C127" s="9" cm="1">
        <f t="array" ref="C127">_xlfn.PERCENTRANK.EXC(_xlfn._xlws.FILTER(C1:C122, ISNUMBER(C1:C122)),C121)</f>
        <v>0.68</v>
      </c>
      <c r="D127" s="9" cm="1">
        <f t="array" ref="D127">_xlfn.PERCENTRANK.EXC(_xlfn._xlws.FILTER(D1:D122, ISNUMBER(D1:D122)),D121)</f>
        <v>0.34399999999999997</v>
      </c>
      <c r="E127" s="9" cm="1">
        <f t="array" ref="E127">_xlfn.PERCENTRANK.EXC(_xlfn._xlws.FILTER(E1:E122, ISNUMBER(E1:E122)),E121)</f>
        <v>0.245</v>
      </c>
      <c r="F127" s="9" cm="1">
        <f t="array" ref="F127">_xlfn.PERCENTRANK.EXC(_xlfn._xlws.FILTER(F1:F122, ISNUMBER(F1:F122)),F121)</f>
        <v>0.83599999999999997</v>
      </c>
      <c r="G127" s="9" cm="1">
        <f t="array" ref="G127">_xlfn.PERCENTRANK.EXC(_xlfn._xlws.FILTER(G1:G122, ISNUMBER(G1:G122)),G121)</f>
        <v>0.58099999999999996</v>
      </c>
      <c r="H127" s="9" cm="1">
        <f t="array" ref="H127">_xlfn.PERCENTRANK.EXC(_xlfn._xlws.FILTER(H1:H122, ISNUMBER(H1:H122)),H121)</f>
        <v>0.18</v>
      </c>
      <c r="I127" s="9" cm="1">
        <f t="array" ref="I127">_xlfn.PERCENTRANK.EXC(_xlfn._xlws.FILTER(I1:I122, ISNUMBER(I1:I122)),I121)</f>
        <v>0.83599999999999997</v>
      </c>
      <c r="J127" s="9" cm="1">
        <f t="array" ref="J127">_xlfn.PERCENTRANK.EXC(_xlfn._xlws.FILTER(J1:J122, ISNUMBER(J1:J122)),J121)</f>
        <v>0.84399999999999997</v>
      </c>
      <c r="K127" s="9" cm="1">
        <f t="array" ref="K127">_xlfn.PERCENTRANK.EXC(_xlfn._xlws.FILTER(K1:K122, ISNUMBER(K1:K122)),K121)</f>
        <v>0.50800000000000001</v>
      </c>
      <c r="L127" s="9" cm="1">
        <f t="array" ref="L127">_xlfn.PERCENTRANK.EXC(_xlfn._xlws.FILTER(L1:L122, ISNUMBER(L1:L122)),L121)</f>
        <v>0.63100000000000001</v>
      </c>
      <c r="M127" s="9" cm="1">
        <f t="array" ref="M127">_xlfn.PERCENTRANK.EXC(_xlfn._xlws.FILTER(M1:M122, ISNUMBER(M1:M122)),M121)</f>
        <v>0.33600000000000002</v>
      </c>
      <c r="N127" s="9" cm="1">
        <f t="array" ref="N127">_xlfn.PERCENTRANK.EXC(_xlfn._xlws.FILTER(N1:N122, ISNUMBER(N1:N122)),N121)</f>
        <v>0.18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Y127"/>
  <sheetViews>
    <sheetView workbookViewId="0">
      <selection activeCell="I3" sqref="I3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_xll.FDS(B1,"JULIAN(FMA_DIV_YLD(NTMA,-10AY,0,AM,""PORTAGG"",""MEANR"").dates)")</f>
        <v>41768</v>
      </c>
      <c r="B2" s="3" cm="1">
        <f t="array" ref="B2:B122">_xll.FDS(B1,"FMA_PE(NTMA,-10AY,0,AM,""PORTAGG"",""MEANR"")")</f>
        <v>17.416391152499799</v>
      </c>
      <c r="C2" s="3" cm="1">
        <f t="array" ref="C2:C122">_xll.FDS(C1,"FMA_PE(NTMA,-10AY,0,AM,""PORTAGG"",""MEANR"")")</f>
        <v>14.2700358497457</v>
      </c>
      <c r="D2" s="3" cm="1">
        <f t="array" ref="D2:D122">_xll.FDS(D1,"FMA_PE(NTMA,-10AY,0,AM,""PORTAGG"",""MEANR"")")</f>
        <v>14.7275150967361</v>
      </c>
      <c r="E2" s="3" cm="1">
        <f t="array" ref="E2:E122">_xll.FDS(E1,"FMA_PE(NTMA,-10AY,0,AM,""PORTAGG"",""MEANR"")")</f>
        <v>12.9818036726908</v>
      </c>
      <c r="F2" s="3" cm="1">
        <f t="array" ref="F2:F122">_xll.FDS(F1,"FMA_PE(NTMA,-10AY,0,AM,""PORTAGG"",""MEANR"")")</f>
        <v>12.849457304449899</v>
      </c>
      <c r="G2" s="3" cm="1">
        <f t="array" ref="G2:G122">_xll.FDS(G1,"FMA_PE(NTMA,-10AY,0,AM,""PORTAGG"",""MEANR"")")</f>
        <v>16.236566448000701</v>
      </c>
      <c r="H2" s="3" cm="1">
        <f t="array" ref="H2:H122">_xll.FDS(H1,"FMA_PE(NTMA,-10AY,0,AM,""PORTAGG"",""MEANR"")")</f>
        <v>13.6092472610369</v>
      </c>
      <c r="I2" s="3" cm="1">
        <f t="array" ref="I2:I122">_xll.FDS(I1,"FMA_PE(NTMA,-10AY,0,AM,""PORTAGG"",""MEANR"")")</f>
        <v>16.487651728431999</v>
      </c>
      <c r="J2" s="3" cm="1">
        <f t="array" ref="J2:J122">_xll.FDS(J1,"FMA_PE(NTMA,-10AY,0,AM,""PORTAGG"",""MEANR"")")</f>
        <v>14.920144284790799</v>
      </c>
      <c r="K2" s="3" cm="1">
        <f t="array" ref="K2:K122">_xll.FDS(K1,"FMA_PE(NTMA,-10AY,0,AM,""PORTAGG"",""MEANR"")")</f>
        <v>14.061197410716501</v>
      </c>
      <c r="L2" s="3" cm="1">
        <f t="array" ref="L2:L122">_xll.FDS(L1,"FMA_PE(NTMA,-10AY,0,AM,""PORTAGG"",""MEANR"")")</f>
        <v>14.088259655616699</v>
      </c>
      <c r="M2" s="3" cm="1">
        <f t="array" ref="M2:M122">_xll.FDS(M1,"FMA_PE(NTMA,-10AY,0,AM,""PORTAGG"",""MEANR"")")</f>
        <v>15.6068609554671</v>
      </c>
      <c r="N2" s="3" cm="1">
        <f t="array" ref="N2:N122">_xll.FDS(N1,"FMA_PE(NTMA,-10AY,0,AM,""PORTAGG"",""MEANR"")")</f>
        <v>13.820767752798799</v>
      </c>
    </row>
    <row r="3" spans="1:14" x14ac:dyDescent="0.35">
      <c r="A3" s="2">
        <v>41799</v>
      </c>
      <c r="B3" s="3">
        <v>17.2706305741786</v>
      </c>
      <c r="C3" s="3">
        <v>14.2669264435439</v>
      </c>
      <c r="D3" s="3">
        <v>14.8192533754475</v>
      </c>
      <c r="E3" s="3">
        <v>13.4071175988839</v>
      </c>
      <c r="F3" s="3">
        <v>13.607537961082199</v>
      </c>
      <c r="G3" s="3">
        <v>16.303199591724699</v>
      </c>
      <c r="H3" s="3">
        <v>13.721678336420799</v>
      </c>
      <c r="I3" s="3">
        <v>17.3921281486952</v>
      </c>
      <c r="J3" s="3">
        <v>15.3684887937043</v>
      </c>
      <c r="K3" s="3">
        <v>14.4626755606172</v>
      </c>
      <c r="L3" s="3">
        <v>14.627759524957</v>
      </c>
      <c r="M3" s="3">
        <v>15.907937048414899</v>
      </c>
      <c r="N3" s="3">
        <v>14.7491416764669</v>
      </c>
    </row>
    <row r="4" spans="1:14" x14ac:dyDescent="0.35">
      <c r="A4" s="2">
        <v>41829</v>
      </c>
      <c r="B4" s="3">
        <v>17.207590810840699</v>
      </c>
      <c r="C4" s="3">
        <v>14.5083672875468</v>
      </c>
      <c r="D4" s="3">
        <v>15.096662357088199</v>
      </c>
      <c r="E4" s="3">
        <v>13.0057250748026</v>
      </c>
      <c r="F4" s="3">
        <v>13.8061130517862</v>
      </c>
      <c r="G4" s="3">
        <v>15.977248800336101</v>
      </c>
      <c r="H4" s="3">
        <v>13.512862138247799</v>
      </c>
      <c r="I4" s="3">
        <v>17.579591647500699</v>
      </c>
      <c r="J4" s="3">
        <v>15.399363803843</v>
      </c>
      <c r="K4" s="3">
        <v>13.7131351773243</v>
      </c>
      <c r="L4" s="3">
        <v>14.3676823323344</v>
      </c>
      <c r="M4" s="3">
        <v>15.494853897540001</v>
      </c>
      <c r="N4" s="3">
        <v>14.0409008354722</v>
      </c>
    </row>
    <row r="5" spans="1:14" x14ac:dyDescent="0.35">
      <c r="A5" s="2">
        <v>41859</v>
      </c>
      <c r="B5" s="3">
        <v>16.858557358751298</v>
      </c>
      <c r="C5" s="3">
        <v>14.4285821173691</v>
      </c>
      <c r="D5" s="3">
        <v>14.883191931518599</v>
      </c>
      <c r="E5" s="3">
        <v>12.053941244623401</v>
      </c>
      <c r="F5" s="3">
        <v>13.1896086759008</v>
      </c>
      <c r="G5" s="3">
        <v>15.5774349256573</v>
      </c>
      <c r="H5" s="3">
        <v>13.173625084797701</v>
      </c>
      <c r="I5" s="3">
        <v>17.149221031123599</v>
      </c>
      <c r="J5" s="3">
        <v>14.881956002035199</v>
      </c>
      <c r="K5" s="3">
        <v>13.054013761082</v>
      </c>
      <c r="L5" s="3">
        <v>13.5583063051154</v>
      </c>
      <c r="M5" s="3">
        <v>14.850627127015599</v>
      </c>
      <c r="N5" s="3">
        <v>12.8961474712774</v>
      </c>
    </row>
    <row r="6" spans="1:14" x14ac:dyDescent="0.35">
      <c r="A6" s="2">
        <v>41891</v>
      </c>
      <c r="B6" s="3">
        <v>17.346419558039699</v>
      </c>
      <c r="C6" s="3">
        <v>14.851489127947501</v>
      </c>
      <c r="D6" s="3">
        <v>15.1407122984642</v>
      </c>
      <c r="E6" s="3">
        <v>12.8517167227266</v>
      </c>
      <c r="F6" s="3">
        <v>13.789312252871399</v>
      </c>
      <c r="G6" s="3">
        <v>16.223788476184101</v>
      </c>
      <c r="H6" s="3">
        <v>13.388108843166201</v>
      </c>
      <c r="I6" s="3">
        <v>17.6704225488049</v>
      </c>
      <c r="J6" s="3">
        <v>15.2102507414586</v>
      </c>
      <c r="K6" s="3">
        <v>13.7886308515126</v>
      </c>
      <c r="L6" s="3">
        <v>14.6563640684543</v>
      </c>
      <c r="M6" s="3">
        <v>14.6159915730994</v>
      </c>
      <c r="N6" s="3">
        <v>14.128301473691</v>
      </c>
    </row>
    <row r="7" spans="1:14" x14ac:dyDescent="0.35">
      <c r="A7" s="2">
        <v>41921</v>
      </c>
      <c r="B7" s="3">
        <v>17.1984708753075</v>
      </c>
      <c r="C7" s="3">
        <v>13.9608421756518</v>
      </c>
      <c r="D7" s="3">
        <v>13.992030018555701</v>
      </c>
      <c r="E7" s="3">
        <v>11.8813216845264</v>
      </c>
      <c r="F7" s="3">
        <v>13.344977273023099</v>
      </c>
      <c r="G7" s="3">
        <v>15.354344790783401</v>
      </c>
      <c r="H7" s="3">
        <v>12.7208631164261</v>
      </c>
      <c r="I7" s="3">
        <v>17.019200917772</v>
      </c>
      <c r="J7" s="3">
        <v>14.691548057635201</v>
      </c>
      <c r="K7" s="3">
        <v>12.8310552454943</v>
      </c>
      <c r="L7" s="3">
        <v>14.0502830037239</v>
      </c>
      <c r="M7" s="3">
        <v>13.7877761499124</v>
      </c>
      <c r="N7" s="3">
        <v>12.6419535401376</v>
      </c>
    </row>
    <row r="8" spans="1:14" x14ac:dyDescent="0.35">
      <c r="A8" s="2">
        <v>41950</v>
      </c>
      <c r="B8" s="3">
        <v>17.746094735681702</v>
      </c>
      <c r="C8" s="3">
        <v>14.5804464744875</v>
      </c>
      <c r="D8" s="3">
        <v>14.449758239515401</v>
      </c>
      <c r="E8" s="3">
        <v>12.2652606241446</v>
      </c>
      <c r="F8" s="3">
        <v>14.2950699689662</v>
      </c>
      <c r="G8" s="3">
        <v>15.875637770723401</v>
      </c>
      <c r="H8" s="3">
        <v>13.2627428718536</v>
      </c>
      <c r="I8" s="3">
        <v>17.704309481702701</v>
      </c>
      <c r="J8" s="3">
        <v>15.5888953377319</v>
      </c>
      <c r="K8" s="3">
        <v>13.1257042522807</v>
      </c>
      <c r="L8" s="3">
        <v>14.624361673050601</v>
      </c>
      <c r="M8" s="3">
        <v>15.2701943552714</v>
      </c>
      <c r="N8" s="3">
        <v>12.550074674507</v>
      </c>
    </row>
    <row r="9" spans="1:14" x14ac:dyDescent="0.35">
      <c r="A9" s="2">
        <v>41982</v>
      </c>
      <c r="B9" s="3">
        <v>18.133262675168901</v>
      </c>
      <c r="C9" s="3">
        <v>13.9633795348226</v>
      </c>
      <c r="D9" s="3">
        <v>14.502064794738001</v>
      </c>
      <c r="E9" s="3">
        <v>12.8728298641505</v>
      </c>
      <c r="F9" s="3">
        <v>14.6897328831061</v>
      </c>
      <c r="G9" s="3">
        <v>15.9043206969745</v>
      </c>
      <c r="H9" s="3">
        <v>13.5834129827893</v>
      </c>
      <c r="I9" s="3">
        <v>18.021016021759401</v>
      </c>
      <c r="J9" s="3">
        <v>15.8780193248946</v>
      </c>
      <c r="K9" s="3">
        <v>13.6449326433676</v>
      </c>
      <c r="L9" s="3">
        <v>14.8584805004148</v>
      </c>
      <c r="M9" s="3">
        <v>15.5708228243814</v>
      </c>
      <c r="N9" s="3">
        <v>12.756381222556101</v>
      </c>
    </row>
    <row r="10" spans="1:14" x14ac:dyDescent="0.35">
      <c r="A10" s="2">
        <v>42013</v>
      </c>
      <c r="B10" s="3">
        <v>18.425153265231799</v>
      </c>
      <c r="C10" s="3">
        <v>14.7910246106693</v>
      </c>
      <c r="D10" s="3">
        <v>15.314983069742899</v>
      </c>
      <c r="E10" s="3">
        <v>12.6855910791261</v>
      </c>
      <c r="F10" s="3">
        <v>13.922453698624601</v>
      </c>
      <c r="G10" s="3">
        <v>15.756515836934099</v>
      </c>
      <c r="H10" s="3">
        <v>13.6574947514962</v>
      </c>
      <c r="I10" s="3">
        <v>17.305556239870899</v>
      </c>
      <c r="J10" s="3">
        <v>16.0157856576161</v>
      </c>
      <c r="K10" s="3">
        <v>13.5183553642329</v>
      </c>
      <c r="L10" s="3">
        <v>14.594353983902</v>
      </c>
      <c r="M10" s="3">
        <v>15.4187242794354</v>
      </c>
      <c r="N10" s="3">
        <v>11.756665961575999</v>
      </c>
    </row>
    <row r="11" spans="1:14" x14ac:dyDescent="0.35">
      <c r="A11" s="2">
        <v>42044</v>
      </c>
      <c r="B11" s="3">
        <v>18.984015216488199</v>
      </c>
      <c r="C11" s="3">
        <v>15.9381104441022</v>
      </c>
      <c r="D11" s="3">
        <v>17.146327769920699</v>
      </c>
      <c r="E11" s="3">
        <v>13.903067330511799</v>
      </c>
      <c r="F11" s="3">
        <v>14.143283618631701</v>
      </c>
      <c r="G11" s="3">
        <v>16.858017324142899</v>
      </c>
      <c r="H11" s="3">
        <v>15.392602719569799</v>
      </c>
      <c r="I11" s="3">
        <v>17.206278849840999</v>
      </c>
      <c r="J11" s="3">
        <v>16.455688387980899</v>
      </c>
      <c r="K11" s="3">
        <v>15.422485218884599</v>
      </c>
      <c r="L11" s="3">
        <v>15.5238178025728</v>
      </c>
      <c r="M11" s="3">
        <v>16.292444151918399</v>
      </c>
      <c r="N11" s="3">
        <v>13.9656829470182</v>
      </c>
    </row>
    <row r="12" spans="1:14" x14ac:dyDescent="0.35">
      <c r="A12" s="2">
        <v>42072</v>
      </c>
      <c r="B12" s="3">
        <v>19.245176253078601</v>
      </c>
      <c r="C12" s="3">
        <v>15.9513951403005</v>
      </c>
      <c r="D12" s="3">
        <v>17.056171223046999</v>
      </c>
      <c r="E12" s="3">
        <v>15.011000176481399</v>
      </c>
      <c r="F12" s="3">
        <v>15.165550680522699</v>
      </c>
      <c r="G12" s="3">
        <v>17.393030741556199</v>
      </c>
      <c r="H12" s="3">
        <v>15.5377161508572</v>
      </c>
      <c r="I12" s="3">
        <v>17.9083155484884</v>
      </c>
      <c r="J12" s="3">
        <v>16.6610038762995</v>
      </c>
      <c r="K12" s="3">
        <v>16.278723787453401</v>
      </c>
      <c r="L12" s="3">
        <v>17.2466400496779</v>
      </c>
      <c r="M12" s="3">
        <v>17.016495938222501</v>
      </c>
      <c r="N12" s="3">
        <v>15.4828811543158</v>
      </c>
    </row>
    <row r="13" spans="1:14" x14ac:dyDescent="0.35">
      <c r="A13" s="2">
        <v>42103</v>
      </c>
      <c r="B13" s="3">
        <v>18.405675178496899</v>
      </c>
      <c r="C13" s="3">
        <v>16.4133012616897</v>
      </c>
      <c r="D13" s="3">
        <v>17.485344326058701</v>
      </c>
      <c r="E13" s="3">
        <v>15.6318968978903</v>
      </c>
      <c r="F13" s="3">
        <v>15.680891581292499</v>
      </c>
      <c r="G13" s="3">
        <v>18.192829152144501</v>
      </c>
      <c r="H13" s="3">
        <v>15.901807794275999</v>
      </c>
      <c r="I13" s="3">
        <v>17.911456055043601</v>
      </c>
      <c r="J13" s="3">
        <v>16.6576429670076</v>
      </c>
      <c r="K13" s="3">
        <v>17.028728997646301</v>
      </c>
      <c r="L13" s="3">
        <v>17.611882826042201</v>
      </c>
      <c r="M13" s="3">
        <v>17.074197549770101</v>
      </c>
      <c r="N13" s="3">
        <v>16.231388100666599</v>
      </c>
    </row>
    <row r="14" spans="1:14" x14ac:dyDescent="0.35">
      <c r="A14" s="2">
        <v>42132</v>
      </c>
      <c r="B14" s="3">
        <v>18.2364671207994</v>
      </c>
      <c r="C14" s="3">
        <v>15.7971097554148</v>
      </c>
      <c r="D14" s="3">
        <v>17.177121370916101</v>
      </c>
      <c r="E14" s="3">
        <v>14.6688245783557</v>
      </c>
      <c r="F14" s="3">
        <v>15.665552122572301</v>
      </c>
      <c r="G14" s="3">
        <v>17.601124707802299</v>
      </c>
      <c r="H14" s="3">
        <v>16.239988922650799</v>
      </c>
      <c r="I14" s="3">
        <v>17.921216253968801</v>
      </c>
      <c r="J14" s="3">
        <v>16.7257895760468</v>
      </c>
      <c r="K14" s="3">
        <v>16.459880883637801</v>
      </c>
      <c r="L14" s="3">
        <v>16.960746563994402</v>
      </c>
      <c r="M14" s="3">
        <v>15.7315857377599</v>
      </c>
      <c r="N14" s="3">
        <v>15.9223150080423</v>
      </c>
    </row>
    <row r="15" spans="1:14" x14ac:dyDescent="0.35">
      <c r="A15" s="2">
        <v>42164</v>
      </c>
      <c r="B15" s="3">
        <v>18.3275634398357</v>
      </c>
      <c r="C15" s="3">
        <v>15.0553254862564</v>
      </c>
      <c r="D15" s="3">
        <v>16.3145439055689</v>
      </c>
      <c r="E15" s="3">
        <v>13.5085884104152</v>
      </c>
      <c r="F15" s="3">
        <v>15.789538853465301</v>
      </c>
      <c r="G15" s="3">
        <v>17.214288769957601</v>
      </c>
      <c r="H15" s="3">
        <v>15.4594910670546</v>
      </c>
      <c r="I15" s="3">
        <v>17.660360186827699</v>
      </c>
      <c r="J15" s="3">
        <v>16.295550784594798</v>
      </c>
      <c r="K15" s="3">
        <v>15.5616653564889</v>
      </c>
      <c r="L15" s="3">
        <v>16.2613748037422</v>
      </c>
      <c r="M15" s="3">
        <v>15.835052743120601</v>
      </c>
      <c r="N15" s="3">
        <v>15.006206865777701</v>
      </c>
    </row>
    <row r="16" spans="1:14" x14ac:dyDescent="0.35">
      <c r="A16" s="2">
        <v>42194</v>
      </c>
      <c r="B16" s="3">
        <v>17.896108439342399</v>
      </c>
      <c r="C16" s="3">
        <v>15.049404910461201</v>
      </c>
      <c r="D16" s="3">
        <v>15.5123459480797</v>
      </c>
      <c r="E16" s="3">
        <v>13.373506073991599</v>
      </c>
      <c r="F16" s="3">
        <v>14.8762782486373</v>
      </c>
      <c r="G16" s="3">
        <v>16.986615420149299</v>
      </c>
      <c r="H16" s="3">
        <v>14.9574501075098</v>
      </c>
      <c r="I16" s="3">
        <v>17.233966898475501</v>
      </c>
      <c r="J16" s="3">
        <v>15.988367036189899</v>
      </c>
      <c r="K16" s="3">
        <v>15.047219133261599</v>
      </c>
      <c r="L16" s="3">
        <v>16.0289800609869</v>
      </c>
      <c r="M16" s="3">
        <v>15.4913239362845</v>
      </c>
      <c r="N16" s="3">
        <v>14.543691230827999</v>
      </c>
    </row>
    <row r="17" spans="1:14" x14ac:dyDescent="0.35">
      <c r="A17" s="2">
        <v>42223</v>
      </c>
      <c r="B17" s="3">
        <v>18.235922259904001</v>
      </c>
      <c r="C17" s="3">
        <v>15.1295523858098</v>
      </c>
      <c r="D17" s="3">
        <v>15.502907121887199</v>
      </c>
      <c r="E17" s="3">
        <v>13.8900089896628</v>
      </c>
      <c r="F17" s="3">
        <v>15.6582503854014</v>
      </c>
      <c r="G17" s="3">
        <v>17.528160869117499</v>
      </c>
      <c r="H17" s="3">
        <v>15.481834850507999</v>
      </c>
      <c r="I17" s="3">
        <v>18.327441233517298</v>
      </c>
      <c r="J17" s="3">
        <v>16.208991160600199</v>
      </c>
      <c r="K17" s="3">
        <v>15.879636812858299</v>
      </c>
      <c r="L17" s="3">
        <v>16.747212190670599</v>
      </c>
      <c r="M17" s="3">
        <v>16.100342702213201</v>
      </c>
      <c r="N17" s="3">
        <v>15.6530678005056</v>
      </c>
    </row>
    <row r="18" spans="1:14" x14ac:dyDescent="0.35">
      <c r="A18" s="2">
        <v>42256</v>
      </c>
      <c r="B18" s="3">
        <v>17.497619423117801</v>
      </c>
      <c r="C18" s="3">
        <v>14.711549399401999</v>
      </c>
      <c r="D18" s="3">
        <v>14.650134290319199</v>
      </c>
      <c r="E18" s="3">
        <v>12.4927918100146</v>
      </c>
      <c r="F18" s="3">
        <v>13.9583732414746</v>
      </c>
      <c r="G18" s="3">
        <v>16.6132712100367</v>
      </c>
      <c r="H18" s="3">
        <v>14.5368754851376</v>
      </c>
      <c r="I18" s="3">
        <v>17.152022186559599</v>
      </c>
      <c r="J18" s="3">
        <v>15.113236408449101</v>
      </c>
      <c r="K18" s="3">
        <v>14.426248481930701</v>
      </c>
      <c r="L18" s="3">
        <v>15.0163096466878</v>
      </c>
      <c r="M18" s="3">
        <v>14.9969569501915</v>
      </c>
      <c r="N18" s="3">
        <v>14.515807797775601</v>
      </c>
    </row>
    <row r="19" spans="1:14" x14ac:dyDescent="0.35">
      <c r="A19" s="2">
        <v>42286</v>
      </c>
      <c r="B19" s="3">
        <v>17.031612061579601</v>
      </c>
      <c r="C19" s="3">
        <v>15.1554685743865</v>
      </c>
      <c r="D19" s="3">
        <v>15.217111641436301</v>
      </c>
      <c r="E19" s="3">
        <v>12.411436294847601</v>
      </c>
      <c r="F19" s="3">
        <v>14.0086136298185</v>
      </c>
      <c r="G19" s="3">
        <v>16.514842923924299</v>
      </c>
      <c r="H19" s="3">
        <v>15.3093024904814</v>
      </c>
      <c r="I19" s="3">
        <v>17.575455015094299</v>
      </c>
      <c r="J19" s="3">
        <v>15.7512636421626</v>
      </c>
      <c r="K19" s="3">
        <v>14.6264557862971</v>
      </c>
      <c r="L19" s="3">
        <v>14.864067789783499</v>
      </c>
      <c r="M19" s="3">
        <v>15.076400971001901</v>
      </c>
      <c r="N19" s="3">
        <v>14.597173581211599</v>
      </c>
    </row>
    <row r="20" spans="1:14" x14ac:dyDescent="0.35">
      <c r="A20" s="2">
        <v>42317</v>
      </c>
      <c r="B20" s="3">
        <v>18.127065113208499</v>
      </c>
      <c r="C20" s="3">
        <v>14.728163314548899</v>
      </c>
      <c r="D20" s="3">
        <v>14.7243289802296</v>
      </c>
      <c r="E20" s="3">
        <v>13.370758791466301</v>
      </c>
      <c r="F20" s="3">
        <v>14.6847249770336</v>
      </c>
      <c r="G20" s="3">
        <v>16.906138849276999</v>
      </c>
      <c r="H20" s="3">
        <v>15.148755051638201</v>
      </c>
      <c r="I20" s="3">
        <v>18.666444146485599</v>
      </c>
      <c r="J20" s="3">
        <v>16.2951600874107</v>
      </c>
      <c r="K20" s="3">
        <v>15.212415341820501</v>
      </c>
      <c r="L20" s="3">
        <v>16.033573970412601</v>
      </c>
      <c r="M20" s="3">
        <v>15.5591120000554</v>
      </c>
      <c r="N20" s="3">
        <v>14.5838673080981</v>
      </c>
    </row>
    <row r="21" spans="1:14" x14ac:dyDescent="0.35">
      <c r="A21" s="2">
        <v>42347</v>
      </c>
      <c r="B21" s="3">
        <v>17.9808383660766</v>
      </c>
      <c r="C21" s="3">
        <v>14.819278255662001</v>
      </c>
      <c r="D21" s="3">
        <v>14.048166877222499</v>
      </c>
      <c r="E21" s="3">
        <v>13.231820210801001</v>
      </c>
      <c r="F21" s="3">
        <v>14.2501929813034</v>
      </c>
      <c r="G21" s="3">
        <v>16.593921005507401</v>
      </c>
      <c r="H21" s="3">
        <v>14.878733453397601</v>
      </c>
      <c r="I21" s="3">
        <v>18.433373894968799</v>
      </c>
      <c r="J21" s="3">
        <v>15.9880972663629</v>
      </c>
      <c r="K21" s="3">
        <v>14.5453762028312</v>
      </c>
      <c r="L21" s="3">
        <v>15.561830617358799</v>
      </c>
      <c r="M21" s="3">
        <v>14.873585322247701</v>
      </c>
      <c r="N21" s="3">
        <v>14.180691712369001</v>
      </c>
    </row>
    <row r="22" spans="1:14" x14ac:dyDescent="0.35">
      <c r="A22" s="2">
        <v>42377</v>
      </c>
      <c r="B22" s="3">
        <v>17.749291676186999</v>
      </c>
      <c r="C22" s="3">
        <v>14.753741765573899</v>
      </c>
      <c r="D22" s="3">
        <v>13.528280155171499</v>
      </c>
      <c r="E22" s="3">
        <v>12.240955778597799</v>
      </c>
      <c r="F22" s="3">
        <v>13.098367993885599</v>
      </c>
      <c r="G22" s="3">
        <v>15.858096841445599</v>
      </c>
      <c r="H22" s="3">
        <v>14.478192346495</v>
      </c>
      <c r="I22" s="3">
        <v>17.1676831615518</v>
      </c>
      <c r="J22" s="3">
        <v>15.077533232166401</v>
      </c>
      <c r="K22" s="3">
        <v>13.6482204024616</v>
      </c>
      <c r="L22" s="3">
        <v>14.4164634935421</v>
      </c>
      <c r="M22" s="3">
        <v>13.9946447295889</v>
      </c>
      <c r="N22" s="3">
        <v>13.4042798846598</v>
      </c>
    </row>
    <row r="23" spans="1:14" x14ac:dyDescent="0.35">
      <c r="A23" s="2">
        <v>42409</v>
      </c>
      <c r="B23" s="3">
        <v>17.103425691022601</v>
      </c>
      <c r="C23" s="3">
        <v>14.814172530414901</v>
      </c>
      <c r="D23" s="3">
        <v>13.998276312477101</v>
      </c>
      <c r="E23" s="3">
        <v>11.2616110688062</v>
      </c>
      <c r="F23" s="3">
        <v>11.949392864840201</v>
      </c>
      <c r="G23" s="3">
        <v>15.5184051948464</v>
      </c>
      <c r="H23" s="3">
        <v>14.5662875744154</v>
      </c>
      <c r="I23" s="3">
        <v>15.966615374177</v>
      </c>
      <c r="J23" s="3">
        <v>15.5099438140132</v>
      </c>
      <c r="K23" s="3">
        <v>13.056411605703699</v>
      </c>
      <c r="L23" s="3">
        <v>13.700303440456899</v>
      </c>
      <c r="M23" s="3">
        <v>14.026765439359799</v>
      </c>
      <c r="N23" s="3">
        <v>11.422877028280499</v>
      </c>
    </row>
    <row r="24" spans="1:14" x14ac:dyDescent="0.35">
      <c r="A24" s="2">
        <v>42438</v>
      </c>
      <c r="B24" s="3">
        <v>18.041074710481102</v>
      </c>
      <c r="C24" s="3">
        <v>16.0738869403644</v>
      </c>
      <c r="D24" s="3">
        <v>15.5396466233549</v>
      </c>
      <c r="E24" s="3">
        <v>12.3918824286131</v>
      </c>
      <c r="F24" s="3">
        <v>12.6914833973727</v>
      </c>
      <c r="G24" s="3">
        <v>16.544470312177001</v>
      </c>
      <c r="H24" s="3">
        <v>15.9280541724792</v>
      </c>
      <c r="I24" s="3">
        <v>17.181659128961801</v>
      </c>
      <c r="J24" s="3">
        <v>15.516736353630501</v>
      </c>
      <c r="K24" s="3">
        <v>14.4250727513895</v>
      </c>
      <c r="L24" s="3">
        <v>15.0839844284333</v>
      </c>
      <c r="M24" s="3">
        <v>15.456289970632501</v>
      </c>
      <c r="N24" s="3">
        <v>13.1563274897612</v>
      </c>
    </row>
    <row r="25" spans="1:14" x14ac:dyDescent="0.35">
      <c r="A25" s="2">
        <v>42468</v>
      </c>
      <c r="B25" s="3">
        <v>18.472357561866499</v>
      </c>
      <c r="C25" s="3">
        <v>15.180061713093</v>
      </c>
      <c r="D25" s="3">
        <v>15.835296957804101</v>
      </c>
      <c r="E25" s="3">
        <v>12.284624464216501</v>
      </c>
      <c r="F25" s="3">
        <v>12.255984700133601</v>
      </c>
      <c r="G25" s="3">
        <v>16.485325492876601</v>
      </c>
      <c r="H25" s="3">
        <v>16.076821939008202</v>
      </c>
      <c r="I25" s="3">
        <v>17.814134775206799</v>
      </c>
      <c r="J25" s="3">
        <v>16.500463546018398</v>
      </c>
      <c r="K25" s="3">
        <v>14.096531939656201</v>
      </c>
      <c r="L25" s="3">
        <v>14.9467300116203</v>
      </c>
      <c r="M25" s="3">
        <v>15.050502804990201</v>
      </c>
      <c r="N25" s="3">
        <v>12.681319758079299</v>
      </c>
    </row>
    <row r="26" spans="1:14" x14ac:dyDescent="0.35">
      <c r="A26" s="2">
        <v>42499</v>
      </c>
      <c r="B26" s="3">
        <v>19.099708172188901</v>
      </c>
      <c r="C26" s="3">
        <v>16.4337951771682</v>
      </c>
      <c r="D26" s="3">
        <v>16.113485263467702</v>
      </c>
      <c r="E26" s="3">
        <v>12.517411503625899</v>
      </c>
      <c r="F26" s="3">
        <v>12.571695948753099</v>
      </c>
      <c r="G26" s="3">
        <v>16.436098785331801</v>
      </c>
      <c r="H26" s="3">
        <v>15.652346620864501</v>
      </c>
      <c r="I26" s="3">
        <v>17.446948631696301</v>
      </c>
      <c r="J26" s="3">
        <v>16.522677016730398</v>
      </c>
      <c r="K26" s="3">
        <v>14.143330244825799</v>
      </c>
      <c r="L26" s="3">
        <v>14.7100633022282</v>
      </c>
      <c r="M26" s="3">
        <v>14.929318375017299</v>
      </c>
      <c r="N26" s="3">
        <v>12.8112695881621</v>
      </c>
    </row>
    <row r="27" spans="1:14" x14ac:dyDescent="0.35">
      <c r="A27" s="2">
        <v>42530</v>
      </c>
      <c r="B27" s="3">
        <v>19.328164817073901</v>
      </c>
      <c r="C27" s="3">
        <v>16.4229956914625</v>
      </c>
      <c r="D27" s="3">
        <v>16.808793646000701</v>
      </c>
      <c r="E27" s="3">
        <v>12.4649986858803</v>
      </c>
      <c r="F27" s="3">
        <v>13.428655089458401</v>
      </c>
      <c r="G27" s="3">
        <v>16.9702864881057</v>
      </c>
      <c r="H27" s="3">
        <v>15.7948135510239</v>
      </c>
      <c r="I27" s="3">
        <v>17.935626104550501</v>
      </c>
      <c r="J27" s="3">
        <v>16.689842332436001</v>
      </c>
      <c r="K27" s="3">
        <v>14.220898877460399</v>
      </c>
      <c r="L27" s="3">
        <v>14.9125353537253</v>
      </c>
      <c r="M27" s="3">
        <v>14.7610358942226</v>
      </c>
      <c r="N27" s="3">
        <v>12.941046414643001</v>
      </c>
    </row>
    <row r="28" spans="1:14" x14ac:dyDescent="0.35">
      <c r="A28" s="2">
        <v>42559</v>
      </c>
      <c r="B28" s="3">
        <v>19.2810162965941</v>
      </c>
      <c r="C28" s="3">
        <v>15.8447968025185</v>
      </c>
      <c r="D28" s="3">
        <v>16.402909488600599</v>
      </c>
      <c r="E28" s="3">
        <v>11.903944811721701</v>
      </c>
      <c r="F28" s="3">
        <v>12.316557999241301</v>
      </c>
      <c r="G28" s="3">
        <v>16.707304082633001</v>
      </c>
      <c r="H28" s="3">
        <v>15.8228981691241</v>
      </c>
      <c r="I28" s="3">
        <v>18.070721201476498</v>
      </c>
      <c r="J28" s="3">
        <v>16.743505668113201</v>
      </c>
      <c r="K28" s="3">
        <v>13.443369205430299</v>
      </c>
      <c r="L28" s="3">
        <v>14.0942057163934</v>
      </c>
      <c r="M28" s="3">
        <v>14.555124475278999</v>
      </c>
      <c r="N28" s="3">
        <v>11.7116234840266</v>
      </c>
    </row>
    <row r="29" spans="1:14" x14ac:dyDescent="0.35">
      <c r="A29" s="2">
        <v>42591</v>
      </c>
      <c r="B29" s="3">
        <v>20.236411268510299</v>
      </c>
      <c r="C29" s="3">
        <v>16.8009859340867</v>
      </c>
      <c r="D29" s="3">
        <v>16.607340812103701</v>
      </c>
      <c r="E29" s="3">
        <v>13.130096282056501</v>
      </c>
      <c r="F29" s="3">
        <v>13.388670498359801</v>
      </c>
      <c r="G29" s="3">
        <v>17.407122909516801</v>
      </c>
      <c r="H29" s="3">
        <v>16.225962220993502</v>
      </c>
      <c r="I29" s="3">
        <v>18.8354722651274</v>
      </c>
      <c r="J29" s="3">
        <v>16.989862449569699</v>
      </c>
      <c r="K29" s="3">
        <v>14.1065181528972</v>
      </c>
      <c r="L29" s="3">
        <v>14.894995180651501</v>
      </c>
      <c r="M29" s="3">
        <v>15.520486482046699</v>
      </c>
      <c r="N29" s="3">
        <v>12.6694917769388</v>
      </c>
    </row>
    <row r="30" spans="1:14" x14ac:dyDescent="0.35">
      <c r="A30" s="2">
        <v>42622</v>
      </c>
      <c r="B30" s="3">
        <v>20.985895910256001</v>
      </c>
      <c r="C30" s="3">
        <v>16.067738212727701</v>
      </c>
      <c r="D30" s="3">
        <v>16.105541077750001</v>
      </c>
      <c r="E30" s="3">
        <v>12.982670768163301</v>
      </c>
      <c r="F30" s="3">
        <v>13.623194582680799</v>
      </c>
      <c r="G30" s="3">
        <v>17.3492168529548</v>
      </c>
      <c r="H30" s="3">
        <v>15.786246641616801</v>
      </c>
      <c r="I30" s="3">
        <v>18.090205728453199</v>
      </c>
      <c r="J30" s="3">
        <v>16.443516067558999</v>
      </c>
      <c r="K30" s="3">
        <v>14.081852774977699</v>
      </c>
      <c r="L30" s="3">
        <v>14.874296463428299</v>
      </c>
      <c r="M30" s="3">
        <v>15.4947158805012</v>
      </c>
      <c r="N30" s="3">
        <v>12.4798024463263</v>
      </c>
    </row>
    <row r="31" spans="1:14" x14ac:dyDescent="0.35">
      <c r="A31" s="2">
        <v>42650</v>
      </c>
      <c r="B31" s="3">
        <v>19.682318432196801</v>
      </c>
      <c r="C31" s="3">
        <v>16.338103178419601</v>
      </c>
      <c r="D31" s="3">
        <v>15.9541864912331</v>
      </c>
      <c r="E31" s="3">
        <v>12.8347739497469</v>
      </c>
      <c r="F31" s="3">
        <v>13.516145617538299</v>
      </c>
      <c r="G31" s="3">
        <v>16.976177530017502</v>
      </c>
      <c r="H31" s="3">
        <v>15.625301723900201</v>
      </c>
      <c r="I31" s="3">
        <v>18.572808225382001</v>
      </c>
      <c r="J31" s="3">
        <v>16.515181969858801</v>
      </c>
      <c r="K31" s="3">
        <v>13.8071108488435</v>
      </c>
      <c r="L31" s="3">
        <v>14.7859029244652</v>
      </c>
      <c r="M31" s="3">
        <v>15.878106221372599</v>
      </c>
      <c r="N31" s="3">
        <v>11.7367410788033</v>
      </c>
    </row>
    <row r="32" spans="1:14" x14ac:dyDescent="0.35">
      <c r="A32" s="2">
        <v>42683</v>
      </c>
      <c r="B32" s="3">
        <v>18.090751168446999</v>
      </c>
      <c r="C32" s="3">
        <v>15.2613986699118</v>
      </c>
      <c r="D32" s="3">
        <v>15.8860864753293</v>
      </c>
      <c r="E32" s="3">
        <v>12.816010783104399</v>
      </c>
      <c r="F32" s="3">
        <v>12.896307760363801</v>
      </c>
      <c r="G32" s="3">
        <v>16.576223972263101</v>
      </c>
      <c r="H32" s="3">
        <v>14.726153839924001</v>
      </c>
      <c r="I32" s="3">
        <v>18.245556315256898</v>
      </c>
      <c r="J32" s="3">
        <v>16.5192809661025</v>
      </c>
      <c r="K32" s="3">
        <v>13.9010945097637</v>
      </c>
      <c r="L32" s="3">
        <v>14.630748679184499</v>
      </c>
      <c r="M32" s="3">
        <v>16.019661281585101</v>
      </c>
      <c r="N32" s="3">
        <v>11.869610326899901</v>
      </c>
    </row>
    <row r="33" spans="1:14" x14ac:dyDescent="0.35">
      <c r="A33" s="2">
        <v>42713</v>
      </c>
      <c r="B33" s="3">
        <v>18.596965123911499</v>
      </c>
      <c r="C33" s="3">
        <v>15.902515362013</v>
      </c>
      <c r="D33" s="3">
        <v>15.996948232407901</v>
      </c>
      <c r="E33" s="3">
        <v>13.3932021891696</v>
      </c>
      <c r="F33" s="3">
        <v>14.988333420923301</v>
      </c>
      <c r="G33" s="3">
        <v>16.6379478574713</v>
      </c>
      <c r="H33" s="3">
        <v>14.4597164461922</v>
      </c>
      <c r="I33" s="3">
        <v>18.283669809778001</v>
      </c>
      <c r="J33" s="3">
        <v>17.081772933173902</v>
      </c>
      <c r="K33" s="3">
        <v>14.396355790909899</v>
      </c>
      <c r="L33" s="3">
        <v>14.7895848907391</v>
      </c>
      <c r="M33" s="3">
        <v>16.650737117459801</v>
      </c>
      <c r="N33" s="3">
        <v>12.8113917756079</v>
      </c>
    </row>
    <row r="34" spans="1:14" x14ac:dyDescent="0.35">
      <c r="A34" s="2">
        <v>42744</v>
      </c>
      <c r="B34" s="3">
        <v>18.863787933341701</v>
      </c>
      <c r="C34" s="3">
        <v>16.148079724224701</v>
      </c>
      <c r="D34" s="3">
        <v>15.8168604226243</v>
      </c>
      <c r="E34" s="3">
        <v>13.709068608503699</v>
      </c>
      <c r="F34" s="3">
        <v>14.9450011024825</v>
      </c>
      <c r="G34" s="3">
        <v>17.166213958048999</v>
      </c>
      <c r="H34" s="3">
        <v>14.372087249185199</v>
      </c>
      <c r="I34" s="3">
        <v>18.609029801829301</v>
      </c>
      <c r="J34" s="3">
        <v>16.977616565369701</v>
      </c>
      <c r="K34" s="3">
        <v>14.6137992411619</v>
      </c>
      <c r="L34" s="3">
        <v>15.0362825226961</v>
      </c>
      <c r="M34" s="3">
        <v>16.375455734053599</v>
      </c>
      <c r="N34" s="3">
        <v>13.4036645720723</v>
      </c>
    </row>
    <row r="35" spans="1:14" x14ac:dyDescent="0.35">
      <c r="A35" s="2">
        <v>42775</v>
      </c>
      <c r="B35" s="3">
        <v>19.198293169463099</v>
      </c>
      <c r="C35" s="3">
        <v>15.693453820706299</v>
      </c>
      <c r="D35" s="3">
        <v>16.1327694877527</v>
      </c>
      <c r="E35" s="3">
        <v>13.6026620159888</v>
      </c>
      <c r="F35" s="3">
        <v>14.190142961535299</v>
      </c>
      <c r="G35" s="3">
        <v>17.350397408143699</v>
      </c>
      <c r="H35" s="3">
        <v>14.461594763285101</v>
      </c>
      <c r="I35" s="3">
        <v>19.695416499489301</v>
      </c>
      <c r="J35" s="3">
        <v>17.2970833609305</v>
      </c>
      <c r="K35" s="3">
        <v>14.2483318085172</v>
      </c>
      <c r="L35" s="3">
        <v>15.298508017073001</v>
      </c>
      <c r="M35" s="3">
        <v>16.026749029531</v>
      </c>
      <c r="N35" s="3">
        <v>13.0751844669589</v>
      </c>
    </row>
    <row r="36" spans="1:14" x14ac:dyDescent="0.35">
      <c r="A36" s="2">
        <v>42803</v>
      </c>
      <c r="B36" s="3">
        <v>18.8799988148611</v>
      </c>
      <c r="C36" s="3">
        <v>15.7215261069394</v>
      </c>
      <c r="D36" s="3">
        <v>15.951995611758701</v>
      </c>
      <c r="E36" s="3">
        <v>13.876106924365001</v>
      </c>
      <c r="F36" s="3">
        <v>14.225719159309</v>
      </c>
      <c r="G36" s="3">
        <v>17.552334954765598</v>
      </c>
      <c r="H36" s="3">
        <v>14.2900830939155</v>
      </c>
      <c r="I36" s="3">
        <v>20.0625612968303</v>
      </c>
      <c r="J36" s="3">
        <v>17.636094809866901</v>
      </c>
      <c r="K36" s="3">
        <v>14.4751834007836</v>
      </c>
      <c r="L36" s="3">
        <v>15.942374728257599</v>
      </c>
      <c r="M36" s="3">
        <v>16.480455309663299</v>
      </c>
      <c r="N36" s="3">
        <v>13.266953670789499</v>
      </c>
    </row>
    <row r="37" spans="1:14" x14ac:dyDescent="0.35">
      <c r="A37" s="2">
        <v>42832</v>
      </c>
      <c r="B37" s="3">
        <v>19.204100026069199</v>
      </c>
      <c r="C37" s="3">
        <v>15.738337567223599</v>
      </c>
      <c r="D37" s="3">
        <v>15.948190873613999</v>
      </c>
      <c r="E37" s="3">
        <v>13.952036851428399</v>
      </c>
      <c r="F37" s="3">
        <v>13.5519300048222</v>
      </c>
      <c r="G37" s="3">
        <v>17.3271508312652</v>
      </c>
      <c r="H37" s="3">
        <v>14.436383901204101</v>
      </c>
      <c r="I37" s="3">
        <v>20.039036774063501</v>
      </c>
      <c r="J37" s="3">
        <v>17.419487780035201</v>
      </c>
      <c r="K37" s="3">
        <v>14.9268719457641</v>
      </c>
      <c r="L37" s="3">
        <v>16.0491046816181</v>
      </c>
      <c r="M37" s="3">
        <v>16.975802443578502</v>
      </c>
      <c r="N37" s="3">
        <v>13.350444482084701</v>
      </c>
    </row>
    <row r="38" spans="1:14" x14ac:dyDescent="0.35">
      <c r="A38" s="2">
        <v>42864</v>
      </c>
      <c r="B38" s="3">
        <v>19.582092594641001</v>
      </c>
      <c r="C38" s="3">
        <v>15.5978591861164</v>
      </c>
      <c r="D38" s="3">
        <v>15.644131387047199</v>
      </c>
      <c r="E38" s="3">
        <v>14.1288259622343</v>
      </c>
      <c r="F38" s="3">
        <v>14.2852395375029</v>
      </c>
      <c r="G38" s="3">
        <v>18.078674229903701</v>
      </c>
      <c r="H38" s="3">
        <v>14.5387467168482</v>
      </c>
      <c r="I38" s="3">
        <v>20.716139543695501</v>
      </c>
      <c r="J38" s="3">
        <v>17.489990220726</v>
      </c>
      <c r="K38" s="3">
        <v>15.4657445747727</v>
      </c>
      <c r="L38" s="3">
        <v>16.721884670704501</v>
      </c>
      <c r="M38" s="3">
        <v>17.2557537216668</v>
      </c>
      <c r="N38" s="3">
        <v>13.911615702093499</v>
      </c>
    </row>
    <row r="39" spans="1:14" x14ac:dyDescent="0.35">
      <c r="A39" s="2">
        <v>42895</v>
      </c>
      <c r="B39" s="3">
        <v>19.341945265785199</v>
      </c>
      <c r="C39" s="3">
        <v>15.1595002902089</v>
      </c>
      <c r="D39" s="3">
        <v>15.526547027327499</v>
      </c>
      <c r="E39" s="3">
        <v>13.8798517892156</v>
      </c>
      <c r="F39" s="3">
        <v>14.354416422436</v>
      </c>
      <c r="G39" s="3">
        <v>17.85127543502</v>
      </c>
      <c r="H39" s="3">
        <v>14.7216397543999</v>
      </c>
      <c r="I39" s="3">
        <v>20.640936077665199</v>
      </c>
      <c r="J39" s="3">
        <v>17.589292207425601</v>
      </c>
      <c r="K39" s="3">
        <v>15.0857833266054</v>
      </c>
      <c r="L39" s="3">
        <v>16.3278039027341</v>
      </c>
      <c r="M39" s="3">
        <v>16.912913838454202</v>
      </c>
      <c r="N39" s="3">
        <v>13.3966175320939</v>
      </c>
    </row>
    <row r="40" spans="1:14" x14ac:dyDescent="0.35">
      <c r="A40" s="2">
        <v>42923</v>
      </c>
      <c r="B40" s="3">
        <v>19.480375846776099</v>
      </c>
      <c r="C40" s="3">
        <v>15.3656604042329</v>
      </c>
      <c r="D40" s="3">
        <v>15.123170618776401</v>
      </c>
      <c r="E40" s="3">
        <v>13.357410685731899</v>
      </c>
      <c r="F40" s="3">
        <v>14.192204284289</v>
      </c>
      <c r="G40" s="3">
        <v>17.647580777136099</v>
      </c>
      <c r="H40" s="3">
        <v>14.4349955344675</v>
      </c>
      <c r="I40" s="3">
        <v>20.040815029181399</v>
      </c>
      <c r="J40" s="3">
        <v>17.4006071657993</v>
      </c>
      <c r="K40" s="3">
        <v>14.605050964753399</v>
      </c>
      <c r="L40" s="3">
        <v>15.7048515771501</v>
      </c>
      <c r="M40" s="3">
        <v>16.5830811195653</v>
      </c>
      <c r="N40" s="3">
        <v>13.233758953645999</v>
      </c>
    </row>
    <row r="41" spans="1:14" x14ac:dyDescent="0.35">
      <c r="A41" s="2">
        <v>42956</v>
      </c>
      <c r="B41" s="3">
        <v>19.9462637707013</v>
      </c>
      <c r="C41" s="3">
        <v>15.7543164886192</v>
      </c>
      <c r="D41" s="3">
        <v>15.6742304261626</v>
      </c>
      <c r="E41" s="3">
        <v>13.0767870473345</v>
      </c>
      <c r="F41" s="3">
        <v>14.057334219483</v>
      </c>
      <c r="G41" s="3">
        <v>17.699312758504401</v>
      </c>
      <c r="H41" s="3">
        <v>14.822476943632999</v>
      </c>
      <c r="I41" s="3">
        <v>20.697449363977601</v>
      </c>
      <c r="J41" s="3">
        <v>17.618319525358999</v>
      </c>
      <c r="K41" s="3">
        <v>14.6146550211842</v>
      </c>
      <c r="L41" s="3">
        <v>15.9984677679816</v>
      </c>
      <c r="M41" s="3">
        <v>16.079218990663499</v>
      </c>
      <c r="N41" s="3">
        <v>13.4366072885185</v>
      </c>
    </row>
    <row r="42" spans="1:14" x14ac:dyDescent="0.35">
      <c r="A42" s="2">
        <v>42986</v>
      </c>
      <c r="B42" s="3">
        <v>19.9748460346356</v>
      </c>
      <c r="C42" s="3">
        <v>15.487210136675801</v>
      </c>
      <c r="D42" s="3">
        <v>15.1299249058398</v>
      </c>
      <c r="E42" s="3">
        <v>13.149949273910501</v>
      </c>
      <c r="F42" s="3">
        <v>13.425356357914399</v>
      </c>
      <c r="G42" s="3">
        <v>17.500427006168799</v>
      </c>
      <c r="H42" s="3">
        <v>14.576596596832299</v>
      </c>
      <c r="I42" s="3">
        <v>20.382589583215299</v>
      </c>
      <c r="J42" s="3">
        <v>17.391376730096699</v>
      </c>
      <c r="K42" s="3">
        <v>14.593854631830901</v>
      </c>
      <c r="L42" s="3">
        <v>15.6713702265961</v>
      </c>
      <c r="M42" s="3">
        <v>15.9137116015378</v>
      </c>
      <c r="N42" s="3">
        <v>13.2217932020195</v>
      </c>
    </row>
    <row r="43" spans="1:14" x14ac:dyDescent="0.35">
      <c r="A43" s="2">
        <v>43017</v>
      </c>
      <c r="B43" s="3">
        <v>19.911935948640998</v>
      </c>
      <c r="C43" s="3">
        <v>15.513001379348401</v>
      </c>
      <c r="D43" s="3">
        <v>15.806109644792</v>
      </c>
      <c r="E43" s="3">
        <v>13.807758103904501</v>
      </c>
      <c r="F43" s="3">
        <v>14.0457376738634</v>
      </c>
      <c r="G43" s="3">
        <v>17.855753860534101</v>
      </c>
      <c r="H43" s="3">
        <v>14.607686614351699</v>
      </c>
      <c r="I43" s="3">
        <v>20.5619774993764</v>
      </c>
      <c r="J43" s="3">
        <v>17.869066056179399</v>
      </c>
      <c r="K43" s="3">
        <v>15.202865040094601</v>
      </c>
      <c r="L43" s="3">
        <v>16.0983972808971</v>
      </c>
      <c r="M43" s="3">
        <v>16.7319246084691</v>
      </c>
      <c r="N43" s="3">
        <v>13.6121818213464</v>
      </c>
    </row>
    <row r="44" spans="1:14" x14ac:dyDescent="0.35">
      <c r="A44" s="2">
        <v>43048</v>
      </c>
      <c r="B44" s="3">
        <v>20.206931371638699</v>
      </c>
      <c r="C44" s="3">
        <v>16.1648479748985</v>
      </c>
      <c r="D44" s="3">
        <v>15.990702021476</v>
      </c>
      <c r="E44" s="3">
        <v>14.013226299014001</v>
      </c>
      <c r="F44" s="3">
        <v>15.004815316973501</v>
      </c>
      <c r="G44" s="3">
        <v>17.675325651825698</v>
      </c>
      <c r="H44" s="3">
        <v>14.4273169903912</v>
      </c>
      <c r="I44" s="3">
        <v>20.912200320987601</v>
      </c>
      <c r="J44" s="3">
        <v>17.937039294143901</v>
      </c>
      <c r="K44" s="3">
        <v>15.105062350026399</v>
      </c>
      <c r="L44" s="3">
        <v>16.180274383420901</v>
      </c>
      <c r="M44" s="3">
        <v>16.987002096009501</v>
      </c>
      <c r="N44" s="3">
        <v>13.470954379222499</v>
      </c>
    </row>
    <row r="45" spans="1:14" x14ac:dyDescent="0.35">
      <c r="A45" s="2">
        <v>43077</v>
      </c>
      <c r="B45" s="3">
        <v>20.514714450084199</v>
      </c>
      <c r="C45" s="3">
        <v>15.826554093487299</v>
      </c>
      <c r="D45" s="3">
        <v>15.9796193354354</v>
      </c>
      <c r="E45" s="3">
        <v>14.0260587045394</v>
      </c>
      <c r="F45" s="3">
        <v>14.692099383678499</v>
      </c>
      <c r="G45" s="3">
        <v>17.5932464331134</v>
      </c>
      <c r="H45" s="3">
        <v>14.248657304744</v>
      </c>
      <c r="I45" s="3">
        <v>20.741019062141699</v>
      </c>
      <c r="J45" s="3">
        <v>18.213862706966101</v>
      </c>
      <c r="K45" s="3">
        <v>15.0807403721605</v>
      </c>
      <c r="L45" s="3">
        <v>16.042462043941399</v>
      </c>
      <c r="M45" s="3">
        <v>16.4656506946612</v>
      </c>
      <c r="N45" s="3">
        <v>13.6153240806097</v>
      </c>
    </row>
    <row r="46" spans="1:14" x14ac:dyDescent="0.35">
      <c r="A46" s="2">
        <v>43109</v>
      </c>
      <c r="B46" s="3">
        <v>20.914838617809998</v>
      </c>
      <c r="C46" s="3">
        <v>16.1538228477086</v>
      </c>
      <c r="D46" s="3">
        <v>15.9233720733168</v>
      </c>
      <c r="E46" s="3">
        <v>14.2219917694645</v>
      </c>
      <c r="F46" s="3">
        <v>15.2863937325316</v>
      </c>
      <c r="G46" s="3">
        <v>18.010195950306699</v>
      </c>
      <c r="H46" s="3">
        <v>14.765911713816299</v>
      </c>
      <c r="I46" s="3">
        <v>21.566327272662601</v>
      </c>
      <c r="J46" s="3">
        <v>18.281389453265799</v>
      </c>
      <c r="K46" s="3">
        <v>15.2791594556237</v>
      </c>
      <c r="L46" s="3">
        <v>16.300906043049</v>
      </c>
      <c r="M46" s="3">
        <v>16.679029242352701</v>
      </c>
      <c r="N46" s="3">
        <v>13.474082752964399</v>
      </c>
    </row>
    <row r="47" spans="1:14" x14ac:dyDescent="0.35">
      <c r="A47" s="2">
        <v>43140</v>
      </c>
      <c r="B47" s="3">
        <v>19.182985607953899</v>
      </c>
      <c r="C47" s="3">
        <v>15.156225273290699</v>
      </c>
      <c r="D47" s="3">
        <v>14.2710920811937</v>
      </c>
      <c r="E47" s="3">
        <v>12.829917061255699</v>
      </c>
      <c r="F47" s="3">
        <v>13.724401386297799</v>
      </c>
      <c r="G47" s="3">
        <v>16.264885605742101</v>
      </c>
      <c r="H47" s="3">
        <v>13.3277442334801</v>
      </c>
      <c r="I47" s="3">
        <v>19.656531410308599</v>
      </c>
      <c r="J47" s="3">
        <v>16.431939713911301</v>
      </c>
      <c r="K47" s="3">
        <v>14.030264621436499</v>
      </c>
      <c r="L47" s="3">
        <v>15.1646814553608</v>
      </c>
      <c r="M47" s="3">
        <v>15.5817227402787</v>
      </c>
      <c r="N47" s="3">
        <v>12.426312143246999</v>
      </c>
    </row>
    <row r="48" spans="1:14" x14ac:dyDescent="0.35">
      <c r="A48" s="2">
        <v>43168</v>
      </c>
      <c r="B48" s="3">
        <v>20.323956360460802</v>
      </c>
      <c r="C48" s="3">
        <v>15.4056068152723</v>
      </c>
      <c r="D48" s="3">
        <v>14.4567043259723</v>
      </c>
      <c r="E48" s="3">
        <v>13.088952967584101</v>
      </c>
      <c r="F48" s="3">
        <v>12.841037980382101</v>
      </c>
      <c r="G48" s="3">
        <v>16.4759389556176</v>
      </c>
      <c r="H48" s="3">
        <v>13.5669654160062</v>
      </c>
      <c r="I48" s="3">
        <v>21.475115815503798</v>
      </c>
      <c r="J48" s="3">
        <v>17.2975432074564</v>
      </c>
      <c r="K48" s="3">
        <v>14.556108266567801</v>
      </c>
      <c r="L48" s="3">
        <v>15.7741675501155</v>
      </c>
      <c r="M48" s="3">
        <v>16.381201992008901</v>
      </c>
      <c r="N48" s="3">
        <v>12.717101374817</v>
      </c>
    </row>
    <row r="49" spans="1:14" x14ac:dyDescent="0.35">
      <c r="A49" s="2">
        <v>43199</v>
      </c>
      <c r="B49" s="3">
        <v>20.286185843926098</v>
      </c>
      <c r="C49" s="3">
        <v>14.8711759569546</v>
      </c>
      <c r="D49" s="3">
        <v>13.9952179742625</v>
      </c>
      <c r="E49" s="3">
        <v>12.8957189948321</v>
      </c>
      <c r="F49" s="3">
        <v>12.828635435748501</v>
      </c>
      <c r="G49" s="3">
        <v>15.984542007317099</v>
      </c>
      <c r="H49" s="3">
        <v>13.466151708935101</v>
      </c>
      <c r="I49" s="3">
        <v>19.389267237100398</v>
      </c>
      <c r="J49" s="3">
        <v>16.093663464967701</v>
      </c>
      <c r="K49" s="3">
        <v>14.410420954265399</v>
      </c>
      <c r="L49" s="3">
        <v>15.490808185714799</v>
      </c>
      <c r="M49" s="3">
        <v>15.5194574748098</v>
      </c>
      <c r="N49" s="3">
        <v>12.7427094597204</v>
      </c>
    </row>
    <row r="50" spans="1:14" x14ac:dyDescent="0.35">
      <c r="A50" s="2">
        <v>43229</v>
      </c>
      <c r="B50" s="3">
        <v>20.423713561993701</v>
      </c>
      <c r="C50" s="3">
        <v>15.431556629275301</v>
      </c>
      <c r="D50" s="3">
        <v>14.3024675254608</v>
      </c>
      <c r="E50" s="3">
        <v>13.4489094206986</v>
      </c>
      <c r="F50" s="3">
        <v>13.158494513352901</v>
      </c>
      <c r="G50" s="3">
        <v>16.281883835304001</v>
      </c>
      <c r="H50" s="3">
        <v>13.9303790703005</v>
      </c>
      <c r="I50" s="3">
        <v>20.060442087613101</v>
      </c>
      <c r="J50" s="3">
        <v>16.307952101031901</v>
      </c>
      <c r="K50" s="3">
        <v>14.840209780654099</v>
      </c>
      <c r="L50" s="3">
        <v>15.6878892555197</v>
      </c>
      <c r="M50" s="3">
        <v>16.145267907300902</v>
      </c>
      <c r="N50" s="3">
        <v>13.133284516056399</v>
      </c>
    </row>
    <row r="51" spans="1:14" x14ac:dyDescent="0.35">
      <c r="A51" s="2">
        <v>43259</v>
      </c>
      <c r="B51" s="3">
        <v>21.1911624078075</v>
      </c>
      <c r="C51" s="3">
        <v>15.1273524531377</v>
      </c>
      <c r="D51" s="3">
        <v>14.326904280147501</v>
      </c>
      <c r="E51" s="3">
        <v>13.219676078512199</v>
      </c>
      <c r="F51" s="3">
        <v>13.1813628221858</v>
      </c>
      <c r="G51" s="3">
        <v>15.538196550711699</v>
      </c>
      <c r="H51" s="3">
        <v>13.536100610372101</v>
      </c>
      <c r="I51" s="3">
        <v>20.533937046742</v>
      </c>
      <c r="J51" s="3">
        <v>16.579407296591999</v>
      </c>
      <c r="K51" s="3">
        <v>14.360214453195001</v>
      </c>
      <c r="L51" s="3">
        <v>15.8585875964392</v>
      </c>
      <c r="M51" s="3">
        <v>15.3909449207469</v>
      </c>
      <c r="N51" s="3">
        <v>11.268371580461199</v>
      </c>
    </row>
    <row r="52" spans="1:14" x14ac:dyDescent="0.35">
      <c r="A52" s="2">
        <v>43290</v>
      </c>
      <c r="B52" s="3">
        <v>21.3164784046031</v>
      </c>
      <c r="C52" s="3">
        <v>15.7067452102291</v>
      </c>
      <c r="D52" s="3">
        <v>14.3005313149361</v>
      </c>
      <c r="E52" s="3">
        <v>12.980525133446999</v>
      </c>
      <c r="F52" s="3">
        <v>12.6497491391164</v>
      </c>
      <c r="G52" s="3">
        <v>15.8707628714448</v>
      </c>
      <c r="H52" s="3">
        <v>13.3428757065274</v>
      </c>
      <c r="I52" s="3">
        <v>20.710055193360301</v>
      </c>
      <c r="J52" s="3">
        <v>16.465562164871599</v>
      </c>
      <c r="K52" s="3">
        <v>14.0744901829058</v>
      </c>
      <c r="L52" s="3">
        <v>15.597372971582599</v>
      </c>
      <c r="M52" s="3">
        <v>15.3809732866278</v>
      </c>
      <c r="N52" s="3">
        <v>11.5344747627783</v>
      </c>
    </row>
    <row r="53" spans="1:14" x14ac:dyDescent="0.35">
      <c r="A53" s="2">
        <v>43321</v>
      </c>
      <c r="B53" s="3">
        <v>21.088551784901298</v>
      </c>
      <c r="C53" s="3">
        <v>15.6960791744971</v>
      </c>
      <c r="D53" s="3">
        <v>14.127084488334701</v>
      </c>
      <c r="E53" s="3">
        <v>13.109888763837001</v>
      </c>
      <c r="F53" s="3">
        <v>12.8062302223478</v>
      </c>
      <c r="G53" s="3">
        <v>16.253810852326101</v>
      </c>
      <c r="H53" s="3">
        <v>13.2094847360933</v>
      </c>
      <c r="I53" s="3">
        <v>20.746498639001999</v>
      </c>
      <c r="J53" s="3">
        <v>16.6229078469228</v>
      </c>
      <c r="K53" s="3">
        <v>14.0901954550804</v>
      </c>
      <c r="L53" s="3">
        <v>15.904017611460601</v>
      </c>
      <c r="M53" s="3">
        <v>15.707819841545399</v>
      </c>
      <c r="N53" s="3">
        <v>11.369491526245399</v>
      </c>
    </row>
    <row r="54" spans="1:14" x14ac:dyDescent="0.35">
      <c r="A54" s="2">
        <v>43350</v>
      </c>
      <c r="B54" s="3">
        <v>21.321768789944201</v>
      </c>
      <c r="C54" s="3">
        <v>15.176069171822199</v>
      </c>
      <c r="D54" s="3">
        <v>13.6137053487051</v>
      </c>
      <c r="E54" s="3">
        <v>12.429586470755799</v>
      </c>
      <c r="F54" s="3">
        <v>12.2991698517824</v>
      </c>
      <c r="G54" s="3">
        <v>15.7674247915543</v>
      </c>
      <c r="H54" s="3">
        <v>12.3178719434461</v>
      </c>
      <c r="I54" s="3">
        <v>20.4420242510494</v>
      </c>
      <c r="J54" s="3">
        <v>16.5945683601953</v>
      </c>
      <c r="K54" s="3">
        <v>13.3790089075246</v>
      </c>
      <c r="L54" s="3">
        <v>15.109884637065701</v>
      </c>
      <c r="M54" s="3">
        <v>15.4753898922039</v>
      </c>
      <c r="N54" s="3">
        <v>10.5319374128334</v>
      </c>
    </row>
    <row r="55" spans="1:14" x14ac:dyDescent="0.35">
      <c r="A55" s="2">
        <v>43382</v>
      </c>
      <c r="B55" s="3">
        <v>20.9136505484515</v>
      </c>
      <c r="C55" s="3">
        <v>14.745040349608701</v>
      </c>
      <c r="D55" s="3">
        <v>13.317568138866701</v>
      </c>
      <c r="E55" s="3">
        <v>12.3419553549803</v>
      </c>
      <c r="F55" s="3">
        <v>12.8707409626114</v>
      </c>
      <c r="G55" s="3">
        <v>15.649637831245</v>
      </c>
      <c r="H55" s="3">
        <v>12.284392765041099</v>
      </c>
      <c r="I55" s="3">
        <v>20.142951232458</v>
      </c>
      <c r="J55" s="3">
        <v>16.534265209929799</v>
      </c>
      <c r="K55" s="3">
        <v>13.345047118116</v>
      </c>
      <c r="L55" s="3">
        <v>14.559707115681199</v>
      </c>
      <c r="M55" s="3">
        <v>15.3886775519943</v>
      </c>
      <c r="N55" s="3">
        <v>10.287012163487899</v>
      </c>
    </row>
    <row r="56" spans="1:14" x14ac:dyDescent="0.35">
      <c r="A56" s="2">
        <v>43413</v>
      </c>
      <c r="B56" s="3">
        <v>20.5368053214283</v>
      </c>
      <c r="C56" s="3">
        <v>14.647037538523</v>
      </c>
      <c r="D56" s="3">
        <v>12.6934806330384</v>
      </c>
      <c r="E56" s="3">
        <v>11.8044807401602</v>
      </c>
      <c r="F56" s="3">
        <v>12.1830320458456</v>
      </c>
      <c r="G56" s="3">
        <v>15.776399258642201</v>
      </c>
      <c r="H56" s="3">
        <v>11.931797352236501</v>
      </c>
      <c r="I56" s="3">
        <v>19.046710566253999</v>
      </c>
      <c r="J56" s="3">
        <v>15.893384522402901</v>
      </c>
      <c r="K56" s="3">
        <v>12.8255122560701</v>
      </c>
      <c r="L56" s="3">
        <v>14.369722066343099</v>
      </c>
      <c r="M56" s="3">
        <v>14.3961772472307</v>
      </c>
      <c r="N56" s="3">
        <v>9.8325002246017306</v>
      </c>
    </row>
    <row r="57" spans="1:14" x14ac:dyDescent="0.35">
      <c r="A57" s="2">
        <v>43441</v>
      </c>
      <c r="B57" s="3">
        <v>20.020192228927002</v>
      </c>
      <c r="C57" s="3">
        <v>14.080883024432699</v>
      </c>
      <c r="D57" s="3">
        <v>12.4792850401097</v>
      </c>
      <c r="E57" s="3">
        <v>11.170030111926099</v>
      </c>
      <c r="F57" s="3">
        <v>11.9399101423011</v>
      </c>
      <c r="G57" s="3">
        <v>15.147365225284901</v>
      </c>
      <c r="H57" s="3">
        <v>11.3926704609729</v>
      </c>
      <c r="I57" s="3">
        <v>17.8836648291981</v>
      </c>
      <c r="J57" s="3">
        <v>15.023400060576099</v>
      </c>
      <c r="K57" s="3">
        <v>12.1528409970108</v>
      </c>
      <c r="L57" s="3">
        <v>13.592072588612901</v>
      </c>
      <c r="M57" s="3">
        <v>13.6271329047409</v>
      </c>
      <c r="N57" s="3">
        <v>9.3414260130372408</v>
      </c>
    </row>
    <row r="58" spans="1:14" x14ac:dyDescent="0.35">
      <c r="A58" s="2">
        <v>43474</v>
      </c>
      <c r="B58" s="3">
        <v>20.373893584858401</v>
      </c>
      <c r="C58" s="3">
        <v>14.4432107016465</v>
      </c>
      <c r="D58" s="3">
        <v>12.8054621255762</v>
      </c>
      <c r="E58" s="3">
        <v>11.3316232392134</v>
      </c>
      <c r="F58" s="3">
        <v>11.4748243072449</v>
      </c>
      <c r="G58" s="3">
        <v>15.010375610594901</v>
      </c>
      <c r="H58" s="3">
        <v>11.8122269393783</v>
      </c>
      <c r="I58" s="3">
        <v>18.1326446125193</v>
      </c>
      <c r="J58" s="3">
        <v>15.005325870257</v>
      </c>
      <c r="K58" s="3">
        <v>12.273325096915899</v>
      </c>
      <c r="L58" s="3">
        <v>13.333692013875501</v>
      </c>
      <c r="M58" s="3">
        <v>13.949581888081701</v>
      </c>
      <c r="N58" s="3">
        <v>9.6292665906081503</v>
      </c>
    </row>
    <row r="59" spans="1:14" x14ac:dyDescent="0.35">
      <c r="A59" s="2">
        <v>43504</v>
      </c>
      <c r="B59" s="3">
        <v>20.924256404920701</v>
      </c>
      <c r="C59" s="3">
        <v>15.1140590559393</v>
      </c>
      <c r="D59" s="3">
        <v>13.790192940896301</v>
      </c>
      <c r="E59" s="3">
        <v>11.5165417422748</v>
      </c>
      <c r="F59" s="3">
        <v>11.783917836817499</v>
      </c>
      <c r="G59" s="3">
        <v>15.548067560805301</v>
      </c>
      <c r="H59" s="3">
        <v>12.2460325682825</v>
      </c>
      <c r="I59" s="3">
        <v>19.1144461451171</v>
      </c>
      <c r="J59" s="3">
        <v>15.786380009013</v>
      </c>
      <c r="K59" s="3">
        <v>12.751875626448699</v>
      </c>
      <c r="L59" s="3">
        <v>14.3944465028796</v>
      </c>
      <c r="M59" s="3">
        <v>14.4528062223253</v>
      </c>
      <c r="N59" s="3">
        <v>9.9909270625510693</v>
      </c>
    </row>
    <row r="60" spans="1:14" x14ac:dyDescent="0.35">
      <c r="A60" s="2">
        <v>43532</v>
      </c>
      <c r="B60" s="3">
        <v>21.852236098504498</v>
      </c>
      <c r="C60" s="3">
        <v>15.358580095774601</v>
      </c>
      <c r="D60" s="3">
        <v>14.0913009231824</v>
      </c>
      <c r="E60" s="3">
        <v>12.092177694284</v>
      </c>
      <c r="F60" s="3">
        <v>12.2742177536373</v>
      </c>
      <c r="G60" s="3">
        <v>16.1344931768982</v>
      </c>
      <c r="H60" s="3">
        <v>12.276452427506801</v>
      </c>
      <c r="I60" s="3">
        <v>19.413767677296399</v>
      </c>
      <c r="J60" s="3">
        <v>15.944845173858701</v>
      </c>
      <c r="K60" s="3">
        <v>13.389551665396001</v>
      </c>
      <c r="L60" s="3">
        <v>14.7021194548281</v>
      </c>
      <c r="M60" s="3">
        <v>14.6442200593129</v>
      </c>
      <c r="N60" s="3">
        <v>10.3975860967619</v>
      </c>
    </row>
    <row r="61" spans="1:14" x14ac:dyDescent="0.35">
      <c r="A61" s="2">
        <v>43564</v>
      </c>
      <c r="B61" s="3">
        <v>22.223915642259101</v>
      </c>
      <c r="C61" s="3">
        <v>15.288890040991999</v>
      </c>
      <c r="D61" s="3">
        <v>14.207047877374899</v>
      </c>
      <c r="E61" s="3">
        <v>12.4590128800049</v>
      </c>
      <c r="F61" s="3">
        <v>12.716658278495</v>
      </c>
      <c r="G61" s="3">
        <v>16.863837636527201</v>
      </c>
      <c r="H61" s="3">
        <v>12.760058459454701</v>
      </c>
      <c r="I61" s="3">
        <v>20.8051980986749</v>
      </c>
      <c r="J61" s="3">
        <v>16.680172012558501</v>
      </c>
      <c r="K61" s="3">
        <v>13.8092575104258</v>
      </c>
      <c r="L61" s="3">
        <v>15.467736219822401</v>
      </c>
      <c r="M61" s="3">
        <v>15.0651920235101</v>
      </c>
      <c r="N61" s="3">
        <v>10.8654866430761</v>
      </c>
    </row>
    <row r="62" spans="1:14" x14ac:dyDescent="0.35">
      <c r="A62" s="2">
        <v>43594</v>
      </c>
      <c r="B62" s="3">
        <v>22.9017350174977</v>
      </c>
      <c r="C62" s="3">
        <v>15.3275641144328</v>
      </c>
      <c r="D62" s="3">
        <v>13.635602131190501</v>
      </c>
      <c r="E62" s="3">
        <v>12.5192344756226</v>
      </c>
      <c r="F62" s="3">
        <v>12.262885638193501</v>
      </c>
      <c r="G62" s="3">
        <v>16.360874860962799</v>
      </c>
      <c r="H62" s="3">
        <v>12.288620645132101</v>
      </c>
      <c r="I62" s="3">
        <v>20.707066230075799</v>
      </c>
      <c r="J62" s="3">
        <v>16.4557739833221</v>
      </c>
      <c r="K62" s="3">
        <v>13.468524812825301</v>
      </c>
      <c r="L62" s="3">
        <v>15.2026489397417</v>
      </c>
      <c r="M62" s="3">
        <v>14.948538423156901</v>
      </c>
      <c r="N62" s="3">
        <v>10.3604147872284</v>
      </c>
    </row>
    <row r="63" spans="1:14" x14ac:dyDescent="0.35">
      <c r="A63" s="2">
        <v>43623</v>
      </c>
      <c r="B63" s="3">
        <v>22.6752646630474</v>
      </c>
      <c r="C63" s="3">
        <v>15.7551697445926</v>
      </c>
      <c r="D63" s="3">
        <v>13.538894102481599</v>
      </c>
      <c r="E63" s="3">
        <v>12.333732953812399</v>
      </c>
      <c r="F63" s="3">
        <v>12.434581211629</v>
      </c>
      <c r="G63" s="3">
        <v>16.923271230126101</v>
      </c>
      <c r="H63" s="3">
        <v>12.4473487415418</v>
      </c>
      <c r="I63" s="3">
        <v>20.102368308437299</v>
      </c>
      <c r="J63" s="3">
        <v>16.364771617371801</v>
      </c>
      <c r="K63" s="3">
        <v>13.5480177128308</v>
      </c>
      <c r="L63" s="3">
        <v>15.180356806490799</v>
      </c>
      <c r="M63" s="3">
        <v>14.554472240061999</v>
      </c>
      <c r="N63" s="3">
        <v>10.0388855969675</v>
      </c>
    </row>
    <row r="64" spans="1:14" x14ac:dyDescent="0.35">
      <c r="A64" s="2">
        <v>43655</v>
      </c>
      <c r="B64" s="3">
        <v>23.883369965141501</v>
      </c>
      <c r="C64" s="3">
        <v>16.154485171531899</v>
      </c>
      <c r="D64" s="3">
        <v>13.7528002933267</v>
      </c>
      <c r="E64" s="3">
        <v>12.890172459137</v>
      </c>
      <c r="F64" s="3">
        <v>12.9037430174079</v>
      </c>
      <c r="G64" s="3">
        <v>17.137529094099801</v>
      </c>
      <c r="H64" s="3">
        <v>12.625933893759999</v>
      </c>
      <c r="I64" s="3">
        <v>21.156279310523502</v>
      </c>
      <c r="J64" s="3">
        <v>16.938941222214201</v>
      </c>
      <c r="K64" s="3">
        <v>13.9362261199452</v>
      </c>
      <c r="L64" s="3">
        <v>15.479567254393</v>
      </c>
      <c r="M64" s="3">
        <v>15.1390451890527</v>
      </c>
      <c r="N64" s="3">
        <v>10.78198355352</v>
      </c>
    </row>
    <row r="65" spans="1:14" x14ac:dyDescent="0.35">
      <c r="A65" s="2">
        <v>43686</v>
      </c>
      <c r="B65" s="3">
        <v>24.659804053511099</v>
      </c>
      <c r="C65" s="3">
        <v>15.9716847105929</v>
      </c>
      <c r="D65" s="3">
        <v>13.5866796270719</v>
      </c>
      <c r="E65" s="3">
        <v>12.3727481152197</v>
      </c>
      <c r="F65" s="3">
        <v>12.3916945349303</v>
      </c>
      <c r="G65" s="3">
        <v>16.845491991456701</v>
      </c>
      <c r="H65" s="3">
        <v>11.9960559987459</v>
      </c>
      <c r="I65" s="3">
        <v>20.474755489203901</v>
      </c>
      <c r="J65" s="3">
        <v>16.601354703456899</v>
      </c>
      <c r="K65" s="3">
        <v>13.503200642367901</v>
      </c>
      <c r="L65" s="3">
        <v>15.0337846425899</v>
      </c>
      <c r="M65" s="3">
        <v>13.668692796081899</v>
      </c>
      <c r="N65" s="3">
        <v>10.017967986368699</v>
      </c>
    </row>
    <row r="66" spans="1:14" x14ac:dyDescent="0.35">
      <c r="A66" s="2">
        <v>43717</v>
      </c>
      <c r="B66" s="3">
        <v>26.6626892527254</v>
      </c>
      <c r="C66" s="3">
        <v>16.452201043197501</v>
      </c>
      <c r="D66" s="3">
        <v>13.7470981667964</v>
      </c>
      <c r="E66" s="3">
        <v>12.958509961245699</v>
      </c>
      <c r="F66" s="3">
        <v>12.9453260524669</v>
      </c>
      <c r="G66" s="3">
        <v>17.227857879949799</v>
      </c>
      <c r="H66" s="3">
        <v>12.177278757840201</v>
      </c>
      <c r="I66" s="3">
        <v>20.7655782421498</v>
      </c>
      <c r="J66" s="3">
        <v>16.829514586294898</v>
      </c>
      <c r="K66" s="3">
        <v>14.036682032613299</v>
      </c>
      <c r="L66" s="3">
        <v>15.849987296160201</v>
      </c>
      <c r="M66" s="3">
        <v>14.2523660518033</v>
      </c>
      <c r="N66" s="3">
        <v>10.7489217492738</v>
      </c>
    </row>
    <row r="67" spans="1:14" x14ac:dyDescent="0.35">
      <c r="A67" s="2">
        <v>43747</v>
      </c>
      <c r="B67" s="3">
        <v>25.3699824156548</v>
      </c>
      <c r="C67" s="3">
        <v>16.300958697921502</v>
      </c>
      <c r="D67" s="3">
        <v>13.687858392627801</v>
      </c>
      <c r="E67" s="3">
        <v>12.7299844163401</v>
      </c>
      <c r="F67" s="3">
        <v>13.1324672720874</v>
      </c>
      <c r="G67" s="3">
        <v>16.762027267110099</v>
      </c>
      <c r="H67" s="3">
        <v>12.079539634060399</v>
      </c>
      <c r="I67" s="3">
        <v>20.211508827507</v>
      </c>
      <c r="J67" s="3">
        <v>16.4947360232797</v>
      </c>
      <c r="K67" s="3">
        <v>13.7807533272941</v>
      </c>
      <c r="L67" s="3">
        <v>15.839768135114699</v>
      </c>
      <c r="M67" s="3">
        <v>14.725919978472101</v>
      </c>
      <c r="N67" s="3">
        <v>10.5416116332973</v>
      </c>
    </row>
    <row r="68" spans="1:14" x14ac:dyDescent="0.35">
      <c r="A68" s="2">
        <v>43777</v>
      </c>
      <c r="B68" s="3">
        <v>24.836985575778201</v>
      </c>
      <c r="C68" s="3">
        <v>17.142787433858398</v>
      </c>
      <c r="D68" s="3">
        <v>14.3010468385168</v>
      </c>
      <c r="E68" s="3">
        <v>13.9046102450747</v>
      </c>
      <c r="F68" s="3">
        <v>14.153060186408601</v>
      </c>
      <c r="G68" s="3">
        <v>17.413112866655599</v>
      </c>
      <c r="H68" s="3">
        <v>12.7856575517294</v>
      </c>
      <c r="I68" s="3">
        <v>21.5592618505441</v>
      </c>
      <c r="J68" s="3">
        <v>17.471185381150502</v>
      </c>
      <c r="K68" s="3">
        <v>14.7464585429046</v>
      </c>
      <c r="L68" s="3">
        <v>16.7012996851964</v>
      </c>
      <c r="M68" s="3">
        <v>15.9896266589797</v>
      </c>
      <c r="N68" s="3">
        <v>11.4298489679783</v>
      </c>
    </row>
    <row r="69" spans="1:14" x14ac:dyDescent="0.35">
      <c r="A69" s="2">
        <v>43808</v>
      </c>
      <c r="B69" s="3">
        <v>25.452536899708299</v>
      </c>
      <c r="C69" s="3">
        <v>17.153345765821999</v>
      </c>
      <c r="D69" s="3">
        <v>14.273711197963101</v>
      </c>
      <c r="E69" s="3">
        <v>13.950311231876301</v>
      </c>
      <c r="F69" s="3">
        <v>14.5395225567006</v>
      </c>
      <c r="G69" s="3">
        <v>17.511621053205001</v>
      </c>
      <c r="H69" s="3">
        <v>12.898918245969099</v>
      </c>
      <c r="I69" s="3">
        <v>21.815690330679399</v>
      </c>
      <c r="J69" s="3">
        <v>17.649283709243299</v>
      </c>
      <c r="K69" s="3">
        <v>14.5841647873829</v>
      </c>
      <c r="L69" s="3">
        <v>16.861803382861702</v>
      </c>
      <c r="M69" s="3">
        <v>15.7611271445129</v>
      </c>
      <c r="N69" s="3">
        <v>11.0942778542173</v>
      </c>
    </row>
    <row r="70" spans="1:14" x14ac:dyDescent="0.35">
      <c r="A70" s="2">
        <v>43839</v>
      </c>
      <c r="B70" s="3">
        <v>25.807264375442799</v>
      </c>
      <c r="C70" s="3">
        <v>17.500857241340402</v>
      </c>
      <c r="D70" s="3">
        <v>14.537315815132599</v>
      </c>
      <c r="E70" s="3">
        <v>14.3407013729851</v>
      </c>
      <c r="F70" s="3">
        <v>14.578489278058299</v>
      </c>
      <c r="G70" s="3">
        <v>17.777312602589099</v>
      </c>
      <c r="H70" s="3">
        <v>13.466783959015</v>
      </c>
      <c r="I70" s="3">
        <v>23.326345571997098</v>
      </c>
      <c r="J70" s="3">
        <v>18.368383199457401</v>
      </c>
      <c r="K70" s="3">
        <v>15.0207802655767</v>
      </c>
      <c r="L70" s="3">
        <v>17.231611850810101</v>
      </c>
      <c r="M70" s="3">
        <v>16.3475710307988</v>
      </c>
      <c r="N70" s="3">
        <v>11.5754589488914</v>
      </c>
    </row>
    <row r="71" spans="1:14" x14ac:dyDescent="0.35">
      <c r="A71" s="2">
        <v>43868</v>
      </c>
      <c r="B71" s="3">
        <v>26.400702204673699</v>
      </c>
      <c r="C71" s="3">
        <v>17.903574025519699</v>
      </c>
      <c r="D71" s="3">
        <v>14.792721655606501</v>
      </c>
      <c r="E71" s="3">
        <v>14.3018105966806</v>
      </c>
      <c r="F71" s="3">
        <v>14.5862936997702</v>
      </c>
      <c r="G71" s="3">
        <v>18.3208621242064</v>
      </c>
      <c r="H71" s="3">
        <v>13.3729940503547</v>
      </c>
      <c r="I71" s="3">
        <v>23.845665869401302</v>
      </c>
      <c r="J71" s="3">
        <v>18.675452228215701</v>
      </c>
      <c r="K71" s="3">
        <v>15.0173055439694</v>
      </c>
      <c r="L71" s="3">
        <v>17.7597815271508</v>
      </c>
      <c r="M71" s="3">
        <v>16.595231415751201</v>
      </c>
      <c r="N71" s="3">
        <v>11.732794094649099</v>
      </c>
    </row>
    <row r="72" spans="1:14" x14ac:dyDescent="0.35">
      <c r="A72" s="2">
        <v>43899</v>
      </c>
      <c r="B72" s="3">
        <v>25.506188544884299</v>
      </c>
      <c r="C72" s="3">
        <v>14.914761161452899</v>
      </c>
      <c r="D72" s="3">
        <v>12.460229864420601</v>
      </c>
      <c r="E72" s="3">
        <v>11.4063673610984</v>
      </c>
      <c r="F72" s="3">
        <v>12.029600814728401</v>
      </c>
      <c r="G72" s="3">
        <v>15.6924269384085</v>
      </c>
      <c r="H72" s="3">
        <v>10.970135317564599</v>
      </c>
      <c r="I72" s="3">
        <v>20.082314350129401</v>
      </c>
      <c r="J72" s="3">
        <v>15.470197454916301</v>
      </c>
      <c r="K72" s="3">
        <v>12.153148616706099</v>
      </c>
      <c r="L72" s="3">
        <v>14.5147471136082</v>
      </c>
      <c r="M72" s="3">
        <v>13.7568741380819</v>
      </c>
      <c r="N72" s="3">
        <v>8.9752571501917409</v>
      </c>
    </row>
    <row r="73" spans="1:14" x14ac:dyDescent="0.35">
      <c r="A73" s="2">
        <v>43930</v>
      </c>
      <c r="B73" s="3">
        <v>26.4067438196473</v>
      </c>
      <c r="C73" s="3">
        <v>15.7640645999622</v>
      </c>
      <c r="D73" s="3">
        <v>14.693336572665901</v>
      </c>
      <c r="E73" s="3">
        <v>13.5012910233363</v>
      </c>
      <c r="F73" s="3">
        <v>12.876598561992999</v>
      </c>
      <c r="G73" s="3">
        <v>17.201386624659001</v>
      </c>
      <c r="H73" s="3">
        <v>13.2268588411147</v>
      </c>
      <c r="I73" s="3">
        <v>22.278983367504399</v>
      </c>
      <c r="J73" s="3">
        <v>17.9658547604215</v>
      </c>
      <c r="K73" s="3">
        <v>14.490862313497701</v>
      </c>
      <c r="L73" s="3">
        <v>15.830023979878099</v>
      </c>
      <c r="M73" s="3">
        <v>15.6659802455603</v>
      </c>
      <c r="N73" s="3">
        <v>10.5489472602225</v>
      </c>
    </row>
    <row r="74" spans="1:14" x14ac:dyDescent="0.35">
      <c r="A74" s="2">
        <v>43959</v>
      </c>
      <c r="B74" s="3">
        <v>29.796938084521798</v>
      </c>
      <c r="C74" s="3">
        <v>17.227402571650099</v>
      </c>
      <c r="D74" s="3">
        <v>17.4520256216592</v>
      </c>
      <c r="E74" s="3">
        <v>15.406725430884199</v>
      </c>
      <c r="F74" s="3">
        <v>14.1449657045347</v>
      </c>
      <c r="G74" s="3">
        <v>18.4695814286525</v>
      </c>
      <c r="H74" s="3">
        <v>15.1830476677119</v>
      </c>
      <c r="I74" s="3">
        <v>26.4652696758906</v>
      </c>
      <c r="J74" s="3">
        <v>20.8324334946109</v>
      </c>
      <c r="K74" s="3">
        <v>16.808393115554701</v>
      </c>
      <c r="L74" s="3">
        <v>17.529298355320499</v>
      </c>
      <c r="M74" s="3">
        <v>18.127937734961201</v>
      </c>
      <c r="N74" s="3">
        <v>14.930952695817799</v>
      </c>
    </row>
    <row r="75" spans="1:14" x14ac:dyDescent="0.35">
      <c r="A75" s="2">
        <v>43991</v>
      </c>
      <c r="B75" s="3">
        <v>30.759452693441698</v>
      </c>
      <c r="C75" s="3">
        <v>20.0817547502593</v>
      </c>
      <c r="D75" s="3">
        <v>18.556987589703201</v>
      </c>
      <c r="E75" s="3">
        <v>18.128637757982201</v>
      </c>
      <c r="F75" s="3">
        <v>17.6504979839216</v>
      </c>
      <c r="G75" s="3">
        <v>19.537130803835499</v>
      </c>
      <c r="H75" s="3">
        <v>16.612660715796199</v>
      </c>
      <c r="I75" s="3">
        <v>28.326524375771001</v>
      </c>
      <c r="J75" s="3">
        <v>22.6581013335107</v>
      </c>
      <c r="K75" s="3">
        <v>19.2245357237631</v>
      </c>
      <c r="L75" s="3">
        <v>19.5189661081656</v>
      </c>
      <c r="M75" s="3">
        <v>19.515319841162</v>
      </c>
      <c r="N75" s="3">
        <v>17.942208084507101</v>
      </c>
    </row>
    <row r="76" spans="1:14" x14ac:dyDescent="0.35">
      <c r="A76" s="2">
        <v>44021</v>
      </c>
      <c r="B76" s="3">
        <v>31.4317627181644</v>
      </c>
      <c r="C76" s="3">
        <v>18.950776238831601</v>
      </c>
      <c r="D76" s="3">
        <v>17.4883214488558</v>
      </c>
      <c r="E76" s="3">
        <v>18.1444033534029</v>
      </c>
      <c r="F76" s="3">
        <v>17.735088612597899</v>
      </c>
      <c r="G76" s="3">
        <v>19.442592682494901</v>
      </c>
      <c r="H76" s="3">
        <v>15.516208715887</v>
      </c>
      <c r="I76" s="3">
        <v>29.869168469498899</v>
      </c>
      <c r="J76" s="3">
        <v>21.973087190365099</v>
      </c>
      <c r="K76" s="3">
        <v>18.942019904145699</v>
      </c>
      <c r="L76" s="3">
        <v>19.963545987043101</v>
      </c>
      <c r="M76" s="3">
        <v>19.379352249218702</v>
      </c>
      <c r="N76" s="3">
        <v>17.2672479876674</v>
      </c>
    </row>
    <row r="77" spans="1:14" x14ac:dyDescent="0.35">
      <c r="A77" s="2">
        <v>44050</v>
      </c>
      <c r="B77" s="3">
        <v>31.8387501001632</v>
      </c>
      <c r="C77" s="3">
        <v>19.043030436269099</v>
      </c>
      <c r="D77" s="3">
        <v>17.6966760986152</v>
      </c>
      <c r="E77" s="3">
        <v>17.7874884135441</v>
      </c>
      <c r="F77" s="3">
        <v>17.583267774700399</v>
      </c>
      <c r="G77" s="3">
        <v>19.3260551844294</v>
      </c>
      <c r="H77" s="3">
        <v>15.454559326506301</v>
      </c>
      <c r="I77" s="3">
        <v>29.3011651089836</v>
      </c>
      <c r="J77" s="3">
        <v>22.309221368085201</v>
      </c>
      <c r="K77" s="3">
        <v>19.587311251426701</v>
      </c>
      <c r="L77" s="3">
        <v>19.885572699484701</v>
      </c>
      <c r="M77" s="3">
        <v>18.5241623902571</v>
      </c>
      <c r="N77" s="3">
        <v>16.324692533537799</v>
      </c>
    </row>
    <row r="78" spans="1:14" x14ac:dyDescent="0.35">
      <c r="A78" s="2">
        <v>44083</v>
      </c>
      <c r="B78" s="3">
        <v>32.093867129068698</v>
      </c>
      <c r="C78" s="3">
        <v>18.7168786590926</v>
      </c>
      <c r="D78" s="3">
        <v>16.910452183826301</v>
      </c>
      <c r="E78" s="3">
        <v>17.8821496350829</v>
      </c>
      <c r="F78" s="3">
        <v>17.997751599166602</v>
      </c>
      <c r="G78" s="3">
        <v>19.530650205646801</v>
      </c>
      <c r="H78" s="3">
        <v>15.1734178712528</v>
      </c>
      <c r="I78" s="3">
        <v>29.486884060945901</v>
      </c>
      <c r="J78" s="3">
        <v>22.067170255966499</v>
      </c>
      <c r="K78" s="3">
        <v>19.354697164928002</v>
      </c>
      <c r="L78" s="3">
        <v>19.532391964130799</v>
      </c>
      <c r="M78" s="3">
        <v>18.425422808084399</v>
      </c>
      <c r="N78" s="3">
        <v>15.922225714918399</v>
      </c>
    </row>
    <row r="79" spans="1:14" x14ac:dyDescent="0.35">
      <c r="A79" s="2">
        <v>44113</v>
      </c>
      <c r="B79" s="3">
        <v>33.165620467497902</v>
      </c>
      <c r="C79" s="3">
        <v>18.786548073320201</v>
      </c>
      <c r="D79" s="3">
        <v>16.4952905881851</v>
      </c>
      <c r="E79" s="3">
        <v>16.952928779255501</v>
      </c>
      <c r="F79" s="3">
        <v>18.203171135878701</v>
      </c>
      <c r="G79" s="3">
        <v>19.148914637055199</v>
      </c>
      <c r="H79" s="3">
        <v>14.5779776535393</v>
      </c>
      <c r="I79" s="3">
        <v>29.8249901906179</v>
      </c>
      <c r="J79" s="3">
        <v>22.0771935218756</v>
      </c>
      <c r="K79" s="3">
        <v>18.447506381397002</v>
      </c>
      <c r="L79" s="3">
        <v>19.8932719844796</v>
      </c>
      <c r="M79" s="3">
        <v>18.3315300423344</v>
      </c>
      <c r="N79" s="3">
        <v>14.815388534663599</v>
      </c>
    </row>
    <row r="80" spans="1:14" x14ac:dyDescent="0.35">
      <c r="A80" s="2">
        <v>44144</v>
      </c>
      <c r="B80" s="3">
        <v>33.993852584086497</v>
      </c>
      <c r="C80" s="3">
        <v>18.8268607933014</v>
      </c>
      <c r="D80" s="3">
        <v>15.8516917858611</v>
      </c>
      <c r="E80" s="3">
        <v>16.036264959200398</v>
      </c>
      <c r="F80" s="3">
        <v>18.0707466270668</v>
      </c>
      <c r="G80" s="3">
        <v>18.931744422292098</v>
      </c>
      <c r="H80" s="3">
        <v>14.372840169852701</v>
      </c>
      <c r="I80" s="3">
        <v>29.0303250653978</v>
      </c>
      <c r="J80" s="3">
        <v>21.7278799181789</v>
      </c>
      <c r="K80" s="3">
        <v>18.876515493558699</v>
      </c>
      <c r="L80" s="3">
        <v>20.433402176045501</v>
      </c>
      <c r="M80" s="3">
        <v>17.182143079676798</v>
      </c>
      <c r="N80" s="3">
        <v>14.7773373825968</v>
      </c>
    </row>
    <row r="81" spans="1:14" x14ac:dyDescent="0.35">
      <c r="A81" s="2">
        <v>44174</v>
      </c>
      <c r="B81" s="3">
        <v>33.197250481430501</v>
      </c>
      <c r="C81" s="3">
        <v>19.616998650031899</v>
      </c>
      <c r="D81" s="3">
        <v>16.2540561637277</v>
      </c>
      <c r="E81" s="3">
        <v>15.9807026511417</v>
      </c>
      <c r="F81" s="3">
        <v>18.489347466562901</v>
      </c>
      <c r="G81" s="3">
        <v>18.503381252376101</v>
      </c>
      <c r="H81" s="3">
        <v>15.037097023421801</v>
      </c>
      <c r="I81" s="3">
        <v>29.661980756793</v>
      </c>
      <c r="J81" s="3">
        <v>21.930432119574601</v>
      </c>
      <c r="K81" s="3">
        <v>18.6850091858444</v>
      </c>
      <c r="L81" s="3">
        <v>20.5245764102694</v>
      </c>
      <c r="M81" s="3">
        <v>17.4495449619684</v>
      </c>
      <c r="N81" s="3">
        <v>15.0063494994885</v>
      </c>
    </row>
    <row r="82" spans="1:14" x14ac:dyDescent="0.35">
      <c r="A82" s="2">
        <v>44204</v>
      </c>
      <c r="B82" s="3">
        <v>35.364367384846602</v>
      </c>
      <c r="C82" s="3">
        <v>19.5204763624908</v>
      </c>
      <c r="D82" s="3">
        <v>16.2979510066499</v>
      </c>
      <c r="E82" s="3">
        <v>16.325465749630698</v>
      </c>
      <c r="F82" s="3">
        <v>18.737531463457199</v>
      </c>
      <c r="G82" s="3">
        <v>19.050458462045899</v>
      </c>
      <c r="H82" s="3">
        <v>14.9677482348824</v>
      </c>
      <c r="I82" s="3">
        <v>30.421325407290801</v>
      </c>
      <c r="J82" s="3">
        <v>22.664841912269502</v>
      </c>
      <c r="K82" s="3">
        <v>18.294084898773601</v>
      </c>
      <c r="L82" s="3">
        <v>21.181970520095899</v>
      </c>
      <c r="M82" s="3">
        <v>18.757540729064701</v>
      </c>
      <c r="N82" s="3">
        <v>15.016700208903901</v>
      </c>
    </row>
    <row r="83" spans="1:14" x14ac:dyDescent="0.35">
      <c r="A83" s="2">
        <v>44236</v>
      </c>
      <c r="B83" s="3">
        <v>32.572494444728797</v>
      </c>
      <c r="C83" s="3">
        <v>19.071493841398102</v>
      </c>
      <c r="D83" s="3">
        <v>16.247524940000901</v>
      </c>
      <c r="E83" s="3">
        <v>15.790842299827901</v>
      </c>
      <c r="F83" s="3">
        <v>18.924514509655701</v>
      </c>
      <c r="G83" s="3">
        <v>18.851338859443299</v>
      </c>
      <c r="H83" s="3">
        <v>13.940197904680801</v>
      </c>
      <c r="I83" s="3">
        <v>30.094945666969998</v>
      </c>
      <c r="J83" s="3">
        <v>22.1566865789143</v>
      </c>
      <c r="K83" s="3">
        <v>17.9717558013052</v>
      </c>
      <c r="L83" s="3">
        <v>22.065214987767199</v>
      </c>
      <c r="M83" s="3">
        <v>18.673663122925301</v>
      </c>
      <c r="N83" s="3">
        <v>14.289688881107899</v>
      </c>
    </row>
    <row r="84" spans="1:14" x14ac:dyDescent="0.35">
      <c r="A84" s="2">
        <v>44264</v>
      </c>
      <c r="B84" s="3">
        <v>31.479694748515399</v>
      </c>
      <c r="C84" s="3">
        <v>18.1798583958556</v>
      </c>
      <c r="D84" s="3">
        <v>15.4744767665767</v>
      </c>
      <c r="E84" s="3">
        <v>15.7991792399079</v>
      </c>
      <c r="F84" s="3">
        <v>17.7062542713347</v>
      </c>
      <c r="G84" s="3">
        <v>18.528732608700999</v>
      </c>
      <c r="H84" s="3">
        <v>14.2076753082324</v>
      </c>
      <c r="I84" s="3">
        <v>27.474654400821599</v>
      </c>
      <c r="J84" s="3">
        <v>21.594755682197199</v>
      </c>
      <c r="K84" s="3">
        <v>18.174956153031701</v>
      </c>
      <c r="L84" s="3">
        <v>21.508240188014099</v>
      </c>
      <c r="M84" s="3">
        <v>19.712760380359601</v>
      </c>
      <c r="N84" s="3">
        <v>13.8498685669324</v>
      </c>
    </row>
    <row r="85" spans="1:14" x14ac:dyDescent="0.35">
      <c r="A85" s="2">
        <v>44295</v>
      </c>
      <c r="B85" s="3">
        <v>32.257058569745801</v>
      </c>
      <c r="C85" s="3">
        <v>18.082195436540498</v>
      </c>
      <c r="D85" s="3">
        <v>15.601776375753801</v>
      </c>
      <c r="E85" s="3">
        <v>16.240469114610399</v>
      </c>
      <c r="F85" s="3">
        <v>17.4869297893671</v>
      </c>
      <c r="G85" s="3">
        <v>19.431866213927499</v>
      </c>
      <c r="H85" s="3">
        <v>13.539406011859899</v>
      </c>
      <c r="I85" s="3">
        <v>29.443319384506498</v>
      </c>
      <c r="J85" s="3">
        <v>22.506885026617098</v>
      </c>
      <c r="K85" s="3">
        <v>18.3359406113143</v>
      </c>
      <c r="L85" s="3">
        <v>22.884572394940498</v>
      </c>
      <c r="M85" s="3">
        <v>20.608298676586799</v>
      </c>
      <c r="N85" s="3">
        <v>13.8515871782921</v>
      </c>
    </row>
    <row r="86" spans="1:14" x14ac:dyDescent="0.35">
      <c r="A86" s="2">
        <v>44323</v>
      </c>
      <c r="B86" s="3">
        <v>32.273396416245603</v>
      </c>
      <c r="C86" s="3">
        <v>18.024333914668599</v>
      </c>
      <c r="D86" s="3">
        <v>15.6041887488279</v>
      </c>
      <c r="E86" s="3">
        <v>15.070638675496101</v>
      </c>
      <c r="F86" s="3">
        <v>16.897006901075901</v>
      </c>
      <c r="G86" s="3">
        <v>19.137893920968899</v>
      </c>
      <c r="H86" s="3">
        <v>13.4407302573394</v>
      </c>
      <c r="I86" s="3">
        <v>27.355465986987198</v>
      </c>
      <c r="J86" s="3">
        <v>21.717937865120099</v>
      </c>
      <c r="K86" s="3">
        <v>17.964527921746502</v>
      </c>
      <c r="L86" s="3">
        <v>21.790434872330302</v>
      </c>
      <c r="M86" s="3">
        <v>18.233771251619299</v>
      </c>
      <c r="N86" s="3">
        <v>13.380349852806599</v>
      </c>
    </row>
    <row r="87" spans="1:14" x14ac:dyDescent="0.35">
      <c r="A87" s="2">
        <v>44356</v>
      </c>
      <c r="B87" s="3">
        <v>33.178701227106004</v>
      </c>
      <c r="C87" s="3">
        <v>18.317777507671799</v>
      </c>
      <c r="D87" s="3">
        <v>15.4956418691033</v>
      </c>
      <c r="E87" s="3">
        <v>14.920961440569901</v>
      </c>
      <c r="F87" s="3">
        <v>16.5254324977473</v>
      </c>
      <c r="G87" s="3">
        <v>19.878754049273301</v>
      </c>
      <c r="H87" s="3">
        <v>13.1473786295791</v>
      </c>
      <c r="I87" s="3">
        <v>27.062156052320098</v>
      </c>
      <c r="J87" s="3">
        <v>21.200869404367701</v>
      </c>
      <c r="K87" s="3">
        <v>17.995777060839</v>
      </c>
      <c r="L87" s="3">
        <v>21.310232646144499</v>
      </c>
      <c r="M87" s="3">
        <v>18.687368108074399</v>
      </c>
      <c r="N87" s="3">
        <v>13.8513238981113</v>
      </c>
    </row>
    <row r="88" spans="1:14" x14ac:dyDescent="0.35">
      <c r="A88" s="2">
        <v>44386</v>
      </c>
      <c r="B88" s="3">
        <v>34.323605971582801</v>
      </c>
      <c r="C88" s="3">
        <v>17.0199912304574</v>
      </c>
      <c r="D88" s="3">
        <v>15.5256302553181</v>
      </c>
      <c r="E88" s="3">
        <v>14.702281825777</v>
      </c>
      <c r="F88" s="3">
        <v>15.8682688767272</v>
      </c>
      <c r="G88" s="3">
        <v>19.7674143893801</v>
      </c>
      <c r="H88" s="3">
        <v>12.654961249492199</v>
      </c>
      <c r="I88" s="3">
        <v>28.735735486431601</v>
      </c>
      <c r="J88" s="3">
        <v>21.611683389676401</v>
      </c>
      <c r="K88" s="3">
        <v>17.248995966225099</v>
      </c>
      <c r="L88" s="3">
        <v>21.094524208068101</v>
      </c>
      <c r="M88" s="3">
        <v>18.886115646779899</v>
      </c>
      <c r="N88" s="3">
        <v>13.134379470346801</v>
      </c>
    </row>
    <row r="89" spans="1:14" x14ac:dyDescent="0.35">
      <c r="A89" s="2">
        <v>44417</v>
      </c>
      <c r="B89" s="3">
        <v>33.890705854971102</v>
      </c>
      <c r="C89" s="3">
        <v>17.184945209649499</v>
      </c>
      <c r="D89" s="3">
        <v>15.1005501318584</v>
      </c>
      <c r="E89" s="3">
        <v>14.281267449906</v>
      </c>
      <c r="F89" s="3">
        <v>15.6550252458521</v>
      </c>
      <c r="G89" s="3">
        <v>19.860619862626699</v>
      </c>
      <c r="H89" s="3">
        <v>12.2932544031381</v>
      </c>
      <c r="I89" s="3">
        <v>28.039286437292201</v>
      </c>
      <c r="J89" s="3">
        <v>21.001066082699001</v>
      </c>
      <c r="K89" s="3">
        <v>16.804968621308699</v>
      </c>
      <c r="L89" s="3">
        <v>21.8095584343294</v>
      </c>
      <c r="M89" s="3">
        <v>18.5523321920817</v>
      </c>
      <c r="N89" s="3">
        <v>12.273445965294099</v>
      </c>
    </row>
    <row r="90" spans="1:14" x14ac:dyDescent="0.35">
      <c r="A90" s="2">
        <v>44448</v>
      </c>
      <c r="B90" s="3">
        <v>34.461746788103703</v>
      </c>
      <c r="C90" s="3">
        <v>16.943495322555901</v>
      </c>
      <c r="D90" s="3">
        <v>14.917304913155499</v>
      </c>
      <c r="E90" s="3">
        <v>14.039990899958401</v>
      </c>
      <c r="F90" s="3">
        <v>15.9373305761293</v>
      </c>
      <c r="G90" s="3">
        <v>19.3700345938115</v>
      </c>
      <c r="H90" s="3">
        <v>11.9344242804584</v>
      </c>
      <c r="I90" s="3">
        <v>28.463973221090399</v>
      </c>
      <c r="J90" s="3">
        <v>21.018876693623099</v>
      </c>
      <c r="K90" s="3">
        <v>16.271322845104098</v>
      </c>
      <c r="L90" s="3">
        <v>21.736079104435898</v>
      </c>
      <c r="M90" s="3">
        <v>18.494208584013201</v>
      </c>
      <c r="N90" s="3">
        <v>11.8398892592073</v>
      </c>
    </row>
    <row r="91" spans="1:14" x14ac:dyDescent="0.35">
      <c r="A91" s="2">
        <v>44477</v>
      </c>
      <c r="B91" s="3">
        <v>33.836337942644697</v>
      </c>
      <c r="C91" s="3">
        <v>17.2444094781319</v>
      </c>
      <c r="D91" s="3">
        <v>14.581812356461599</v>
      </c>
      <c r="E91" s="3">
        <v>13.4697489292329</v>
      </c>
      <c r="F91" s="3">
        <v>14.9002000312575</v>
      </c>
      <c r="G91" s="3">
        <v>18.4288348270169</v>
      </c>
      <c r="H91" s="3">
        <v>12.066976119391001</v>
      </c>
      <c r="I91" s="3">
        <v>27.211202234755302</v>
      </c>
      <c r="J91" s="3">
        <v>20.428605473963401</v>
      </c>
      <c r="K91" s="3">
        <v>15.4921927356172</v>
      </c>
      <c r="L91" s="3">
        <v>20.192968326530799</v>
      </c>
      <c r="M91" s="3">
        <v>17.639819682314801</v>
      </c>
      <c r="N91" s="3">
        <v>11.7237165099123</v>
      </c>
    </row>
    <row r="92" spans="1:14" x14ac:dyDescent="0.35">
      <c r="A92" s="2">
        <v>44509</v>
      </c>
      <c r="B92" s="3">
        <v>33.681737645846702</v>
      </c>
      <c r="C92" s="3">
        <v>17.58552686805</v>
      </c>
      <c r="D92" s="3">
        <v>15.055227400350301</v>
      </c>
      <c r="E92" s="3">
        <v>13.8117809795213</v>
      </c>
      <c r="F92" s="3">
        <v>15.2586813774279</v>
      </c>
      <c r="G92" s="3">
        <v>19.332454868396699</v>
      </c>
      <c r="H92" s="3">
        <v>12.079595062734599</v>
      </c>
      <c r="I92" s="3">
        <v>29.438989442694702</v>
      </c>
      <c r="J92" s="3">
        <v>21.394775986131599</v>
      </c>
      <c r="K92" s="3">
        <v>15.939456773420501</v>
      </c>
      <c r="L92" s="3">
        <v>21.479091960775399</v>
      </c>
      <c r="M92" s="3">
        <v>18.6059937474826</v>
      </c>
      <c r="N92" s="3">
        <v>11.703516328771</v>
      </c>
    </row>
    <row r="93" spans="1:14" x14ac:dyDescent="0.35">
      <c r="A93" s="2">
        <v>44539</v>
      </c>
      <c r="B93" s="3">
        <v>32.074344038960803</v>
      </c>
      <c r="C93" s="3">
        <v>17.32096836098</v>
      </c>
      <c r="D93" s="3">
        <v>14.2614410909953</v>
      </c>
      <c r="E93" s="3">
        <v>13.254858667142599</v>
      </c>
      <c r="F93" s="3">
        <v>14.634076846725399</v>
      </c>
      <c r="G93" s="3">
        <v>19.289438804550599</v>
      </c>
      <c r="H93" s="3">
        <v>11.994017753955401</v>
      </c>
      <c r="I93" s="3">
        <v>28.932489011478602</v>
      </c>
      <c r="J93" s="3">
        <v>21.061459533492702</v>
      </c>
      <c r="K93" s="3">
        <v>15.592806929386199</v>
      </c>
      <c r="L93" s="3">
        <v>20.3041622765213</v>
      </c>
      <c r="M93" s="3">
        <v>19.128342214199499</v>
      </c>
      <c r="N93" s="3">
        <v>10.9283324587654</v>
      </c>
    </row>
    <row r="94" spans="1:14" x14ac:dyDescent="0.35">
      <c r="A94" s="2">
        <v>44567</v>
      </c>
      <c r="B94" s="3">
        <v>32.025308922107101</v>
      </c>
      <c r="C94" s="3">
        <v>17.382944097714301</v>
      </c>
      <c r="D94" s="3">
        <v>14.266663041643501</v>
      </c>
      <c r="E94" s="3">
        <v>13.422963429911601</v>
      </c>
      <c r="F94" s="3">
        <v>14.524417193162799</v>
      </c>
      <c r="G94" s="3">
        <v>19.472146238986099</v>
      </c>
      <c r="H94" s="3">
        <v>12.391929607459801</v>
      </c>
      <c r="I94" s="3">
        <v>27.803756851398099</v>
      </c>
      <c r="J94" s="3">
        <v>20.855116617358298</v>
      </c>
      <c r="K94" s="3">
        <v>15.859900146071</v>
      </c>
      <c r="L94" s="3">
        <v>20.1245921358075</v>
      </c>
      <c r="M94" s="3">
        <v>18.296083270238899</v>
      </c>
      <c r="N94" s="3">
        <v>11.1873737617082</v>
      </c>
    </row>
    <row r="95" spans="1:14" x14ac:dyDescent="0.35">
      <c r="A95" s="2">
        <v>44601</v>
      </c>
      <c r="B95" s="3">
        <v>30.673121987142299</v>
      </c>
      <c r="C95" s="3">
        <v>16.210059273577201</v>
      </c>
      <c r="D95" s="3">
        <v>14.3930737961918</v>
      </c>
      <c r="E95" s="3">
        <v>12.922270443437901</v>
      </c>
      <c r="F95" s="3">
        <v>13.9118572223357</v>
      </c>
      <c r="G95" s="3">
        <v>18.377737308157599</v>
      </c>
      <c r="H95" s="3">
        <v>12.355708270671601</v>
      </c>
      <c r="I95" s="3">
        <v>26.4900714133341</v>
      </c>
      <c r="J95" s="3">
        <v>20.178368181645499</v>
      </c>
      <c r="K95" s="3">
        <v>15.150784192937101</v>
      </c>
      <c r="L95" s="3">
        <v>18.880880128173199</v>
      </c>
      <c r="M95" s="3">
        <v>16.719163435138999</v>
      </c>
      <c r="N95" s="3">
        <v>10.731396153627699</v>
      </c>
    </row>
    <row r="96" spans="1:14" x14ac:dyDescent="0.35">
      <c r="A96" s="2">
        <v>44629</v>
      </c>
      <c r="B96" s="3">
        <v>28.575318196228601</v>
      </c>
      <c r="C96" s="3">
        <v>15.5664730192989</v>
      </c>
      <c r="D96" s="3">
        <v>13.9938616012689</v>
      </c>
      <c r="E96" s="3">
        <v>11.2521167354695</v>
      </c>
      <c r="F96" s="3">
        <v>12.121380483722801</v>
      </c>
      <c r="G96" s="3">
        <v>17.3299806809462</v>
      </c>
      <c r="H96" s="3">
        <v>11.3947172303772</v>
      </c>
      <c r="I96" s="3">
        <v>23.835317925520599</v>
      </c>
      <c r="J96" s="3">
        <v>18.587291342748699</v>
      </c>
      <c r="K96" s="3">
        <v>13.293764848201</v>
      </c>
      <c r="L96" s="3">
        <v>16.953210071346899</v>
      </c>
      <c r="M96" s="3">
        <v>14.508833273400001</v>
      </c>
      <c r="N96" s="3">
        <v>9.5040911969139099</v>
      </c>
    </row>
    <row r="97" spans="1:14" x14ac:dyDescent="0.35">
      <c r="A97" s="2">
        <v>44659</v>
      </c>
      <c r="B97" s="3">
        <v>28.464224994304299</v>
      </c>
      <c r="C97" s="3">
        <v>15.831005930087599</v>
      </c>
      <c r="D97" s="3">
        <v>13.469901154253799</v>
      </c>
      <c r="E97" s="3">
        <v>11.4808807463767</v>
      </c>
      <c r="F97" s="3">
        <v>12.8972634785552</v>
      </c>
      <c r="G97" s="3">
        <v>18.677845581419799</v>
      </c>
      <c r="H97" s="3">
        <v>11.3098297667407</v>
      </c>
      <c r="I97" s="3">
        <v>24.658248695831599</v>
      </c>
      <c r="J97" s="3">
        <v>19.1826567354499</v>
      </c>
      <c r="K97" s="3">
        <v>13.1845817953236</v>
      </c>
      <c r="L97" s="3">
        <v>17.829776186651699</v>
      </c>
      <c r="M97" s="3">
        <v>15.278139427175701</v>
      </c>
      <c r="N97" s="3">
        <v>9.7315101682922691</v>
      </c>
    </row>
    <row r="98" spans="1:14" x14ac:dyDescent="0.35">
      <c r="A98" s="2">
        <v>44690</v>
      </c>
      <c r="B98" s="3">
        <v>28.091610039590901</v>
      </c>
      <c r="C98" s="3">
        <v>14.2762540838332</v>
      </c>
      <c r="D98" s="3">
        <v>12.0138002297247</v>
      </c>
      <c r="E98" s="3">
        <v>10.3287794865594</v>
      </c>
      <c r="F98" s="3">
        <v>12.6347739308485</v>
      </c>
      <c r="G98" s="3">
        <v>16.642360418270101</v>
      </c>
      <c r="H98" s="3">
        <v>10.0627606905141</v>
      </c>
      <c r="I98" s="3">
        <v>21.173100265957501</v>
      </c>
      <c r="J98" s="3">
        <v>16.8734211373839</v>
      </c>
      <c r="K98" s="3">
        <v>11.869296542138599</v>
      </c>
      <c r="L98" s="3">
        <v>15.655169297996499</v>
      </c>
      <c r="M98" s="3">
        <v>15.0445191265907</v>
      </c>
      <c r="N98" s="3">
        <v>8.7678348197382707</v>
      </c>
    </row>
    <row r="99" spans="1:14" x14ac:dyDescent="0.35">
      <c r="A99" s="2">
        <v>44721</v>
      </c>
      <c r="B99" s="3">
        <v>26.190519267582999</v>
      </c>
      <c r="C99" s="3">
        <v>13.6649687650884</v>
      </c>
      <c r="D99" s="3">
        <v>12.2649721723574</v>
      </c>
      <c r="E99" s="3">
        <v>10.8245425300166</v>
      </c>
      <c r="F99" s="3">
        <v>13.1354938327407</v>
      </c>
      <c r="G99" s="3">
        <v>16.350460669667399</v>
      </c>
      <c r="H99" s="3">
        <v>10.3036507422234</v>
      </c>
      <c r="I99" s="3">
        <v>21.127397838381601</v>
      </c>
      <c r="J99" s="3">
        <v>16.8009305892807</v>
      </c>
      <c r="K99" s="3">
        <v>12.0794718828091</v>
      </c>
      <c r="L99" s="3">
        <v>17.068530086311501</v>
      </c>
      <c r="M99" s="3">
        <v>15.641309615629099</v>
      </c>
      <c r="N99" s="3">
        <v>8.6075912718397003</v>
      </c>
    </row>
    <row r="100" spans="1:14" x14ac:dyDescent="0.35">
      <c r="A100" s="2">
        <v>44750</v>
      </c>
      <c r="B100" s="3">
        <v>26.082879628613501</v>
      </c>
      <c r="C100" s="3">
        <v>12.884151676080201</v>
      </c>
      <c r="D100" s="3">
        <v>11.258766712821</v>
      </c>
      <c r="E100" s="3">
        <v>9.9710957874304</v>
      </c>
      <c r="F100" s="3">
        <v>12.4498846591048</v>
      </c>
      <c r="G100" s="3">
        <v>16.155256843975401</v>
      </c>
      <c r="H100" s="3">
        <v>9.5289514135531999</v>
      </c>
      <c r="I100" s="3">
        <v>21.009363902622201</v>
      </c>
      <c r="J100" s="3">
        <v>16.259810207735299</v>
      </c>
      <c r="K100" s="3">
        <v>11.2125345377942</v>
      </c>
      <c r="L100" s="3">
        <v>16.265608841767701</v>
      </c>
      <c r="M100" s="3">
        <v>14.829219555593101</v>
      </c>
      <c r="N100" s="3">
        <v>7.8544656109379298</v>
      </c>
    </row>
    <row r="101" spans="1:14" x14ac:dyDescent="0.35">
      <c r="A101" s="2">
        <v>44782</v>
      </c>
      <c r="B101" s="3">
        <v>26.657723340721599</v>
      </c>
      <c r="C101" s="3">
        <v>13.931602692771699</v>
      </c>
      <c r="D101" s="3">
        <v>11.4956503191618</v>
      </c>
      <c r="E101" s="3">
        <v>10.148232022712</v>
      </c>
      <c r="F101" s="3">
        <v>12.720068932049999</v>
      </c>
      <c r="G101" s="3">
        <v>16.778487225688199</v>
      </c>
      <c r="H101" s="3">
        <v>9.8267024270573806</v>
      </c>
      <c r="I101" s="3">
        <v>23.2021456337492</v>
      </c>
      <c r="J101" s="3">
        <v>17.398615639829298</v>
      </c>
      <c r="K101" s="3">
        <v>11.738113190215101</v>
      </c>
      <c r="L101" s="3">
        <v>17.514679073597399</v>
      </c>
      <c r="M101" s="3">
        <v>14.751833761577601</v>
      </c>
      <c r="N101" s="3">
        <v>7.6944547946788902</v>
      </c>
    </row>
    <row r="102" spans="1:14" x14ac:dyDescent="0.35">
      <c r="A102" s="2">
        <v>44813</v>
      </c>
      <c r="B102" s="3">
        <v>27.0220488287042</v>
      </c>
      <c r="C102" s="3">
        <v>13.6558920110344</v>
      </c>
      <c r="D102" s="3">
        <v>11.626240581114899</v>
      </c>
      <c r="E102" s="3">
        <v>9.8114101378520697</v>
      </c>
      <c r="F102" s="3">
        <v>12.8495892528788</v>
      </c>
      <c r="G102" s="3">
        <v>16.201735306469999</v>
      </c>
      <c r="H102" s="3">
        <v>9.3115187657827594</v>
      </c>
      <c r="I102" s="3">
        <v>22.3198636751852</v>
      </c>
      <c r="J102" s="3">
        <v>17.096969697477199</v>
      </c>
      <c r="K102" s="3">
        <v>11.217122843445001</v>
      </c>
      <c r="L102" s="3">
        <v>16.221127531443599</v>
      </c>
      <c r="M102" s="3">
        <v>14.098732490405499</v>
      </c>
      <c r="N102" s="3">
        <v>7.64621193624032</v>
      </c>
    </row>
    <row r="103" spans="1:14" x14ac:dyDescent="0.35">
      <c r="A103" s="2">
        <v>44841</v>
      </c>
      <c r="B103" s="3">
        <v>24.0917343072942</v>
      </c>
      <c r="C103" s="3">
        <v>13.178695876921999</v>
      </c>
      <c r="D103" s="3">
        <v>10.8607747570257</v>
      </c>
      <c r="E103" s="3">
        <v>9.0934446914009204</v>
      </c>
      <c r="F103" s="3">
        <v>12.3295305596959</v>
      </c>
      <c r="G103" s="3">
        <v>14.949771835961</v>
      </c>
      <c r="H103" s="3">
        <v>8.7046145258820697</v>
      </c>
      <c r="I103" s="3">
        <v>19.679194504159099</v>
      </c>
      <c r="J103" s="3">
        <v>15.393016942465501</v>
      </c>
      <c r="K103" s="3">
        <v>10.4347177804475</v>
      </c>
      <c r="L103" s="3">
        <v>14.5002641432253</v>
      </c>
      <c r="M103" s="3">
        <v>13.025707888818999</v>
      </c>
      <c r="N103" s="3">
        <v>7.2583072028026301</v>
      </c>
    </row>
    <row r="104" spans="1:14" x14ac:dyDescent="0.35">
      <c r="A104" s="2">
        <v>44874</v>
      </c>
      <c r="B104" s="3">
        <v>23.1571328046332</v>
      </c>
      <c r="C104" s="3">
        <v>13.738527733924199</v>
      </c>
      <c r="D104" s="3">
        <v>11.480398883600101</v>
      </c>
      <c r="E104" s="3">
        <v>10.2340873144411</v>
      </c>
      <c r="F104" s="3">
        <v>12.630623951646401</v>
      </c>
      <c r="G104" s="3">
        <v>16.2567606320913</v>
      </c>
      <c r="H104" s="3">
        <v>9.2109286378078608</v>
      </c>
      <c r="I104" s="3">
        <v>20.131890409973199</v>
      </c>
      <c r="J104" s="3">
        <v>16.245024204720998</v>
      </c>
      <c r="K104" s="3">
        <v>11.4882437034699</v>
      </c>
      <c r="L104" s="3">
        <v>15.263850133996399</v>
      </c>
      <c r="M104" s="3">
        <v>12.594962714256599</v>
      </c>
      <c r="N104" s="3">
        <v>8.1286397179229599</v>
      </c>
    </row>
    <row r="105" spans="1:14" x14ac:dyDescent="0.35">
      <c r="A105" s="2">
        <v>44904</v>
      </c>
      <c r="B105" s="3">
        <v>23.2466483788271</v>
      </c>
      <c r="C105" s="3">
        <v>14.453192080048799</v>
      </c>
      <c r="D105" s="3">
        <v>12.159486171524099</v>
      </c>
      <c r="E105" s="3">
        <v>10.7051481635387</v>
      </c>
      <c r="F105" s="3">
        <v>12.7500404241949</v>
      </c>
      <c r="G105" s="3">
        <v>16.781087288449001</v>
      </c>
      <c r="H105" s="3">
        <v>9.9415192000833592</v>
      </c>
      <c r="I105" s="3">
        <v>21.4621614400432</v>
      </c>
      <c r="J105" s="3">
        <v>17.029096112104298</v>
      </c>
      <c r="K105" s="3">
        <v>12.1441439091093</v>
      </c>
      <c r="L105" s="3">
        <v>16.342847603104701</v>
      </c>
      <c r="M105" s="3">
        <v>13.2761822911118</v>
      </c>
      <c r="N105" s="3">
        <v>7.7910508857829299</v>
      </c>
    </row>
    <row r="106" spans="1:14" x14ac:dyDescent="0.35">
      <c r="A106" s="2">
        <v>44935</v>
      </c>
      <c r="B106" s="3">
        <v>23.541066145687001</v>
      </c>
      <c r="C106" s="3">
        <v>14.2765239793974</v>
      </c>
      <c r="D106" s="3">
        <v>12.275566067720099</v>
      </c>
      <c r="E106" s="3">
        <v>11.139221300671</v>
      </c>
      <c r="F106" s="3">
        <v>12.1775253613632</v>
      </c>
      <c r="G106" s="3">
        <v>17.080844758545599</v>
      </c>
      <c r="H106" s="3">
        <v>10.2705291300426</v>
      </c>
      <c r="I106" s="3">
        <v>21.171277321316101</v>
      </c>
      <c r="J106" s="3">
        <v>16.9085365424462</v>
      </c>
      <c r="K106" s="3">
        <v>12.6356978067542</v>
      </c>
      <c r="L106" s="3">
        <v>16.669797536451799</v>
      </c>
      <c r="M106" s="3">
        <v>13.4957685923557</v>
      </c>
      <c r="N106" s="3">
        <v>8.0920053196776003</v>
      </c>
    </row>
    <row r="107" spans="1:14" x14ac:dyDescent="0.35">
      <c r="A107" s="2">
        <v>44966</v>
      </c>
      <c r="B107" s="3">
        <v>24.2415080565038</v>
      </c>
      <c r="C107" s="3">
        <v>14.921775873463901</v>
      </c>
      <c r="D107" s="3">
        <v>12.8271517169724</v>
      </c>
      <c r="E107" s="3">
        <v>11.754695190905</v>
      </c>
      <c r="F107" s="3">
        <v>13.0233907405746</v>
      </c>
      <c r="G107" s="3">
        <v>17.213210588346598</v>
      </c>
      <c r="H107" s="3">
        <v>10.5941461716939</v>
      </c>
      <c r="I107" s="3">
        <v>23.944202301802399</v>
      </c>
      <c r="J107" s="3">
        <v>18.008064590443801</v>
      </c>
      <c r="K107" s="3">
        <v>13.268119911041</v>
      </c>
      <c r="L107" s="3">
        <v>17.146361709529799</v>
      </c>
      <c r="M107" s="3">
        <v>14.2027200931916</v>
      </c>
      <c r="N107" s="3">
        <v>8.4742558736054203</v>
      </c>
    </row>
    <row r="108" spans="1:14" x14ac:dyDescent="0.35">
      <c r="A108" s="2">
        <v>44994</v>
      </c>
      <c r="B108" s="3">
        <v>23.1555802273948</v>
      </c>
      <c r="C108" s="3">
        <v>14.457835814662401</v>
      </c>
      <c r="D108" s="3">
        <v>12.677551702019199</v>
      </c>
      <c r="E108" s="3">
        <v>11.628866549561501</v>
      </c>
      <c r="F108" s="3">
        <v>13.609332143035701</v>
      </c>
      <c r="G108" s="3">
        <v>16.795220231653801</v>
      </c>
      <c r="H108" s="3">
        <v>10.399951258681099</v>
      </c>
      <c r="I108" s="3">
        <v>22.937370455533301</v>
      </c>
      <c r="J108" s="3">
        <v>17.205171401161401</v>
      </c>
      <c r="K108" s="3">
        <v>13.2842890235569</v>
      </c>
      <c r="L108" s="3">
        <v>16.390692531587799</v>
      </c>
      <c r="M108" s="3">
        <v>14.0524824867486</v>
      </c>
      <c r="N108" s="3">
        <v>8.7085330080134593</v>
      </c>
    </row>
    <row r="109" spans="1:14" x14ac:dyDescent="0.35">
      <c r="A109" s="2">
        <v>45022</v>
      </c>
      <c r="B109" s="3">
        <v>23.379210161230599</v>
      </c>
      <c r="C109" s="3">
        <v>14.4088833649342</v>
      </c>
      <c r="D109" s="3">
        <v>12.7642705625729</v>
      </c>
      <c r="E109" s="3">
        <v>11.3238314607596</v>
      </c>
      <c r="F109" s="3">
        <v>12.898881731580101</v>
      </c>
      <c r="G109" s="3">
        <v>17.3221795652853</v>
      </c>
      <c r="H109" s="3">
        <v>10.5816316685589</v>
      </c>
      <c r="I109" s="3">
        <v>24.802621267899401</v>
      </c>
      <c r="J109" s="3">
        <v>18.055789741050301</v>
      </c>
      <c r="K109" s="3">
        <v>13.3527528230257</v>
      </c>
      <c r="L109" s="3">
        <v>16.302596959497102</v>
      </c>
      <c r="M109" s="3">
        <v>13.463480812708699</v>
      </c>
      <c r="N109" s="3">
        <v>8.5751990288260291</v>
      </c>
    </row>
    <row r="110" spans="1:14" x14ac:dyDescent="0.35">
      <c r="A110" s="2">
        <v>45055</v>
      </c>
      <c r="B110" s="3">
        <v>23.4650019614078</v>
      </c>
      <c r="C110" s="3">
        <v>14.708292162892301</v>
      </c>
      <c r="D110" s="3">
        <v>13.0579119113393</v>
      </c>
      <c r="E110" s="3">
        <v>11.166385296183901</v>
      </c>
      <c r="F110" s="3">
        <v>13.731182239565999</v>
      </c>
      <c r="G110" s="3">
        <v>17.6324659768934</v>
      </c>
      <c r="H110" s="3">
        <v>10.602362468355</v>
      </c>
      <c r="I110" s="3">
        <v>24.4039118211108</v>
      </c>
      <c r="J110" s="3">
        <v>17.931421619062402</v>
      </c>
      <c r="K110" s="3">
        <v>13.398198502993001</v>
      </c>
      <c r="L110" s="3">
        <v>15.6391722970389</v>
      </c>
      <c r="M110" s="3">
        <v>13.490058462209999</v>
      </c>
      <c r="N110" s="3">
        <v>8.4076409052211805</v>
      </c>
    </row>
    <row r="111" spans="1:14" x14ac:dyDescent="0.35">
      <c r="A111" s="2">
        <v>45086</v>
      </c>
      <c r="B111" s="3">
        <v>20.686226303935602</v>
      </c>
      <c r="C111" s="3">
        <v>14.5726792864749</v>
      </c>
      <c r="D111" s="3">
        <v>12.853799119325201</v>
      </c>
      <c r="E111" s="3">
        <v>10.7651912296208</v>
      </c>
      <c r="F111" s="3">
        <v>14.558979443088001</v>
      </c>
      <c r="G111" s="3">
        <v>16.4810585049268</v>
      </c>
      <c r="H111" s="3">
        <v>10.296823173425601</v>
      </c>
      <c r="I111" s="3">
        <v>26.0839909699787</v>
      </c>
      <c r="J111" s="3">
        <v>18.5018371322987</v>
      </c>
      <c r="K111" s="3">
        <v>13.0086663808605</v>
      </c>
      <c r="L111" s="3">
        <v>15.6427384838048</v>
      </c>
      <c r="M111" s="3">
        <v>13.710378299228999</v>
      </c>
      <c r="N111" s="3">
        <v>8.5631520822216007</v>
      </c>
    </row>
    <row r="112" spans="1:14" x14ac:dyDescent="0.35">
      <c r="A112" s="2">
        <v>45114</v>
      </c>
      <c r="B112" s="3">
        <v>21.1071160270089</v>
      </c>
      <c r="C112" s="3">
        <v>14.634141097716199</v>
      </c>
      <c r="D112" s="3">
        <v>12.771327327633299</v>
      </c>
      <c r="E112" s="3">
        <v>10.4460463477786</v>
      </c>
      <c r="F112" s="3">
        <v>14.6106082545662</v>
      </c>
      <c r="G112" s="3">
        <v>16.066108933406301</v>
      </c>
      <c r="H112" s="3">
        <v>10.0365653799907</v>
      </c>
      <c r="I112" s="3">
        <v>26.4452358730375</v>
      </c>
      <c r="J112" s="3">
        <v>18.898512815733</v>
      </c>
      <c r="K112" s="3">
        <v>12.7596550186892</v>
      </c>
      <c r="L112" s="3">
        <v>15.531359976861101</v>
      </c>
      <c r="M112" s="3">
        <v>13.214272456469701</v>
      </c>
      <c r="N112" s="3">
        <v>8.6330604307106302</v>
      </c>
    </row>
    <row r="113" spans="1:25" x14ac:dyDescent="0.35">
      <c r="A113" s="2">
        <v>45147</v>
      </c>
      <c r="B113" s="3">
        <v>20.5344821506031</v>
      </c>
      <c r="C113" s="3">
        <v>15.4005089281853</v>
      </c>
      <c r="D113" s="3">
        <v>13.204402993474</v>
      </c>
      <c r="E113" s="3">
        <v>10.6561840606738</v>
      </c>
      <c r="F113" s="3">
        <v>14.422384341121701</v>
      </c>
      <c r="G113" s="3">
        <v>16.565288880409</v>
      </c>
      <c r="H113" s="3">
        <v>10.590392854329799</v>
      </c>
      <c r="I113" s="3">
        <v>24.5899446876412</v>
      </c>
      <c r="J113" s="3">
        <v>18.9304326544272</v>
      </c>
      <c r="K113" s="3">
        <v>13.0568062528938</v>
      </c>
      <c r="L113" s="3">
        <v>15.403863588272801</v>
      </c>
      <c r="M113" s="3">
        <v>13.136120003652801</v>
      </c>
      <c r="N113" s="3">
        <v>8.2871276499584798</v>
      </c>
    </row>
    <row r="114" spans="1:25" x14ac:dyDescent="0.35">
      <c r="A114" s="2">
        <v>45177</v>
      </c>
      <c r="B114" s="3">
        <v>20.335038350423201</v>
      </c>
      <c r="C114" s="3">
        <v>15.208686867631901</v>
      </c>
      <c r="D114" s="3">
        <v>13.001314937922601</v>
      </c>
      <c r="E114" s="3">
        <v>10.5591627976486</v>
      </c>
      <c r="F114" s="3">
        <v>14.6725093487035</v>
      </c>
      <c r="G114" s="3">
        <v>16.350921100736699</v>
      </c>
      <c r="H114" s="3">
        <v>10.340548525372199</v>
      </c>
      <c r="I114" s="3">
        <v>24.230991171528299</v>
      </c>
      <c r="J114" s="3">
        <v>18.601975995824802</v>
      </c>
      <c r="K114" s="3">
        <v>12.795433715939099</v>
      </c>
      <c r="L114" s="3">
        <v>14.2829629234155</v>
      </c>
      <c r="M114" s="3">
        <v>12.9363772360661</v>
      </c>
      <c r="N114" s="3">
        <v>8.3629033502777492</v>
      </c>
    </row>
    <row r="115" spans="1:25" x14ac:dyDescent="0.35">
      <c r="A115" s="2">
        <v>45208</v>
      </c>
      <c r="B115" s="3">
        <v>19.7431374198265</v>
      </c>
      <c r="C115" s="3">
        <v>14.597076017660999</v>
      </c>
      <c r="D115" s="3">
        <v>12.363519568625099</v>
      </c>
      <c r="E115" s="3">
        <v>10.1291071768098</v>
      </c>
      <c r="F115" s="3">
        <v>13.9658138732804</v>
      </c>
      <c r="G115" s="3">
        <v>15.9374768330312</v>
      </c>
      <c r="H115" s="3">
        <v>10.258655142563001</v>
      </c>
      <c r="I115" s="3">
        <v>23.6184695279984</v>
      </c>
      <c r="J115" s="3">
        <v>18.021697824308799</v>
      </c>
      <c r="K115" s="3">
        <v>12.267327341098101</v>
      </c>
      <c r="L115" s="3">
        <v>13.381443754391301</v>
      </c>
      <c r="M115" s="3">
        <v>12.745630376804201</v>
      </c>
      <c r="N115" s="3">
        <v>8.0422372285670392</v>
      </c>
    </row>
    <row r="116" spans="1:25" x14ac:dyDescent="0.35">
      <c r="A116" s="2">
        <v>45239</v>
      </c>
      <c r="B116" s="3">
        <v>20.1770132501006</v>
      </c>
      <c r="C116" s="3">
        <v>14.935436695895399</v>
      </c>
      <c r="D116" s="3">
        <v>12.4630404783953</v>
      </c>
      <c r="E116" s="3">
        <v>10.3325960808746</v>
      </c>
      <c r="F116" s="3">
        <v>14.2157811757518</v>
      </c>
      <c r="G116" s="3">
        <v>15.8571254309803</v>
      </c>
      <c r="H116" s="3">
        <v>10.275835957646599</v>
      </c>
      <c r="I116" s="3">
        <v>23.463603674069901</v>
      </c>
      <c r="J116" s="3">
        <v>17.981516080501201</v>
      </c>
      <c r="K116" s="3">
        <v>12.5739846838707</v>
      </c>
      <c r="L116" s="3">
        <v>14.0820861230755</v>
      </c>
      <c r="M116" s="3">
        <v>12.9269138958634</v>
      </c>
      <c r="N116" s="3">
        <v>8.1651156324557501</v>
      </c>
    </row>
    <row r="117" spans="1:25" x14ac:dyDescent="0.35">
      <c r="A117" s="2">
        <v>45268</v>
      </c>
      <c r="B117" s="3">
        <v>21.831627136684901</v>
      </c>
      <c r="C117" s="3">
        <v>15.4206126412945</v>
      </c>
      <c r="D117" s="3">
        <v>13.1734722300294</v>
      </c>
      <c r="E117" s="3">
        <v>11.2523386019966</v>
      </c>
      <c r="F117" s="3">
        <v>13.875150674207401</v>
      </c>
      <c r="G117" s="3">
        <v>16.544638996727102</v>
      </c>
      <c r="H117" s="3">
        <v>10.557882431098999</v>
      </c>
      <c r="I117" s="3">
        <v>24.325842582186599</v>
      </c>
      <c r="J117" s="3">
        <v>18.8380394754839</v>
      </c>
      <c r="K117" s="3">
        <v>13.2866846192574</v>
      </c>
      <c r="L117" s="3">
        <v>14.884447120253901</v>
      </c>
      <c r="M117" s="3">
        <v>15.2009122401653</v>
      </c>
      <c r="N117" s="3">
        <v>8.8204222850161393</v>
      </c>
    </row>
    <row r="118" spans="1:25" x14ac:dyDescent="0.35">
      <c r="A118" s="2">
        <v>45300</v>
      </c>
      <c r="B118" s="3">
        <v>23.001587059682102</v>
      </c>
      <c r="C118" s="3">
        <v>16.1858750706512</v>
      </c>
      <c r="D118" s="3">
        <v>13.6632843247869</v>
      </c>
      <c r="E118" s="3">
        <v>11.1125618407802</v>
      </c>
      <c r="F118" s="3">
        <v>14.246357062532899</v>
      </c>
      <c r="G118" s="3">
        <v>17.052953147402999</v>
      </c>
      <c r="H118" s="3">
        <v>11.0489782736793</v>
      </c>
      <c r="I118" s="3">
        <v>24.780198975562101</v>
      </c>
      <c r="J118" s="3">
        <v>19.445771030229</v>
      </c>
      <c r="K118" s="3">
        <v>13.2265336692013</v>
      </c>
      <c r="L118" s="3">
        <v>14.788208076732699</v>
      </c>
      <c r="M118" s="3">
        <v>15.3662038207416</v>
      </c>
      <c r="N118" s="3">
        <v>8.9365976843878894</v>
      </c>
    </row>
    <row r="119" spans="1:25" x14ac:dyDescent="0.35">
      <c r="A119" s="2">
        <v>45331</v>
      </c>
      <c r="B119" s="3">
        <v>22.2274988672056</v>
      </c>
      <c r="C119" s="3">
        <v>16.436646456317298</v>
      </c>
      <c r="D119" s="3">
        <v>13.8937826067398</v>
      </c>
      <c r="E119" s="3">
        <v>11.523574137256</v>
      </c>
      <c r="F119" s="3">
        <v>15.0205736678415</v>
      </c>
      <c r="G119" s="3">
        <v>17.039234591955601</v>
      </c>
      <c r="H119" s="3">
        <v>11.0054872629808</v>
      </c>
      <c r="I119" s="3">
        <v>26.3757814473012</v>
      </c>
      <c r="J119" s="3">
        <v>20.391159721629101</v>
      </c>
      <c r="K119" s="3">
        <v>13.798909400678699</v>
      </c>
      <c r="L119" s="3">
        <v>16.292803917820901</v>
      </c>
      <c r="M119" s="3">
        <v>15.791934995932101</v>
      </c>
      <c r="N119" s="3">
        <v>9.00876216550793</v>
      </c>
    </row>
    <row r="120" spans="1:25" x14ac:dyDescent="0.35">
      <c r="A120" s="2">
        <v>45359</v>
      </c>
      <c r="B120" s="3">
        <v>24.934889771848098</v>
      </c>
      <c r="C120" s="3">
        <v>16.9493064102587</v>
      </c>
      <c r="D120" s="3">
        <v>14.453506921360701</v>
      </c>
      <c r="E120" s="3">
        <v>12.105004887825499</v>
      </c>
      <c r="F120" s="3">
        <v>15.748473654015299</v>
      </c>
      <c r="G120" s="3">
        <v>17.761961741568498</v>
      </c>
      <c r="H120" s="3">
        <v>11.295914323276399</v>
      </c>
      <c r="I120" s="3">
        <v>26.0622898580007</v>
      </c>
      <c r="J120" s="3">
        <v>20.515710096694502</v>
      </c>
      <c r="K120" s="3">
        <v>14.473663287853901</v>
      </c>
      <c r="L120" s="3">
        <v>16.217500686172801</v>
      </c>
      <c r="M120" s="3">
        <v>16.6568349113682</v>
      </c>
      <c r="N120" s="3">
        <v>9.4659170517332996</v>
      </c>
    </row>
    <row r="121" spans="1:25" x14ac:dyDescent="0.35">
      <c r="A121" s="2">
        <v>45391</v>
      </c>
      <c r="B121" s="3">
        <v>24.935583560773999</v>
      </c>
      <c r="C121" s="3">
        <v>16.826456979850601</v>
      </c>
      <c r="D121" s="3">
        <v>14.7157615102366</v>
      </c>
      <c r="E121" s="3">
        <v>12.1191236024486</v>
      </c>
      <c r="F121" s="3">
        <v>15.7539446740178</v>
      </c>
      <c r="G121" s="3">
        <v>17.2855256446711</v>
      </c>
      <c r="H121" s="3">
        <v>11.5279273249431</v>
      </c>
      <c r="I121" s="3">
        <v>25.946926312322901</v>
      </c>
      <c r="J121" s="3">
        <v>20.680548646613101</v>
      </c>
      <c r="K121" s="3">
        <v>14.460818258201099</v>
      </c>
      <c r="L121" s="3">
        <v>16.207550273220502</v>
      </c>
      <c r="M121" s="3">
        <v>16.400951974767501</v>
      </c>
      <c r="N121" s="3">
        <v>9.5604056931450501</v>
      </c>
    </row>
    <row r="122" spans="1:25" x14ac:dyDescent="0.35">
      <c r="A122" s="2">
        <v>45418</v>
      </c>
      <c r="B122" s="3">
        <v>25.130026594059402</v>
      </c>
      <c r="C122" s="3">
        <v>16.5960932435882</v>
      </c>
      <c r="D122" s="3">
        <v>14.476496736899</v>
      </c>
      <c r="E122" s="3">
        <v>12.020971132023201</v>
      </c>
      <c r="F122" s="3">
        <v>15.4346607368914</v>
      </c>
      <c r="G122" s="3">
        <v>16.74284061865</v>
      </c>
      <c r="H122" s="3">
        <v>11.636116309003601</v>
      </c>
      <c r="I122" s="3">
        <v>25.5439841689895</v>
      </c>
      <c r="J122" s="3">
        <v>20.349688941604001</v>
      </c>
      <c r="K122" s="3">
        <v>14.3981260506018</v>
      </c>
      <c r="L122" s="3">
        <v>15.954832645632701</v>
      </c>
      <c r="M122" s="3">
        <v>16.064083251889802</v>
      </c>
      <c r="N122" s="3">
        <v>9.6846014404841299</v>
      </c>
    </row>
    <row r="124" spans="1:25" x14ac:dyDescent="0.35">
      <c r="A124" s="2" t="s">
        <v>91</v>
      </c>
      <c r="B124" s="3" cm="1">
        <f t="array" ref="B124">MIN(_xlfn._xlws.FILTER(B1:B122, ISNUMBER(B1:B122)))</f>
        <v>16.858557358751298</v>
      </c>
      <c r="C124" s="3" cm="1">
        <f t="array" ref="C124">MIN(_xlfn._xlws.FILTER(C1:C122, ISNUMBER(C1:C122)))</f>
        <v>12.884151676080201</v>
      </c>
      <c r="D124" s="3" cm="1">
        <f t="array" ref="D124">MIN(_xlfn._xlws.FILTER(D1:D122, ISNUMBER(D1:D122)))</f>
        <v>10.8607747570257</v>
      </c>
      <c r="E124" s="3" cm="1">
        <f t="array" ref="E124">MIN(_xlfn._xlws.FILTER(E1:E122, ISNUMBER(E1:E122)))</f>
        <v>9.0934446914009204</v>
      </c>
      <c r="F124" s="3" cm="1">
        <f t="array" ref="F124">MIN(_xlfn._xlws.FILTER(F1:F122, ISNUMBER(F1:F122)))</f>
        <v>11.4748243072449</v>
      </c>
      <c r="G124" s="3" cm="1">
        <f t="array" ref="G124">MIN(_xlfn._xlws.FILTER(G1:G122, ISNUMBER(G1:G122)))</f>
        <v>14.949771835961</v>
      </c>
      <c r="H124" s="3" cm="1">
        <f t="array" ref="H124">MIN(_xlfn._xlws.FILTER(H1:H122, ISNUMBER(H1:H122)))</f>
        <v>8.7046145258820697</v>
      </c>
      <c r="I124" s="3" cm="1">
        <f t="array" ref="I124">MIN(_xlfn._xlws.FILTER(I1:I122, ISNUMBER(I1:I122)))</f>
        <v>15.966615374177</v>
      </c>
      <c r="J124" s="3" cm="1">
        <f t="array" ref="J124">MIN(_xlfn._xlws.FILTER(J1:J122, ISNUMBER(J1:J122)))</f>
        <v>14.691548057635201</v>
      </c>
      <c r="K124" s="3" cm="1">
        <f t="array" ref="K124">MIN(_xlfn._xlws.FILTER(K1:K122, ISNUMBER(K1:K122)))</f>
        <v>10.4347177804475</v>
      </c>
      <c r="L124" s="3" cm="1">
        <f t="array" ref="L124">MIN(_xlfn._xlws.FILTER(L1:L122, ISNUMBER(L1:L122)))</f>
        <v>13.333692013875501</v>
      </c>
      <c r="M124" s="3" cm="1">
        <f t="array" ref="M124">MIN(_xlfn._xlws.FILTER(M1:M122, ISNUMBER(M1:M122)))</f>
        <v>12.594962714256599</v>
      </c>
      <c r="N124" s="3" cm="1">
        <f t="array" ref="N124">MIN(_xlfn._xlws.FILTER(N1:N122, ISNUMBER(N1:N122)))</f>
        <v>7.2583072028026301</v>
      </c>
    </row>
    <row r="125" spans="1:25" x14ac:dyDescent="0.35">
      <c r="A125" s="2" t="s">
        <v>92</v>
      </c>
      <c r="B125" s="3" cm="1">
        <f t="array" ref="B125">MAX(_xlfn._xlws.FILTER(B1:B122, ISNUMBER(B1:B122)))</f>
        <v>35.364367384846602</v>
      </c>
      <c r="C125" s="3" cm="1">
        <f t="array" ref="C125">MAX(_xlfn._xlws.FILTER(C1:C122, ISNUMBER(C1:C122)))</f>
        <v>20.0817547502593</v>
      </c>
      <c r="D125" s="3" cm="1">
        <f t="array" ref="D125">MAX(_xlfn._xlws.FILTER(D1:D122, ISNUMBER(D1:D122)))</f>
        <v>18.556987589703201</v>
      </c>
      <c r="E125" s="3" cm="1">
        <f t="array" ref="E125">MAX(_xlfn._xlws.FILTER(E1:E122, ISNUMBER(E1:E122)))</f>
        <v>18.1444033534029</v>
      </c>
      <c r="F125" s="3" cm="1">
        <f t="array" ref="F125">MAX(_xlfn._xlws.FILTER(F1:F122, ISNUMBER(F1:F122)))</f>
        <v>18.924514509655701</v>
      </c>
      <c r="G125" s="3" cm="1">
        <f t="array" ref="G125">MAX(_xlfn._xlws.FILTER(G1:G122, ISNUMBER(G1:G122)))</f>
        <v>19.878754049273301</v>
      </c>
      <c r="H125" s="3" cm="1">
        <f t="array" ref="H125">MAX(_xlfn._xlws.FILTER(H1:H122, ISNUMBER(H1:H122)))</f>
        <v>16.612660715796199</v>
      </c>
      <c r="I125" s="3" cm="1">
        <f t="array" ref="I125">MAX(_xlfn._xlws.FILTER(I1:I122, ISNUMBER(I1:I122)))</f>
        <v>30.421325407290801</v>
      </c>
      <c r="J125" s="3" cm="1">
        <f t="array" ref="J125">MAX(_xlfn._xlws.FILTER(J1:J122, ISNUMBER(J1:J122)))</f>
        <v>22.664841912269502</v>
      </c>
      <c r="K125" s="3" cm="1">
        <f t="array" ref="K125">MAX(_xlfn._xlws.FILTER(K1:K122, ISNUMBER(K1:K122)))</f>
        <v>19.587311251426701</v>
      </c>
      <c r="L125" s="3" cm="1">
        <f t="array" ref="L125">MAX(_xlfn._xlws.FILTER(L1:L122, ISNUMBER(L1:L122)))</f>
        <v>22.884572394940498</v>
      </c>
      <c r="M125" s="3" cm="1">
        <f t="array" ref="M125">MAX(_xlfn._xlws.FILTER(M1:M122, ISNUMBER(M1:M122)))</f>
        <v>20.608298676586799</v>
      </c>
      <c r="N125" s="3" cm="1">
        <f t="array" ref="N125">MAX(_xlfn._xlws.FILTER(N1:N122, ISNUMBER(N1:N122)))</f>
        <v>17.942208084507101</v>
      </c>
    </row>
    <row r="127" spans="1:25" x14ac:dyDescent="0.35">
      <c r="A127" s="2" t="s">
        <v>93</v>
      </c>
      <c r="B127" s="9" cm="1">
        <f t="array" ref="B127">_xlfn.PERCENTRANK.EXC(_xlfn._xlws.FILTER(B1:B122, ISNUMBER(B1:B122)),B122)</f>
        <v>0.69599999999999995</v>
      </c>
      <c r="C127" s="9" cm="1">
        <f t="array" ref="C127">_xlfn.PERCENTRANK.EXC(_xlfn._xlws.FILTER(C1:C122, ISNUMBER(C1:C122)),C122)</f>
        <v>0.76200000000000001</v>
      </c>
      <c r="D127" s="9" cm="1">
        <f t="array" ref="D127">_xlfn.PERCENTRANK.EXC(_xlfn._xlws.FILTER(D1:D122, ISNUMBER(D1:D122)),D122)</f>
        <v>0.47499999999999998</v>
      </c>
      <c r="E127" s="9" cm="1">
        <f t="array" ref="E127">_xlfn.PERCENTRANK.EXC(_xlfn._xlws.FILTER(E1:E122, ISNUMBER(E1:E122)),E122)</f>
        <v>0.27</v>
      </c>
      <c r="F127" s="9" cm="1">
        <f t="array" ref="F127">_xlfn.PERCENTRANK.EXC(_xlfn._xlws.FILTER(F1:F122, ISNUMBER(F1:F122)),F122)</f>
        <v>0.81100000000000005</v>
      </c>
      <c r="G127" s="9" cm="1">
        <f t="array" ref="G127">_xlfn.PERCENTRANK.EXC(_xlfn._xlws.FILTER(G1:G122, ISNUMBER(G1:G122)),G122)</f>
        <v>0.40899999999999997</v>
      </c>
      <c r="H127" s="9" cm="1">
        <f t="array" ref="H127">_xlfn.PERCENTRANK.EXC(_xlfn._xlws.FILTER(H1:H122, ISNUMBER(H1:H122)),H122)</f>
        <v>0.23699999999999999</v>
      </c>
      <c r="I127" s="9" cm="1">
        <f t="array" ref="I127">_xlfn.PERCENTRANK.EXC(_xlfn._xlws.FILTER(I1:I122, ISNUMBER(I1:I122)),I122)</f>
        <v>0.77</v>
      </c>
      <c r="J127" s="9" cm="1">
        <f t="array" ref="J127">_xlfn.PERCENTRANK.EXC(_xlfn._xlws.FILTER(J1:J122, ISNUMBER(J1:J122)),J122)</f>
        <v>0.79500000000000004</v>
      </c>
      <c r="K127" s="9" cm="1">
        <f t="array" ref="K127">_xlfn.PERCENTRANK.EXC(_xlfn._xlws.FILTER(K1:K122, ISNUMBER(K1:K122)),K122)</f>
        <v>0.52400000000000002</v>
      </c>
      <c r="L127" s="9" cm="1">
        <f t="array" ref="L127">_xlfn.PERCENTRANK.EXC(_xlfn._xlws.FILTER(L1:L122, ISNUMBER(L1:L122)),L122)</f>
        <v>0.54</v>
      </c>
      <c r="M127" s="9" cm="1">
        <f t="array" ref="M127">_xlfn.PERCENTRANK.EXC(_xlfn._xlws.FILTER(M1:M122, ISNUMBER(M1:M122)),M122)</f>
        <v>0.63100000000000001</v>
      </c>
      <c r="N127" s="9" cm="1">
        <f t="array" ref="N127">_xlfn.PERCENTRANK.EXC(_xlfn._xlws.FILTER(N1:N122, ISNUMBER(N1:N122)),N122)</f>
        <v>0.23699999999999999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28"/>
  <sheetViews>
    <sheetView topLeftCell="A113" workbookViewId="0">
      <selection activeCell="N122" sqref="N12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_xll.FDS(B1,"JULIAN(FMA_DIV_YLD(NTMA,-10AY,0,AM,""PORTAGG"",""MEANR"").dates)")</f>
        <v>41768</v>
      </c>
      <c r="B2" s="3" cm="1">
        <f t="array" ref="B2:B122">_xll.FDS(B1,"FMA_DIV_YLD(NTMA,-10AY,0,AM,""PORTAGG"",""MEANR"")")</f>
        <v>4.1000118535311296</v>
      </c>
      <c r="C2" s="3" cm="1">
        <f t="array" ref="C2:C122">_xll.FDS(C1,"FMA_DIV_YLD(NTMA,-10AY,0,AM,""PORTAGG"",""MEANR"")")</f>
        <v>4.7698107737624902</v>
      </c>
      <c r="D2" s="3" cm="1">
        <f t="array" ref="D2:D122">_xll.FDS(D1,"FMA_DIV_YLD(NTMA,-10AY,0,AM,""PORTAGG"",""MEANR"")")</f>
        <v>2.8961472519003002</v>
      </c>
      <c r="E2" s="3" cm="1">
        <f t="array" ref="E2:E122">_xll.FDS(E1,"FMA_DIV_YLD(NTMA,-10AY,0,AM,""PORTAGG"",""MEANR"")")</f>
        <v>3.0220110209672901</v>
      </c>
      <c r="F2" s="3" cm="1">
        <f t="array" ref="F2:F122">_xll.FDS(F1,"FMA_DIV_YLD(NTMA,-10AY,0,AM,""PORTAGG"",""MEANR"")")</f>
        <v>2.2063646739935399</v>
      </c>
      <c r="G2" s="3" cm="1">
        <f t="array" ref="G2:G122">_xll.FDS(G1,"FMA_DIV_YLD(NTMA,-10AY,0,AM,""PORTAGG"",""MEANR"")")</f>
        <v>3.2057373871801502</v>
      </c>
      <c r="H2" s="3" cm="1">
        <f t="array" ref="H2:H122">_xll.FDS(H1,"FMA_DIV_YLD(NTMA,-10AY,0,AM,""PORTAGG"",""MEANR"")")</f>
        <v>3.8271595470988</v>
      </c>
      <c r="I2" s="3" cm="1">
        <f t="array" ref="I2:I122">_xll.FDS(I1,"FMA_DIV_YLD(NTMA,-10AY,0,AM,""PORTAGG"",""MEANR"")")</f>
        <v>1.3711747826819201</v>
      </c>
      <c r="J2" s="3" cm="1">
        <f t="array" ref="J2:J122">_xll.FDS(J1,"FMA_DIV_YLD(NTMA,-10AY,0,AM,""PORTAGG"",""MEANR"")")</f>
        <v>2.1644719332915701</v>
      </c>
      <c r="K2" s="3" cm="1">
        <f t="array" ref="K2:K122">_xll.FDS(K1,"FMA_DIV_YLD(NTMA,-10AY,0,AM,""PORTAGG"",""MEANR"")")</f>
        <v>3.44532772786709</v>
      </c>
      <c r="L2" s="3" cm="1">
        <f t="array" ref="L2:L122">_xll.FDS(L1,"FMA_DIV_YLD(NTMA,-10AY,0,AM,""PORTAGG"",""MEANR"")")</f>
        <v>2.81516617120969</v>
      </c>
      <c r="M2" s="3" cm="1">
        <f t="array" ref="M2:M122">_xll.FDS(M1,"FMA_DIV_YLD(NTMA,-10AY,0,AM,""PORTAGG"",""MEANR"")")</f>
        <v>4.1243482592007998</v>
      </c>
      <c r="N2" s="3" cm="1">
        <f t="array" ref="N2:N122">_xll.FDS(N1,"FMA_DIV_YLD(NTMA,-10AY,0,AM,""PORTAGG"",""MEANR"")")</f>
        <v>3.48484039049091</v>
      </c>
    </row>
    <row r="3" spans="1:14" x14ac:dyDescent="0.35">
      <c r="A3" s="2">
        <v>41799</v>
      </c>
      <c r="B3" s="3">
        <v>4.19783017158493</v>
      </c>
      <c r="C3" s="3">
        <v>4.7945711427141999</v>
      </c>
      <c r="D3" s="3">
        <v>2.8529508354613999</v>
      </c>
      <c r="E3" s="3">
        <v>2.95090744566859</v>
      </c>
      <c r="F3" s="3">
        <v>2.1044151269473801</v>
      </c>
      <c r="G3" s="3">
        <v>3.2198114398948299</v>
      </c>
      <c r="H3" s="3">
        <v>3.82775580247419</v>
      </c>
      <c r="I3" s="3">
        <v>1.29364613494156</v>
      </c>
      <c r="J3" s="3">
        <v>2.0980896041352599</v>
      </c>
      <c r="K3" s="3">
        <v>3.3423309994324599</v>
      </c>
      <c r="L3" s="3">
        <v>2.7716043257423699</v>
      </c>
      <c r="M3" s="3">
        <v>4.0540818734899098</v>
      </c>
      <c r="N3" s="3">
        <v>3.34900876445769</v>
      </c>
    </row>
    <row r="4" spans="1:14" x14ac:dyDescent="0.35">
      <c r="A4" s="2">
        <v>41829</v>
      </c>
      <c r="B4" s="3">
        <v>4.4503678731823699</v>
      </c>
      <c r="C4" s="3">
        <v>4.7808062228838297</v>
      </c>
      <c r="D4" s="3">
        <v>2.79132044914763</v>
      </c>
      <c r="E4" s="3">
        <v>3.0633459786131301</v>
      </c>
      <c r="F4" s="3">
        <v>2.0669670765427002</v>
      </c>
      <c r="G4" s="3">
        <v>3.3351113841928299</v>
      </c>
      <c r="H4" s="3">
        <v>3.8860997828568502</v>
      </c>
      <c r="I4" s="3">
        <v>1.2547997316822701</v>
      </c>
      <c r="J4" s="3">
        <v>2.0903619726104701</v>
      </c>
      <c r="K4" s="3">
        <v>3.4962172490829402</v>
      </c>
      <c r="L4" s="3">
        <v>2.8409627825036301</v>
      </c>
      <c r="M4" s="3">
        <v>4.1607101919015896</v>
      </c>
      <c r="N4" s="3">
        <v>3.4589760707410302</v>
      </c>
    </row>
    <row r="5" spans="1:14" x14ac:dyDescent="0.35">
      <c r="A5" s="2">
        <v>41859</v>
      </c>
      <c r="B5" s="3">
        <v>4.5634995296158296</v>
      </c>
      <c r="C5" s="3">
        <v>4.8260853124744498</v>
      </c>
      <c r="D5" s="3">
        <v>2.8185473429496599</v>
      </c>
      <c r="E5" s="3">
        <v>3.3225899992632</v>
      </c>
      <c r="F5" s="3">
        <v>2.1546344325566298</v>
      </c>
      <c r="G5" s="3">
        <v>3.4516921224380002</v>
      </c>
      <c r="H5" s="3">
        <v>4.0146646266423502</v>
      </c>
      <c r="I5" s="3">
        <v>1.2697738646376799</v>
      </c>
      <c r="J5" s="3">
        <v>2.1538995572487099</v>
      </c>
      <c r="K5" s="3">
        <v>3.7001135879941902</v>
      </c>
      <c r="L5" s="3">
        <v>3.1148009070626501</v>
      </c>
      <c r="M5" s="3">
        <v>4.3772020710465398</v>
      </c>
      <c r="N5" s="3">
        <v>3.8020390379700602</v>
      </c>
    </row>
    <row r="6" spans="1:14" x14ac:dyDescent="0.35">
      <c r="A6" s="2">
        <v>41891</v>
      </c>
      <c r="B6" s="3">
        <v>4.5319445166970604</v>
      </c>
      <c r="C6" s="3">
        <v>4.7229391332009598</v>
      </c>
      <c r="D6" s="3">
        <v>2.76144590727433</v>
      </c>
      <c r="E6" s="3">
        <v>3.0995112586146898</v>
      </c>
      <c r="F6" s="3">
        <v>2.0551594743257202</v>
      </c>
      <c r="G6" s="3">
        <v>3.2789477564193299</v>
      </c>
      <c r="H6" s="3">
        <v>3.92115371052151</v>
      </c>
      <c r="I6" s="3">
        <v>1.21889522489611</v>
      </c>
      <c r="J6" s="3">
        <v>2.10444596705022</v>
      </c>
      <c r="K6" s="3">
        <v>3.4993938470931298</v>
      </c>
      <c r="L6" s="3">
        <v>2.9733494145244199</v>
      </c>
      <c r="M6" s="3">
        <v>4.2340583938491898</v>
      </c>
      <c r="N6" s="3">
        <v>3.4806043814966299</v>
      </c>
    </row>
    <row r="7" spans="1:14" x14ac:dyDescent="0.35">
      <c r="A7" s="2">
        <v>41921</v>
      </c>
      <c r="B7" s="3">
        <v>4.5839200008939098</v>
      </c>
      <c r="C7" s="3">
        <v>5.0505383868625504</v>
      </c>
      <c r="D7" s="3">
        <v>2.9876482652445699</v>
      </c>
      <c r="E7" s="3">
        <v>3.3599471943097998</v>
      </c>
      <c r="F7" s="3">
        <v>2.1324911756268898</v>
      </c>
      <c r="G7" s="3">
        <v>3.4571006541121201</v>
      </c>
      <c r="H7" s="3">
        <v>4.16917010867932</v>
      </c>
      <c r="I7" s="3">
        <v>1.2664954656320599</v>
      </c>
      <c r="J7" s="3">
        <v>2.1853585282007999</v>
      </c>
      <c r="K7" s="3">
        <v>3.7817707650065602</v>
      </c>
      <c r="L7" s="3">
        <v>3.1240000190149901</v>
      </c>
      <c r="M7" s="3">
        <v>4.4625053852332197</v>
      </c>
      <c r="N7" s="3">
        <v>3.93864484878653</v>
      </c>
    </row>
    <row r="8" spans="1:14" x14ac:dyDescent="0.35">
      <c r="A8" s="2">
        <v>41950</v>
      </c>
      <c r="B8" s="3">
        <v>4.5025871618919497</v>
      </c>
      <c r="C8" s="3">
        <v>4.8310106860699804</v>
      </c>
      <c r="D8" s="3">
        <v>2.9537222670415901</v>
      </c>
      <c r="E8" s="3">
        <v>3.3132567367148198</v>
      </c>
      <c r="F8" s="3">
        <v>1.97905711928018</v>
      </c>
      <c r="G8" s="3">
        <v>3.3285536780387601</v>
      </c>
      <c r="H8" s="3">
        <v>4.10030464357955</v>
      </c>
      <c r="I8" s="3">
        <v>1.22595244141113</v>
      </c>
      <c r="J8" s="3">
        <v>2.0956166098316</v>
      </c>
      <c r="K8" s="3">
        <v>3.7288162886660201</v>
      </c>
      <c r="L8" s="3">
        <v>3.1237024801466702</v>
      </c>
      <c r="M8" s="3">
        <v>4.1733950904339601</v>
      </c>
      <c r="N8" s="3">
        <v>4.0086379311503197</v>
      </c>
    </row>
    <row r="9" spans="1:14" x14ac:dyDescent="0.35">
      <c r="A9" s="2">
        <v>41982</v>
      </c>
      <c r="B9" s="3">
        <v>4.4713786678347498</v>
      </c>
      <c r="C9" s="3">
        <v>5.0692169295228204</v>
      </c>
      <c r="D9" s="3">
        <v>3.0277607305802201</v>
      </c>
      <c r="E9" s="3">
        <v>3.1892788273201398</v>
      </c>
      <c r="F9" s="3">
        <v>1.9267203867526901</v>
      </c>
      <c r="G9" s="3">
        <v>3.2639866692132502</v>
      </c>
      <c r="H9" s="3">
        <v>4.1386090982576897</v>
      </c>
      <c r="I9" s="3">
        <v>1.20564428043092</v>
      </c>
      <c r="J9" s="3">
        <v>2.0880597569205102</v>
      </c>
      <c r="K9" s="3">
        <v>3.64805383671413</v>
      </c>
      <c r="L9" s="3">
        <v>3.0510039209947601</v>
      </c>
      <c r="M9" s="3">
        <v>4.1079079859141698</v>
      </c>
      <c r="N9" s="3">
        <v>3.93772893408189</v>
      </c>
    </row>
    <row r="10" spans="1:14" x14ac:dyDescent="0.35">
      <c r="A10" s="2">
        <v>42013</v>
      </c>
      <c r="B10" s="3">
        <v>4.42916115987728</v>
      </c>
      <c r="C10" s="3">
        <v>4.92127442003952</v>
      </c>
      <c r="D10" s="3">
        <v>2.99801577403161</v>
      </c>
      <c r="E10" s="3">
        <v>3.2380933413870099</v>
      </c>
      <c r="F10" s="3">
        <v>2.0245622381747199</v>
      </c>
      <c r="G10" s="3">
        <v>3.2964771795412098</v>
      </c>
      <c r="H10" s="3">
        <v>4.2231316795904101</v>
      </c>
      <c r="I10" s="3">
        <v>1.2123606656738199</v>
      </c>
      <c r="J10" s="3">
        <v>2.12001625623554</v>
      </c>
      <c r="K10" s="3">
        <v>3.7138369547049099</v>
      </c>
      <c r="L10" s="3">
        <v>3.13375663660281</v>
      </c>
      <c r="M10" s="3">
        <v>4.1537943816742002</v>
      </c>
      <c r="N10" s="3">
        <v>4.2721827037801603</v>
      </c>
    </row>
    <row r="11" spans="1:14" x14ac:dyDescent="0.35">
      <c r="A11" s="2">
        <v>42044</v>
      </c>
      <c r="B11" s="3">
        <v>4.28555034638637</v>
      </c>
      <c r="C11" s="3">
        <v>4.6590006276946996</v>
      </c>
      <c r="D11" s="3">
        <v>2.8756446645022899</v>
      </c>
      <c r="E11" s="3">
        <v>2.9659744808148698</v>
      </c>
      <c r="F11" s="3">
        <v>1.9967847995215899</v>
      </c>
      <c r="G11" s="3">
        <v>3.2847078877329898</v>
      </c>
      <c r="H11" s="3">
        <v>4.0060633092132703</v>
      </c>
      <c r="I11" s="3">
        <v>1.26748659270427</v>
      </c>
      <c r="J11" s="3">
        <v>2.1513067221092701</v>
      </c>
      <c r="K11" s="3">
        <v>3.3302961546018799</v>
      </c>
      <c r="L11" s="3">
        <v>2.92139671435607</v>
      </c>
      <c r="M11" s="3">
        <v>3.7978138101938299</v>
      </c>
      <c r="N11" s="3">
        <v>3.7980966436419599</v>
      </c>
    </row>
    <row r="12" spans="1:14" x14ac:dyDescent="0.35">
      <c r="A12" s="2">
        <v>42072</v>
      </c>
      <c r="B12" s="3">
        <v>4.2657864836172603</v>
      </c>
      <c r="C12" s="3">
        <v>4.6511947910263203</v>
      </c>
      <c r="D12" s="3">
        <v>2.9239834202044999</v>
      </c>
      <c r="E12" s="3">
        <v>2.7447724932448501</v>
      </c>
      <c r="F12" s="3">
        <v>1.8793516991761501</v>
      </c>
      <c r="G12" s="3">
        <v>3.1912728603173299</v>
      </c>
      <c r="H12" s="3">
        <v>3.9472381260839402</v>
      </c>
      <c r="I12" s="3">
        <v>1.24545795867287</v>
      </c>
      <c r="J12" s="3">
        <v>2.1634038091913701</v>
      </c>
      <c r="K12" s="3">
        <v>3.2325136609982201</v>
      </c>
      <c r="L12" s="3">
        <v>2.67422113019339</v>
      </c>
      <c r="M12" s="3">
        <v>3.6902527698356899</v>
      </c>
      <c r="N12" s="3">
        <v>3.4314721320922299</v>
      </c>
    </row>
    <row r="13" spans="1:14" x14ac:dyDescent="0.35">
      <c r="A13" s="2">
        <v>42103</v>
      </c>
      <c r="B13" s="3">
        <v>4.4305089456499998</v>
      </c>
      <c r="C13" s="3">
        <v>4.5704590254176498</v>
      </c>
      <c r="D13" s="3">
        <v>2.8218430728916402</v>
      </c>
      <c r="E13" s="3">
        <v>2.6493903215846402</v>
      </c>
      <c r="F13" s="3">
        <v>1.8345480212512499</v>
      </c>
      <c r="G13" s="3">
        <v>3.0429032479464699</v>
      </c>
      <c r="H13" s="3">
        <v>3.9311677942554302</v>
      </c>
      <c r="I13" s="3">
        <v>1.25803025240049</v>
      </c>
      <c r="J13" s="3">
        <v>2.1578564827851201</v>
      </c>
      <c r="K13" s="3">
        <v>3.0987114448314199</v>
      </c>
      <c r="L13" s="3">
        <v>2.60672509132911</v>
      </c>
      <c r="M13" s="3">
        <v>3.6138022263907601</v>
      </c>
      <c r="N13" s="3">
        <v>3.0767805014235701</v>
      </c>
    </row>
    <row r="14" spans="1:14" x14ac:dyDescent="0.35">
      <c r="A14" s="2">
        <v>42132</v>
      </c>
      <c r="B14" s="3">
        <v>4.4979497626533904</v>
      </c>
      <c r="C14" s="3">
        <v>4.7682181059317301</v>
      </c>
      <c r="D14" s="3">
        <v>2.8597399369045799</v>
      </c>
      <c r="E14" s="3">
        <v>2.8329193735967002</v>
      </c>
      <c r="F14" s="3">
        <v>1.8762165620882001</v>
      </c>
      <c r="G14" s="3">
        <v>3.1188657877072798</v>
      </c>
      <c r="H14" s="3">
        <v>3.8617426325578101</v>
      </c>
      <c r="I14" s="3">
        <v>1.24649478998341</v>
      </c>
      <c r="J14" s="3">
        <v>2.1451483565735399</v>
      </c>
      <c r="K14" s="3">
        <v>3.2307337248358001</v>
      </c>
      <c r="L14" s="3">
        <v>2.7430899391467398</v>
      </c>
      <c r="M14" s="3">
        <v>3.8421826672580002</v>
      </c>
      <c r="N14" s="3">
        <v>3.1691124022687398</v>
      </c>
    </row>
    <row r="15" spans="1:14" x14ac:dyDescent="0.35">
      <c r="A15" s="2">
        <v>42164</v>
      </c>
      <c r="B15" s="3">
        <v>4.44621698958069</v>
      </c>
      <c r="C15" s="3">
        <v>4.9822211608767297</v>
      </c>
      <c r="D15" s="3">
        <v>2.9415913495917101</v>
      </c>
      <c r="E15" s="3">
        <v>3.0602562103011701</v>
      </c>
      <c r="F15" s="3">
        <v>1.8995209371513</v>
      </c>
      <c r="G15" s="3">
        <v>3.1996489380270901</v>
      </c>
      <c r="H15" s="3">
        <v>4.0544082016018796</v>
      </c>
      <c r="I15" s="3">
        <v>1.2633134108418</v>
      </c>
      <c r="J15" s="3">
        <v>2.1916745146582199</v>
      </c>
      <c r="K15" s="3">
        <v>3.39662377161281</v>
      </c>
      <c r="L15" s="3">
        <v>2.94737701436939</v>
      </c>
      <c r="M15" s="3">
        <v>3.9462984074643601</v>
      </c>
      <c r="N15" s="3">
        <v>3.3493457360365899</v>
      </c>
    </row>
    <row r="16" spans="1:14" x14ac:dyDescent="0.35">
      <c r="A16" s="2">
        <v>42194</v>
      </c>
      <c r="B16" s="3">
        <v>4.69034783871248</v>
      </c>
      <c r="C16" s="3">
        <v>4.9841300400388304</v>
      </c>
      <c r="D16" s="3">
        <v>3.0789989329970799</v>
      </c>
      <c r="E16" s="3">
        <v>3.0856828831369398</v>
      </c>
      <c r="F16" s="3">
        <v>1.9869196354621499</v>
      </c>
      <c r="G16" s="3">
        <v>3.2447062635270298</v>
      </c>
      <c r="H16" s="3">
        <v>4.2134965469698802</v>
      </c>
      <c r="I16" s="3">
        <v>1.2877506246017201</v>
      </c>
      <c r="J16" s="3">
        <v>2.22192215923008</v>
      </c>
      <c r="K16" s="3">
        <v>3.48183138751916</v>
      </c>
      <c r="L16" s="3">
        <v>2.9965039773946498</v>
      </c>
      <c r="M16" s="3">
        <v>4.0667814672691902</v>
      </c>
      <c r="N16" s="3">
        <v>3.3841391593724199</v>
      </c>
    </row>
    <row r="17" spans="1:14" x14ac:dyDescent="0.35">
      <c r="A17" s="2">
        <v>42223</v>
      </c>
      <c r="B17" s="3">
        <v>4.5961616714841398</v>
      </c>
      <c r="C17" s="3">
        <v>5.0010172377819702</v>
      </c>
      <c r="D17" s="3">
        <v>3.0972775369497501</v>
      </c>
      <c r="E17" s="3">
        <v>2.9708795453852401</v>
      </c>
      <c r="F17" s="3">
        <v>1.88174235547768</v>
      </c>
      <c r="G17" s="3">
        <v>3.12673421383482</v>
      </c>
      <c r="H17" s="3">
        <v>4.07027522685725</v>
      </c>
      <c r="I17" s="3">
        <v>1.28304718642628</v>
      </c>
      <c r="J17" s="3">
        <v>2.2225033134825698</v>
      </c>
      <c r="K17" s="3">
        <v>3.2648285260632601</v>
      </c>
      <c r="L17" s="3">
        <v>2.9896751973584599</v>
      </c>
      <c r="M17" s="3">
        <v>3.9843790095401501</v>
      </c>
      <c r="N17" s="3">
        <v>3.1029314079152899</v>
      </c>
    </row>
    <row r="18" spans="1:14" x14ac:dyDescent="0.35">
      <c r="A18" s="2">
        <v>42256</v>
      </c>
      <c r="B18" s="3">
        <v>5.1172932993992903</v>
      </c>
      <c r="C18" s="3">
        <v>5.2974023801627101</v>
      </c>
      <c r="D18" s="3">
        <v>3.2403137041021299</v>
      </c>
      <c r="E18" s="3">
        <v>3.3156676156057601</v>
      </c>
      <c r="F18" s="3">
        <v>2.1052611926636802</v>
      </c>
      <c r="G18" s="3">
        <v>3.3158924085081001</v>
      </c>
      <c r="H18" s="3">
        <v>4.4101764705601196</v>
      </c>
      <c r="I18" s="3">
        <v>1.37123901519813</v>
      </c>
      <c r="J18" s="3">
        <v>2.3906175439104</v>
      </c>
      <c r="K18" s="3">
        <v>3.6107598409622002</v>
      </c>
      <c r="L18" s="3">
        <v>3.4030794444919499</v>
      </c>
      <c r="M18" s="3">
        <v>4.2731333791651398</v>
      </c>
      <c r="N18" s="3">
        <v>3.3515997373147299</v>
      </c>
    </row>
    <row r="19" spans="1:14" x14ac:dyDescent="0.35">
      <c r="A19" s="2">
        <v>42286</v>
      </c>
      <c r="B19" s="3">
        <v>5.25610306562709</v>
      </c>
      <c r="C19" s="3">
        <v>5.1552897042727404</v>
      </c>
      <c r="D19" s="3">
        <v>3.1550501563961602</v>
      </c>
      <c r="E19" s="3">
        <v>3.3047440099960399</v>
      </c>
      <c r="F19" s="3">
        <v>2.1033070475893498</v>
      </c>
      <c r="G19" s="3">
        <v>3.34018456735464</v>
      </c>
      <c r="H19" s="3">
        <v>4.2159246806871904</v>
      </c>
      <c r="I19" s="3">
        <v>1.3388914690956</v>
      </c>
      <c r="J19" s="3">
        <v>2.3097088038473301</v>
      </c>
      <c r="K19" s="3">
        <v>3.5633729323425101</v>
      </c>
      <c r="L19" s="3">
        <v>3.4620863924617602</v>
      </c>
      <c r="M19" s="3">
        <v>4.3101516872700101</v>
      </c>
      <c r="N19" s="3">
        <v>3.5599579937008698</v>
      </c>
    </row>
    <row r="20" spans="1:14" x14ac:dyDescent="0.35">
      <c r="A20" s="2">
        <v>42317</v>
      </c>
      <c r="B20" s="3">
        <v>4.8682869256041599</v>
      </c>
      <c r="C20" s="3">
        <v>5.3663733596844896</v>
      </c>
      <c r="D20" s="3">
        <v>3.27701225381879</v>
      </c>
      <c r="E20" s="3">
        <v>3.0145768021941</v>
      </c>
      <c r="F20" s="3">
        <v>2.0145708311803698</v>
      </c>
      <c r="G20" s="3">
        <v>3.2725038052639901</v>
      </c>
      <c r="H20" s="3">
        <v>4.2813957611309803</v>
      </c>
      <c r="I20" s="3">
        <v>1.2720107902854401</v>
      </c>
      <c r="J20" s="3">
        <v>2.2673595115987899</v>
      </c>
      <c r="K20" s="3">
        <v>3.4422400789048702</v>
      </c>
      <c r="L20" s="3">
        <v>3.1877325161264198</v>
      </c>
      <c r="M20" s="3">
        <v>4.1660525891565499</v>
      </c>
      <c r="N20" s="3">
        <v>3.6359847859975498</v>
      </c>
    </row>
    <row r="21" spans="1:14" x14ac:dyDescent="0.35">
      <c r="A21" s="2">
        <v>42347</v>
      </c>
      <c r="B21" s="3">
        <v>4.8377545521194101</v>
      </c>
      <c r="C21" s="3">
        <v>5.3677151735228303</v>
      </c>
      <c r="D21" s="3">
        <v>3.4231738076952598</v>
      </c>
      <c r="E21" s="3">
        <v>3.0698070059759899</v>
      </c>
      <c r="F21" s="3">
        <v>2.0714520750154199</v>
      </c>
      <c r="G21" s="3">
        <v>3.3324241399518999</v>
      </c>
      <c r="H21" s="3">
        <v>4.3479982190420801</v>
      </c>
      <c r="I21" s="3">
        <v>1.2864469425063001</v>
      </c>
      <c r="J21" s="3">
        <v>2.29998980776594</v>
      </c>
      <c r="K21" s="3">
        <v>3.5916331752637798</v>
      </c>
      <c r="L21" s="3">
        <v>3.29548132702031</v>
      </c>
      <c r="M21" s="3">
        <v>4.3370633229432398</v>
      </c>
      <c r="N21" s="3">
        <v>3.75647122171923</v>
      </c>
    </row>
    <row r="22" spans="1:14" x14ac:dyDescent="0.35">
      <c r="A22" s="2">
        <v>42377</v>
      </c>
      <c r="B22" s="3">
        <v>4.8687940019945204</v>
      </c>
      <c r="C22" s="3">
        <v>5.4611894413866304</v>
      </c>
      <c r="D22" s="3">
        <v>3.53317833530462</v>
      </c>
      <c r="E22" s="3">
        <v>3.3108190546449001</v>
      </c>
      <c r="F22" s="3">
        <v>2.25240336398616</v>
      </c>
      <c r="G22" s="3">
        <v>3.48936491368698</v>
      </c>
      <c r="H22" s="3">
        <v>4.5680955802656404</v>
      </c>
      <c r="I22" s="3">
        <v>1.3572659859940199</v>
      </c>
      <c r="J22" s="3">
        <v>2.4661001995162999</v>
      </c>
      <c r="K22" s="3">
        <v>3.8430289817446401</v>
      </c>
      <c r="L22" s="3">
        <v>3.33034751755042</v>
      </c>
      <c r="M22" s="3">
        <v>4.6036225173444203</v>
      </c>
      <c r="N22" s="3">
        <v>4.14061568249448</v>
      </c>
    </row>
    <row r="23" spans="1:14" x14ac:dyDescent="0.35">
      <c r="A23" s="2">
        <v>42409</v>
      </c>
      <c r="B23" s="3">
        <v>4.9199244894362497</v>
      </c>
      <c r="C23" s="3">
        <v>5.3127044757730104</v>
      </c>
      <c r="D23" s="3">
        <v>3.5266004530584398</v>
      </c>
      <c r="E23" s="3">
        <v>3.69541642855771</v>
      </c>
      <c r="F23" s="3">
        <v>2.5073907489562401</v>
      </c>
      <c r="G23" s="3">
        <v>3.66889068341432</v>
      </c>
      <c r="H23" s="3">
        <v>4.7580729599831404</v>
      </c>
      <c r="I23" s="3">
        <v>1.49050316831068</v>
      </c>
      <c r="J23" s="3">
        <v>2.4518202590146898</v>
      </c>
      <c r="K23" s="3">
        <v>4.1257271175937298</v>
      </c>
      <c r="L23" s="3">
        <v>3.6298713225179502</v>
      </c>
      <c r="M23" s="3">
        <v>4.7108806811885202</v>
      </c>
      <c r="N23" s="3">
        <v>5.0707991220799604</v>
      </c>
    </row>
    <row r="24" spans="1:14" x14ac:dyDescent="0.35">
      <c r="A24" s="2">
        <v>42438</v>
      </c>
      <c r="B24" s="3">
        <v>4.7157022076602502</v>
      </c>
      <c r="C24" s="3">
        <v>4.73593163150686</v>
      </c>
      <c r="D24" s="3">
        <v>3.1663884092450898</v>
      </c>
      <c r="E24" s="3">
        <v>3.3850532639262898</v>
      </c>
      <c r="F24" s="3">
        <v>2.4111143739193102</v>
      </c>
      <c r="G24" s="3">
        <v>3.4949551008525201</v>
      </c>
      <c r="H24" s="3">
        <v>4.3835249197836097</v>
      </c>
      <c r="I24" s="3">
        <v>1.3887919789938701</v>
      </c>
      <c r="J24" s="3">
        <v>2.4751977345461702</v>
      </c>
      <c r="K24" s="3">
        <v>3.75951638797555</v>
      </c>
      <c r="L24" s="3">
        <v>3.3265791587156599</v>
      </c>
      <c r="M24" s="3">
        <v>4.3063578543166399</v>
      </c>
      <c r="N24" s="3">
        <v>4.3506585587732696</v>
      </c>
    </row>
    <row r="25" spans="1:14" x14ac:dyDescent="0.35">
      <c r="A25" s="2">
        <v>42468</v>
      </c>
      <c r="B25" s="3">
        <v>4.5678618768205501</v>
      </c>
      <c r="C25" s="3">
        <v>5.0000783642359297</v>
      </c>
      <c r="D25" s="3">
        <v>3.1818577176448102</v>
      </c>
      <c r="E25" s="3">
        <v>3.4090693814605002</v>
      </c>
      <c r="F25" s="3">
        <v>2.5064808424046401</v>
      </c>
      <c r="G25" s="3">
        <v>3.53921875150355</v>
      </c>
      <c r="H25" s="3">
        <v>4.3632449875150598</v>
      </c>
      <c r="I25" s="3">
        <v>1.3378320142356199</v>
      </c>
      <c r="J25" s="3">
        <v>2.2917987413403398</v>
      </c>
      <c r="K25" s="3">
        <v>3.8392086825825298</v>
      </c>
      <c r="L25" s="3">
        <v>3.37669772482865</v>
      </c>
      <c r="M25" s="3">
        <v>4.3952333294386703</v>
      </c>
      <c r="N25" s="3">
        <v>4.5829404350719702</v>
      </c>
    </row>
    <row r="26" spans="1:14" x14ac:dyDescent="0.35">
      <c r="A26" s="2">
        <v>42499</v>
      </c>
      <c r="B26" s="3">
        <v>4.5253134465455496</v>
      </c>
      <c r="C26" s="3">
        <v>4.5961104972693496</v>
      </c>
      <c r="D26" s="3">
        <v>3.1520064933563701</v>
      </c>
      <c r="E26" s="3">
        <v>3.3408179959508799</v>
      </c>
      <c r="F26" s="3">
        <v>2.4520420048335501</v>
      </c>
      <c r="G26" s="3">
        <v>3.5786080797923199</v>
      </c>
      <c r="H26" s="3">
        <v>4.3915451303789999</v>
      </c>
      <c r="I26" s="3">
        <v>1.3935582644884701</v>
      </c>
      <c r="J26" s="3">
        <v>2.2927014117324598</v>
      </c>
      <c r="K26" s="3">
        <v>3.8094856370422399</v>
      </c>
      <c r="L26" s="3">
        <v>3.4234747242815602</v>
      </c>
      <c r="M26" s="3">
        <v>4.41767135374233</v>
      </c>
      <c r="N26" s="3">
        <v>4.5611451581845603</v>
      </c>
    </row>
    <row r="27" spans="1:14" x14ac:dyDescent="0.35">
      <c r="A27" s="2">
        <v>42530</v>
      </c>
      <c r="B27" s="3">
        <v>4.3652919574816096</v>
      </c>
      <c r="C27" s="3">
        <v>4.5625080543043799</v>
      </c>
      <c r="D27" s="3">
        <v>3.02144193138342</v>
      </c>
      <c r="E27" s="3">
        <v>3.3333972597267301</v>
      </c>
      <c r="F27" s="3">
        <v>2.3660665487983898</v>
      </c>
      <c r="G27" s="3">
        <v>3.4847831754409602</v>
      </c>
      <c r="H27" s="3">
        <v>4.2881489961046002</v>
      </c>
      <c r="I27" s="3">
        <v>1.3461552353213899</v>
      </c>
      <c r="J27" s="3">
        <v>2.2555335798331702</v>
      </c>
      <c r="K27" s="3">
        <v>3.7604907866071802</v>
      </c>
      <c r="L27" s="3">
        <v>3.1885337755162602</v>
      </c>
      <c r="M27" s="3">
        <v>4.4526651229249001</v>
      </c>
      <c r="N27" s="3">
        <v>4.6184645917846998</v>
      </c>
    </row>
    <row r="28" spans="1:14" x14ac:dyDescent="0.35">
      <c r="A28" s="2">
        <v>42559</v>
      </c>
      <c r="B28" s="3">
        <v>4.3483130523914602</v>
      </c>
      <c r="C28" s="3">
        <v>4.6968500275617204</v>
      </c>
      <c r="D28" s="3">
        <v>3.0471929614728999</v>
      </c>
      <c r="E28" s="3">
        <v>3.50170641485408</v>
      </c>
      <c r="F28" s="3">
        <v>2.6083601718160501</v>
      </c>
      <c r="G28" s="3">
        <v>3.5623870321956099</v>
      </c>
      <c r="H28" s="3">
        <v>4.24241830931427</v>
      </c>
      <c r="I28" s="3">
        <v>1.3341385750911099</v>
      </c>
      <c r="J28" s="3">
        <v>2.24878536754114</v>
      </c>
      <c r="K28" s="3">
        <v>3.9487065837710098</v>
      </c>
      <c r="L28" s="3">
        <v>3.3538626822397499</v>
      </c>
      <c r="M28" s="3">
        <v>4.5071894874951397</v>
      </c>
      <c r="N28" s="3">
        <v>5.0236299961076503</v>
      </c>
    </row>
    <row r="29" spans="1:14" x14ac:dyDescent="0.35">
      <c r="A29" s="2">
        <v>42591</v>
      </c>
      <c r="B29" s="3">
        <v>4.1422588976575803</v>
      </c>
      <c r="C29" s="3">
        <v>4.4337511013186903</v>
      </c>
      <c r="D29" s="3">
        <v>2.9335488221724799</v>
      </c>
      <c r="E29" s="3">
        <v>3.1529256149845399</v>
      </c>
      <c r="F29" s="3">
        <v>2.3882341414574899</v>
      </c>
      <c r="G29" s="3">
        <v>3.4558541124476698</v>
      </c>
      <c r="H29" s="3">
        <v>4.0869521335126802</v>
      </c>
      <c r="I29" s="3">
        <v>1.2777483336292501</v>
      </c>
      <c r="J29" s="3">
        <v>2.2045970080380899</v>
      </c>
      <c r="K29" s="3">
        <v>3.71411466426916</v>
      </c>
      <c r="L29" s="3">
        <v>3.1512707064711001</v>
      </c>
      <c r="M29" s="3">
        <v>4.2250183564722796</v>
      </c>
      <c r="N29" s="3">
        <v>4.7428369720100996</v>
      </c>
    </row>
    <row r="30" spans="1:14" x14ac:dyDescent="0.35">
      <c r="A30" s="2">
        <v>42622</v>
      </c>
      <c r="B30" s="3">
        <v>4.1503589274878303</v>
      </c>
      <c r="C30" s="3">
        <v>4.6205031078713503</v>
      </c>
      <c r="D30" s="3">
        <v>2.98454648841571</v>
      </c>
      <c r="E30" s="3">
        <v>3.1846259917613899</v>
      </c>
      <c r="F30" s="3">
        <v>2.34644872613198</v>
      </c>
      <c r="G30" s="3">
        <v>3.4483318970418</v>
      </c>
      <c r="H30" s="3">
        <v>4.1605879941920696</v>
      </c>
      <c r="I30" s="3">
        <v>1.31642251813892</v>
      </c>
      <c r="J30" s="3">
        <v>2.2631754895949201</v>
      </c>
      <c r="K30" s="3">
        <v>3.6855396281123101</v>
      </c>
      <c r="L30" s="3">
        <v>3.1553595598421502</v>
      </c>
      <c r="M30" s="3">
        <v>4.2212904624640899</v>
      </c>
      <c r="N30" s="3">
        <v>4.7194869864076896</v>
      </c>
    </row>
    <row r="31" spans="1:14" x14ac:dyDescent="0.35">
      <c r="A31" s="2">
        <v>42650</v>
      </c>
      <c r="B31" s="3">
        <v>4.4371639690399096</v>
      </c>
      <c r="C31" s="3">
        <v>4.5181620744804301</v>
      </c>
      <c r="D31" s="3">
        <v>2.96201671253618</v>
      </c>
      <c r="E31" s="3">
        <v>3.1676629597191801</v>
      </c>
      <c r="F31" s="3">
        <v>2.3591752826499199</v>
      </c>
      <c r="G31" s="3">
        <v>3.5196555556670299</v>
      </c>
      <c r="H31" s="3">
        <v>4.1954117421887203</v>
      </c>
      <c r="I31" s="3">
        <v>1.2636749259200499</v>
      </c>
      <c r="J31" s="3">
        <v>2.2364780056081801</v>
      </c>
      <c r="K31" s="3">
        <v>3.7488215119158901</v>
      </c>
      <c r="L31" s="3">
        <v>3.13087405220565</v>
      </c>
      <c r="M31" s="3">
        <v>4.1557065206819699</v>
      </c>
      <c r="N31" s="3">
        <v>4.9837062843460904</v>
      </c>
    </row>
    <row r="32" spans="1:14" x14ac:dyDescent="0.35">
      <c r="A32" s="2">
        <v>42683</v>
      </c>
      <c r="B32" s="3">
        <v>4.7874417780491596</v>
      </c>
      <c r="C32" s="3">
        <v>4.8009493936563103</v>
      </c>
      <c r="D32" s="3">
        <v>2.9381200057661201</v>
      </c>
      <c r="E32" s="3">
        <v>3.1792341087891902</v>
      </c>
      <c r="F32" s="3">
        <v>2.4760926722895502</v>
      </c>
      <c r="G32" s="3">
        <v>3.60704839437971</v>
      </c>
      <c r="H32" s="3">
        <v>4.3490001392746596</v>
      </c>
      <c r="I32" s="3">
        <v>1.2881709959780401</v>
      </c>
      <c r="J32" s="3">
        <v>2.2410570199733901</v>
      </c>
      <c r="K32" s="3">
        <v>3.68577135476994</v>
      </c>
      <c r="L32" s="3">
        <v>3.1553504306552198</v>
      </c>
      <c r="M32" s="3">
        <v>4.0937552102525396</v>
      </c>
      <c r="N32" s="3">
        <v>4.7991723617766704</v>
      </c>
    </row>
    <row r="33" spans="1:14" x14ac:dyDescent="0.35">
      <c r="A33" s="2">
        <v>42713</v>
      </c>
      <c r="B33" s="3">
        <v>4.6078893654269004</v>
      </c>
      <c r="C33" s="3">
        <v>4.5290890574088696</v>
      </c>
      <c r="D33" s="3">
        <v>2.8336727189192699</v>
      </c>
      <c r="E33" s="3">
        <v>3.0388274934947002</v>
      </c>
      <c r="F33" s="3">
        <v>2.1008705476222902</v>
      </c>
      <c r="G33" s="3">
        <v>3.5978337402602798</v>
      </c>
      <c r="H33" s="3">
        <v>4.3294080662077796</v>
      </c>
      <c r="I33" s="3">
        <v>1.2868140146648199</v>
      </c>
      <c r="J33" s="3">
        <v>2.1628905059160499</v>
      </c>
      <c r="K33" s="3">
        <v>3.5387359039136501</v>
      </c>
      <c r="L33" s="3">
        <v>3.04139651137152</v>
      </c>
      <c r="M33" s="3">
        <v>3.8795934791461</v>
      </c>
      <c r="N33" s="3">
        <v>4.5355066729458704</v>
      </c>
    </row>
    <row r="34" spans="1:14" x14ac:dyDescent="0.35">
      <c r="A34" s="2">
        <v>42744</v>
      </c>
      <c r="B34" s="3">
        <v>4.5340983265846697</v>
      </c>
      <c r="C34" s="3">
        <v>4.4158435587405096</v>
      </c>
      <c r="D34" s="3">
        <v>2.8349796912929999</v>
      </c>
      <c r="E34" s="3">
        <v>2.95648934951892</v>
      </c>
      <c r="F34" s="3">
        <v>2.0832899388872099</v>
      </c>
      <c r="G34" s="3">
        <v>3.4804099118661602</v>
      </c>
      <c r="H34" s="3">
        <v>4.2574342517880499</v>
      </c>
      <c r="I34" s="3">
        <v>1.2619906152774001</v>
      </c>
      <c r="J34" s="3">
        <v>2.1632679536737398</v>
      </c>
      <c r="K34" s="3">
        <v>3.4506561373515998</v>
      </c>
      <c r="L34" s="3">
        <v>2.9547811334357301</v>
      </c>
      <c r="M34" s="3">
        <v>3.9202118239950599</v>
      </c>
      <c r="N34" s="3">
        <v>4.3232462884425997</v>
      </c>
    </row>
    <row r="35" spans="1:14" x14ac:dyDescent="0.35">
      <c r="A35" s="2">
        <v>42775</v>
      </c>
      <c r="B35" s="3">
        <v>4.5040407466462096</v>
      </c>
      <c r="C35" s="3">
        <v>4.5730093421985698</v>
      </c>
      <c r="D35" s="3">
        <v>2.8176694911917699</v>
      </c>
      <c r="E35" s="3">
        <v>2.9813928639781899</v>
      </c>
      <c r="F35" s="3">
        <v>2.1710777857325501</v>
      </c>
      <c r="G35" s="3">
        <v>3.42337424387935</v>
      </c>
      <c r="H35" s="3">
        <v>4.2686811393884998</v>
      </c>
      <c r="I35" s="3">
        <v>1.24319304729798</v>
      </c>
      <c r="J35" s="3">
        <v>2.1479434658009402</v>
      </c>
      <c r="K35" s="3">
        <v>3.4944123812378098</v>
      </c>
      <c r="L35" s="3">
        <v>2.90973775564551</v>
      </c>
      <c r="M35" s="3">
        <v>3.67359804229765</v>
      </c>
      <c r="N35" s="3">
        <v>4.4249849438184601</v>
      </c>
    </row>
    <row r="36" spans="1:14" x14ac:dyDescent="0.35">
      <c r="A36" s="2">
        <v>42803</v>
      </c>
      <c r="B36" s="3">
        <v>4.5842560020746799</v>
      </c>
      <c r="C36" s="3">
        <v>4.5613709126314896</v>
      </c>
      <c r="D36" s="3">
        <v>2.89892528011148</v>
      </c>
      <c r="E36" s="3">
        <v>2.9525947468795102</v>
      </c>
      <c r="F36" s="3">
        <v>2.1464332643528001</v>
      </c>
      <c r="G36" s="3">
        <v>3.3664497348735498</v>
      </c>
      <c r="H36" s="3">
        <v>4.3462084778182204</v>
      </c>
      <c r="I36" s="3">
        <v>1.2196700431746099</v>
      </c>
      <c r="J36" s="3">
        <v>2.10755026954094</v>
      </c>
      <c r="K36" s="3">
        <v>3.4394172975894</v>
      </c>
      <c r="L36" s="3">
        <v>2.7908365463389901</v>
      </c>
      <c r="M36" s="3">
        <v>3.6320494099762999</v>
      </c>
      <c r="N36" s="3">
        <v>4.08284532637557</v>
      </c>
    </row>
    <row r="37" spans="1:14" x14ac:dyDescent="0.35">
      <c r="A37" s="2">
        <v>42832</v>
      </c>
      <c r="B37" s="3">
        <v>4.5428165973401704</v>
      </c>
      <c r="C37" s="3">
        <v>4.5322578593306098</v>
      </c>
      <c r="D37" s="3">
        <v>2.9024716511999999</v>
      </c>
      <c r="E37" s="3">
        <v>2.91301374575283</v>
      </c>
      <c r="F37" s="3">
        <v>2.25706014424334</v>
      </c>
      <c r="G37" s="3">
        <v>3.4308780624058302</v>
      </c>
      <c r="H37" s="3">
        <v>4.34217466815082</v>
      </c>
      <c r="I37" s="3">
        <v>1.2135275374200201</v>
      </c>
      <c r="J37" s="3">
        <v>2.1240980954712998</v>
      </c>
      <c r="K37" s="3">
        <v>3.3436064857415202</v>
      </c>
      <c r="L37" s="3">
        <v>2.7699382461411601</v>
      </c>
      <c r="M37" s="3">
        <v>3.66103139069368</v>
      </c>
      <c r="N37" s="3">
        <v>3.9448732002126001</v>
      </c>
    </row>
    <row r="38" spans="1:14" x14ac:dyDescent="0.35">
      <c r="A38" s="2">
        <v>42864</v>
      </c>
      <c r="B38" s="3">
        <v>4.4681035306602901</v>
      </c>
      <c r="C38" s="3">
        <v>4.5815880187068396</v>
      </c>
      <c r="D38" s="3">
        <v>2.9422555567696902</v>
      </c>
      <c r="E38" s="3">
        <v>2.8546194269796898</v>
      </c>
      <c r="F38" s="3">
        <v>2.1515557210584002</v>
      </c>
      <c r="G38" s="3">
        <v>3.2980047803394901</v>
      </c>
      <c r="H38" s="3">
        <v>4.2978379147694703</v>
      </c>
      <c r="I38" s="3">
        <v>1.1740178807056101</v>
      </c>
      <c r="J38" s="3">
        <v>2.10252080750625</v>
      </c>
      <c r="K38" s="3">
        <v>3.19522388626857</v>
      </c>
      <c r="L38" s="3">
        <v>2.6800527056885302</v>
      </c>
      <c r="M38" s="3">
        <v>3.4894537017704601</v>
      </c>
      <c r="N38" s="3">
        <v>3.7631833133691499</v>
      </c>
    </row>
    <row r="39" spans="1:14" x14ac:dyDescent="0.35">
      <c r="A39" s="2">
        <v>42895</v>
      </c>
      <c r="B39" s="3">
        <v>4.4598393393556801</v>
      </c>
      <c r="C39" s="3">
        <v>4.6941197291704704</v>
      </c>
      <c r="D39" s="3">
        <v>2.9769386552952599</v>
      </c>
      <c r="E39" s="3">
        <v>2.9050955420522002</v>
      </c>
      <c r="F39" s="3">
        <v>2.1754745053292401</v>
      </c>
      <c r="G39" s="3">
        <v>3.3523527457648399</v>
      </c>
      <c r="H39" s="3">
        <v>4.2551061588346899</v>
      </c>
      <c r="I39" s="3">
        <v>1.1712495905960101</v>
      </c>
      <c r="J39" s="3">
        <v>2.08510706554299</v>
      </c>
      <c r="K39" s="3">
        <v>3.2590683370733702</v>
      </c>
      <c r="L39" s="3">
        <v>2.7011164576511901</v>
      </c>
      <c r="M39" s="3">
        <v>3.5303843169262099</v>
      </c>
      <c r="N39" s="3">
        <v>3.7589785943263601</v>
      </c>
    </row>
    <row r="40" spans="1:14" x14ac:dyDescent="0.35">
      <c r="A40" s="2">
        <v>42923</v>
      </c>
      <c r="B40" s="3">
        <v>4.4021572600530803</v>
      </c>
      <c r="C40" s="3">
        <v>4.6441877785003403</v>
      </c>
      <c r="D40" s="3">
        <v>3.0763998121079901</v>
      </c>
      <c r="E40" s="3">
        <v>3.0230119790945502</v>
      </c>
      <c r="F40" s="3">
        <v>2.1763619084413199</v>
      </c>
      <c r="G40" s="3">
        <v>3.3047313345773199</v>
      </c>
      <c r="H40" s="3">
        <v>4.3430067919961903</v>
      </c>
      <c r="I40" s="3">
        <v>1.21448990076791</v>
      </c>
      <c r="J40" s="3">
        <v>2.1150891866672099</v>
      </c>
      <c r="K40" s="3">
        <v>3.38781681109444</v>
      </c>
      <c r="L40" s="3">
        <v>2.8206009519333999</v>
      </c>
      <c r="M40" s="3">
        <v>3.5840085642100399</v>
      </c>
      <c r="N40" s="3">
        <v>3.8307421128027599</v>
      </c>
    </row>
    <row r="41" spans="1:14" x14ac:dyDescent="0.35">
      <c r="A41" s="2">
        <v>42956</v>
      </c>
      <c r="B41" s="3">
        <v>4.3367786217075297</v>
      </c>
      <c r="C41" s="3">
        <v>4.5748999738831104</v>
      </c>
      <c r="D41" s="3">
        <v>3.0297168243397201</v>
      </c>
      <c r="E41" s="3">
        <v>3.09082511145707</v>
      </c>
      <c r="F41" s="3">
        <v>2.1847202661508902</v>
      </c>
      <c r="G41" s="3">
        <v>3.2896149716694199</v>
      </c>
      <c r="H41" s="3">
        <v>4.2469065584700498</v>
      </c>
      <c r="I41" s="3">
        <v>1.17084751161823</v>
      </c>
      <c r="J41" s="3">
        <v>2.0868286831343101</v>
      </c>
      <c r="K41" s="3">
        <v>3.3892303802517998</v>
      </c>
      <c r="L41" s="3">
        <v>2.7675289542303099</v>
      </c>
      <c r="M41" s="3">
        <v>3.6939579807190901</v>
      </c>
      <c r="N41" s="3">
        <v>3.74140385178963</v>
      </c>
    </row>
    <row r="42" spans="1:14" x14ac:dyDescent="0.35">
      <c r="A42" s="2">
        <v>42986</v>
      </c>
      <c r="B42" s="3">
        <v>4.3716332364446</v>
      </c>
      <c r="C42" s="3">
        <v>4.6184635962608196</v>
      </c>
      <c r="D42" s="3">
        <v>3.1165957365283301</v>
      </c>
      <c r="E42" s="3">
        <v>3.0992730488700402</v>
      </c>
      <c r="F42" s="3">
        <v>2.2520499651206798</v>
      </c>
      <c r="G42" s="3">
        <v>3.3105796007769399</v>
      </c>
      <c r="H42" s="3">
        <v>4.3220849364429004</v>
      </c>
      <c r="I42" s="3">
        <v>1.1748395587713401</v>
      </c>
      <c r="J42" s="3">
        <v>2.1069394341008199</v>
      </c>
      <c r="K42" s="3">
        <v>3.4009971137358499</v>
      </c>
      <c r="L42" s="3">
        <v>2.8712593692757098</v>
      </c>
      <c r="M42" s="3">
        <v>3.7612823932564798</v>
      </c>
      <c r="N42" s="3">
        <v>3.7808109172432802</v>
      </c>
    </row>
    <row r="43" spans="1:14" x14ac:dyDescent="0.35">
      <c r="A43" s="2">
        <v>43017</v>
      </c>
      <c r="B43" s="3">
        <v>4.3948812495044596</v>
      </c>
      <c r="C43" s="3">
        <v>4.5960563339289697</v>
      </c>
      <c r="D43" s="3">
        <v>2.96486053891753</v>
      </c>
      <c r="E43" s="3">
        <v>2.95773463031344</v>
      </c>
      <c r="F43" s="3">
        <v>2.1495821983357</v>
      </c>
      <c r="G43" s="3">
        <v>3.24753206770318</v>
      </c>
      <c r="H43" s="3">
        <v>4.27662127355143</v>
      </c>
      <c r="I43" s="3">
        <v>1.14840768290391</v>
      </c>
      <c r="J43" s="3">
        <v>2.0433664187898102</v>
      </c>
      <c r="K43" s="3">
        <v>3.2868563869186702</v>
      </c>
      <c r="L43" s="3">
        <v>2.7722463723677899</v>
      </c>
      <c r="M43" s="3">
        <v>3.5425171513429401</v>
      </c>
      <c r="N43" s="3">
        <v>3.7897701325389002</v>
      </c>
    </row>
    <row r="44" spans="1:14" x14ac:dyDescent="0.35">
      <c r="A44" s="2">
        <v>43048</v>
      </c>
      <c r="B44" s="3">
        <v>4.4253964732249003</v>
      </c>
      <c r="C44" s="3">
        <v>4.4012668161449602</v>
      </c>
      <c r="D44" s="3">
        <v>2.90237094828493</v>
      </c>
      <c r="E44" s="3">
        <v>2.91092740042349</v>
      </c>
      <c r="F44" s="3">
        <v>2.0223497548477201</v>
      </c>
      <c r="G44" s="3">
        <v>3.2797850511830098</v>
      </c>
      <c r="H44" s="3">
        <v>4.3311603094109898</v>
      </c>
      <c r="I44" s="3">
        <v>1.11214552940585</v>
      </c>
      <c r="J44" s="3">
        <v>2.03025356647013</v>
      </c>
      <c r="K44" s="3">
        <v>3.2924412097859701</v>
      </c>
      <c r="L44" s="3">
        <v>2.7854363619806</v>
      </c>
      <c r="M44" s="3">
        <v>3.58410027579861</v>
      </c>
      <c r="N44" s="3">
        <v>3.8018178536293399</v>
      </c>
    </row>
    <row r="45" spans="1:14" x14ac:dyDescent="0.35">
      <c r="A45" s="2">
        <v>43077</v>
      </c>
      <c r="B45" s="3">
        <v>4.3239591312580004</v>
      </c>
      <c r="C45" s="3">
        <v>4.5083598672426799</v>
      </c>
      <c r="D45" s="3">
        <v>2.9088386390292702</v>
      </c>
      <c r="E45" s="3">
        <v>2.8966765869245399</v>
      </c>
      <c r="F45" s="3">
        <v>2.06481417274468</v>
      </c>
      <c r="G45" s="3">
        <v>3.2415631031623802</v>
      </c>
      <c r="H45" s="3">
        <v>4.3652518856230902</v>
      </c>
      <c r="I45" s="3">
        <v>1.11532720407803</v>
      </c>
      <c r="J45" s="3">
        <v>1.97191508709743</v>
      </c>
      <c r="K45" s="3">
        <v>3.2662428176412899</v>
      </c>
      <c r="L45" s="3">
        <v>2.82185326854052</v>
      </c>
      <c r="M45" s="3">
        <v>3.6896770311068399</v>
      </c>
      <c r="N45" s="3">
        <v>3.8149336407562502</v>
      </c>
    </row>
    <row r="46" spans="1:14" x14ac:dyDescent="0.35">
      <c r="A46" s="2">
        <v>43109</v>
      </c>
      <c r="B46" s="3">
        <v>4.2023687328019799</v>
      </c>
      <c r="C46" s="3">
        <v>4.4133836043493</v>
      </c>
      <c r="D46" s="3">
        <v>2.8932487157216902</v>
      </c>
      <c r="E46" s="3">
        <v>2.8523836472920898</v>
      </c>
      <c r="F46" s="3">
        <v>1.98029232041173</v>
      </c>
      <c r="G46" s="3">
        <v>3.1544147821875002</v>
      </c>
      <c r="H46" s="3">
        <v>4.1785403794637199</v>
      </c>
      <c r="I46" s="3">
        <v>1.0575047937689399</v>
      </c>
      <c r="J46" s="3">
        <v>1.9119568834818501</v>
      </c>
      <c r="K46" s="3">
        <v>3.2070249663080301</v>
      </c>
      <c r="L46" s="3">
        <v>2.7765357739658101</v>
      </c>
      <c r="M46" s="3">
        <v>3.6321335331130098</v>
      </c>
      <c r="N46" s="3">
        <v>3.82497114814691</v>
      </c>
    </row>
    <row r="47" spans="1:14" x14ac:dyDescent="0.35">
      <c r="A47" s="2">
        <v>43140</v>
      </c>
      <c r="B47" s="3">
        <v>4.56959119117219</v>
      </c>
      <c r="C47" s="3">
        <v>4.69933442738275</v>
      </c>
      <c r="D47" s="3">
        <v>3.1788995062432699</v>
      </c>
      <c r="E47" s="3">
        <v>3.1995050472628401</v>
      </c>
      <c r="F47" s="3">
        <v>2.1998108020825602</v>
      </c>
      <c r="G47" s="3">
        <v>3.4658549924693598</v>
      </c>
      <c r="H47" s="3">
        <v>4.5264876281874198</v>
      </c>
      <c r="I47" s="3">
        <v>1.12646340323705</v>
      </c>
      <c r="J47" s="3">
        <v>2.0390592771745002</v>
      </c>
      <c r="K47" s="3">
        <v>3.5006775932964498</v>
      </c>
      <c r="L47" s="3">
        <v>2.9942815518622101</v>
      </c>
      <c r="M47" s="3">
        <v>4.0255692611866598</v>
      </c>
      <c r="N47" s="3">
        <v>4.0296985547953001</v>
      </c>
    </row>
    <row r="48" spans="1:14" x14ac:dyDescent="0.35">
      <c r="A48" s="2">
        <v>43168</v>
      </c>
      <c r="B48" s="3">
        <v>4.2123106214898796</v>
      </c>
      <c r="C48" s="3">
        <v>4.6465649673457197</v>
      </c>
      <c r="D48" s="3">
        <v>3.1324454970368398</v>
      </c>
      <c r="E48" s="3">
        <v>3.14791412114316</v>
      </c>
      <c r="F48" s="3">
        <v>2.2567325470921</v>
      </c>
      <c r="G48" s="3">
        <v>3.4171061937060498</v>
      </c>
      <c r="H48" s="3">
        <v>4.4657534601630298</v>
      </c>
      <c r="I48" s="3">
        <v>1.0310229614611099</v>
      </c>
      <c r="J48" s="3">
        <v>1.9400306374887799</v>
      </c>
      <c r="K48" s="3">
        <v>3.3831862399343802</v>
      </c>
      <c r="L48" s="3">
        <v>2.9074005252661599</v>
      </c>
      <c r="M48" s="3">
        <v>3.8373338303506199</v>
      </c>
      <c r="N48" s="3">
        <v>4.0024374941438898</v>
      </c>
    </row>
    <row r="49" spans="1:14" x14ac:dyDescent="0.35">
      <c r="A49" s="2">
        <v>43199</v>
      </c>
      <c r="B49" s="3">
        <v>4.2352521465621997</v>
      </c>
      <c r="C49" s="3">
        <v>4.7978510509148702</v>
      </c>
      <c r="D49" s="3">
        <v>3.2199356682520999</v>
      </c>
      <c r="E49" s="3">
        <v>3.2271250136581</v>
      </c>
      <c r="F49" s="3">
        <v>2.26316739765273</v>
      </c>
      <c r="G49" s="3">
        <v>3.5080247776801499</v>
      </c>
      <c r="H49" s="3">
        <v>4.4727134345831203</v>
      </c>
      <c r="I49" s="3">
        <v>1.14539041198831</v>
      </c>
      <c r="J49" s="3">
        <v>2.0850754468791801</v>
      </c>
      <c r="K49" s="3">
        <v>3.4160044533844198</v>
      </c>
      <c r="L49" s="3">
        <v>2.9595564095279698</v>
      </c>
      <c r="M49" s="3">
        <v>4.1377390268571901</v>
      </c>
      <c r="N49" s="3">
        <v>3.9988476255718401</v>
      </c>
    </row>
    <row r="50" spans="1:14" x14ac:dyDescent="0.35">
      <c r="A50" s="2">
        <v>43229</v>
      </c>
      <c r="B50" s="3">
        <v>4.1898456394030603</v>
      </c>
      <c r="C50" s="3">
        <v>4.6240650291309304</v>
      </c>
      <c r="D50" s="3">
        <v>3.0965612714379001</v>
      </c>
      <c r="E50" s="3">
        <v>3.0951271737735602</v>
      </c>
      <c r="F50" s="3">
        <v>2.2200189517608799</v>
      </c>
      <c r="G50" s="3">
        <v>3.4343448826315299</v>
      </c>
      <c r="H50" s="3">
        <v>4.2902006620018698</v>
      </c>
      <c r="I50" s="3">
        <v>1.09175585079143</v>
      </c>
      <c r="J50" s="3">
        <v>2.0417012258769298</v>
      </c>
      <c r="K50" s="3">
        <v>3.2944849741524802</v>
      </c>
      <c r="L50" s="3">
        <v>2.9090034806374598</v>
      </c>
      <c r="M50" s="3">
        <v>3.9488764357766799</v>
      </c>
      <c r="N50" s="3">
        <v>3.8716344069280102</v>
      </c>
    </row>
    <row r="51" spans="1:14" x14ac:dyDescent="0.35">
      <c r="A51" s="2">
        <v>43259</v>
      </c>
      <c r="B51" s="3">
        <v>4.0287613600188603</v>
      </c>
      <c r="C51" s="3">
        <v>4.7309522319428003</v>
      </c>
      <c r="D51" s="3">
        <v>3.0696468217045201</v>
      </c>
      <c r="E51" s="3">
        <v>3.1522869404634899</v>
      </c>
      <c r="F51" s="3">
        <v>2.23228407234798</v>
      </c>
      <c r="G51" s="3">
        <v>3.5836375954795998</v>
      </c>
      <c r="H51" s="3">
        <v>4.3409874175098802</v>
      </c>
      <c r="I51" s="3">
        <v>1.0579009426553201</v>
      </c>
      <c r="J51" s="3">
        <v>1.9922483879355799</v>
      </c>
      <c r="K51" s="3">
        <v>3.3756005802576898</v>
      </c>
      <c r="L51" s="3">
        <v>2.8702865480363098</v>
      </c>
      <c r="M51" s="3">
        <v>4.1112686665814202</v>
      </c>
      <c r="N51" s="3">
        <v>4.5232763086799501</v>
      </c>
    </row>
    <row r="52" spans="1:14" x14ac:dyDescent="0.35">
      <c r="A52" s="2">
        <v>43290</v>
      </c>
      <c r="B52" s="3">
        <v>4.0248248025644102</v>
      </c>
      <c r="C52" s="3">
        <v>4.5353888939182996</v>
      </c>
      <c r="D52" s="3">
        <v>3.0427355974210601</v>
      </c>
      <c r="E52" s="3">
        <v>3.21468382465057</v>
      </c>
      <c r="F52" s="3">
        <v>2.3271087823952601</v>
      </c>
      <c r="G52" s="3">
        <v>3.49531009342396</v>
      </c>
      <c r="H52" s="3">
        <v>4.3742869567116598</v>
      </c>
      <c r="I52" s="3">
        <v>1.0439507483811501</v>
      </c>
      <c r="J52" s="3">
        <v>2.0123118857879998</v>
      </c>
      <c r="K52" s="3">
        <v>3.41382970155257</v>
      </c>
      <c r="L52" s="3">
        <v>2.94977583317162</v>
      </c>
      <c r="M52" s="3">
        <v>4.1776231954999101</v>
      </c>
      <c r="N52" s="3">
        <v>4.4217071875554499</v>
      </c>
    </row>
    <row r="53" spans="1:14" x14ac:dyDescent="0.35">
      <c r="A53" s="2">
        <v>43321</v>
      </c>
      <c r="B53" s="3">
        <v>4.0962798405220902</v>
      </c>
      <c r="C53" s="3">
        <v>4.5691844003124</v>
      </c>
      <c r="D53" s="3">
        <v>3.0637666851229199</v>
      </c>
      <c r="E53" s="3">
        <v>3.18799125550097</v>
      </c>
      <c r="F53" s="3">
        <v>2.3013086841944199</v>
      </c>
      <c r="G53" s="3">
        <v>3.3762750206330399</v>
      </c>
      <c r="H53" s="3">
        <v>4.3991341869248304</v>
      </c>
      <c r="I53" s="3">
        <v>1.07017403241694</v>
      </c>
      <c r="J53" s="3">
        <v>1.98225756764584</v>
      </c>
      <c r="K53" s="3">
        <v>3.38786355518504</v>
      </c>
      <c r="L53" s="3">
        <v>2.8591512539884398</v>
      </c>
      <c r="M53" s="3">
        <v>4.06044752471532</v>
      </c>
      <c r="N53" s="3">
        <v>4.4642661305235602</v>
      </c>
    </row>
    <row r="54" spans="1:14" x14ac:dyDescent="0.35">
      <c r="A54" s="2">
        <v>43350</v>
      </c>
      <c r="B54" s="3">
        <v>4.0219963230509999</v>
      </c>
      <c r="C54" s="3">
        <v>4.7801294954747799</v>
      </c>
      <c r="D54" s="3">
        <v>3.15999157907682</v>
      </c>
      <c r="E54" s="3">
        <v>3.36969355611784</v>
      </c>
      <c r="F54" s="3">
        <v>2.3881881234028599</v>
      </c>
      <c r="G54" s="3">
        <v>3.4621458535941501</v>
      </c>
      <c r="H54" s="3">
        <v>4.68730018869927</v>
      </c>
      <c r="I54" s="3">
        <v>1.08491242145593</v>
      </c>
      <c r="J54" s="3">
        <v>1.9788445162369801</v>
      </c>
      <c r="K54" s="3">
        <v>3.55167659019668</v>
      </c>
      <c r="L54" s="3">
        <v>3.0211874224839099</v>
      </c>
      <c r="M54" s="3">
        <v>4.1212575964162097</v>
      </c>
      <c r="N54" s="3">
        <v>4.7370453161924697</v>
      </c>
    </row>
    <row r="55" spans="1:14" x14ac:dyDescent="0.35">
      <c r="A55" s="2">
        <v>43382</v>
      </c>
      <c r="B55" s="3">
        <v>4.1237245748706304</v>
      </c>
      <c r="C55" s="3">
        <v>4.9120131705455501</v>
      </c>
      <c r="D55" s="3">
        <v>3.21849047520287</v>
      </c>
      <c r="E55" s="3">
        <v>3.4059914366904001</v>
      </c>
      <c r="F55" s="3">
        <v>2.2882463923523999</v>
      </c>
      <c r="G55" s="3">
        <v>3.50726472529505</v>
      </c>
      <c r="H55" s="3">
        <v>4.6745742410381403</v>
      </c>
      <c r="I55" s="3">
        <v>1.10125864504966</v>
      </c>
      <c r="J55" s="3">
        <v>1.9848881437838699</v>
      </c>
      <c r="K55" s="3">
        <v>3.55684256532773</v>
      </c>
      <c r="L55" s="3">
        <v>3.1049694856768699</v>
      </c>
      <c r="M55" s="3">
        <v>4.1032353438265696</v>
      </c>
      <c r="N55" s="3">
        <v>4.8477810435459903</v>
      </c>
    </row>
    <row r="56" spans="1:14" x14ac:dyDescent="0.35">
      <c r="A56" s="2">
        <v>43413</v>
      </c>
      <c r="B56" s="3">
        <v>4.16232154472356</v>
      </c>
      <c r="C56" s="3">
        <v>5.0499308616618697</v>
      </c>
      <c r="D56" s="3">
        <v>3.3630114352463898</v>
      </c>
      <c r="E56" s="3">
        <v>3.5892581790342102</v>
      </c>
      <c r="F56" s="3">
        <v>2.4338955750887901</v>
      </c>
      <c r="G56" s="3">
        <v>3.4937729380199798</v>
      </c>
      <c r="H56" s="3">
        <v>4.8262063903137502</v>
      </c>
      <c r="I56" s="3">
        <v>1.1699223930601199</v>
      </c>
      <c r="J56" s="3">
        <v>2.0601000338608899</v>
      </c>
      <c r="K56" s="3">
        <v>3.70226286608094</v>
      </c>
      <c r="L56" s="3">
        <v>3.1656999123635998</v>
      </c>
      <c r="M56" s="3">
        <v>4.3832048548656699</v>
      </c>
      <c r="N56" s="3">
        <v>5.0771297402242697</v>
      </c>
    </row>
    <row r="57" spans="1:14" x14ac:dyDescent="0.35">
      <c r="A57" s="2">
        <v>43441</v>
      </c>
      <c r="B57" s="3">
        <v>4.1705190835377302</v>
      </c>
      <c r="C57" s="3">
        <v>5.30682210082316</v>
      </c>
      <c r="D57" s="3">
        <v>3.4841301094502302</v>
      </c>
      <c r="E57" s="3">
        <v>3.8399862900206099</v>
      </c>
      <c r="F57" s="3">
        <v>2.52843025551967</v>
      </c>
      <c r="G57" s="3">
        <v>3.63242426044259</v>
      </c>
      <c r="H57" s="3">
        <v>5.13680106015196</v>
      </c>
      <c r="I57" s="3">
        <v>1.2625247306662699</v>
      </c>
      <c r="J57" s="3">
        <v>2.1933149006984598</v>
      </c>
      <c r="K57" s="3">
        <v>3.9303489728157301</v>
      </c>
      <c r="L57" s="3">
        <v>3.3529871259909201</v>
      </c>
      <c r="M57" s="3">
        <v>4.6183769509169696</v>
      </c>
      <c r="N57" s="3">
        <v>5.3236936186821397</v>
      </c>
    </row>
    <row r="58" spans="1:14" x14ac:dyDescent="0.35">
      <c r="A58" s="2">
        <v>43474</v>
      </c>
      <c r="B58" s="3">
        <v>4.0971983651428303</v>
      </c>
      <c r="C58" s="3">
        <v>5.1957771242034099</v>
      </c>
      <c r="D58" s="3">
        <v>3.4820149659617798</v>
      </c>
      <c r="E58" s="3">
        <v>3.8175526864990301</v>
      </c>
      <c r="F58" s="3">
        <v>2.6863927270826902</v>
      </c>
      <c r="G58" s="3">
        <v>3.58273864994782</v>
      </c>
      <c r="H58" s="3">
        <v>5.1947822539054496</v>
      </c>
      <c r="I58" s="3">
        <v>1.2687363336619699</v>
      </c>
      <c r="J58" s="3">
        <v>2.2530777320951798</v>
      </c>
      <c r="K58" s="3">
        <v>3.9368021373908499</v>
      </c>
      <c r="L58" s="3">
        <v>3.406603968242</v>
      </c>
      <c r="M58" s="3">
        <v>4.5352399986635596</v>
      </c>
      <c r="N58" s="3">
        <v>5.21347962637347</v>
      </c>
    </row>
    <row r="59" spans="1:14" x14ac:dyDescent="0.35">
      <c r="A59" s="2">
        <v>43504</v>
      </c>
      <c r="B59" s="3">
        <v>4.0162978174638599</v>
      </c>
      <c r="C59" s="3">
        <v>4.9522014560446399</v>
      </c>
      <c r="D59" s="3">
        <v>3.3225466451620602</v>
      </c>
      <c r="E59" s="3">
        <v>3.8029245183153901</v>
      </c>
      <c r="F59" s="3">
        <v>2.68350858947802</v>
      </c>
      <c r="G59" s="3">
        <v>3.46786595566671</v>
      </c>
      <c r="H59" s="3">
        <v>5.0351069269837998</v>
      </c>
      <c r="I59" s="3">
        <v>1.22173269993305</v>
      </c>
      <c r="J59" s="3">
        <v>2.1646748803522402</v>
      </c>
      <c r="K59" s="3">
        <v>3.829945530741</v>
      </c>
      <c r="L59" s="3">
        <v>3.2212866003910698</v>
      </c>
      <c r="M59" s="3">
        <v>4.3092153139433398</v>
      </c>
      <c r="N59" s="3">
        <v>5.1215540130128003</v>
      </c>
    </row>
    <row r="60" spans="1:14" x14ac:dyDescent="0.35">
      <c r="A60" s="2">
        <v>43532</v>
      </c>
      <c r="B60" s="3">
        <v>3.8770097869750901</v>
      </c>
      <c r="C60" s="3">
        <v>4.93604532574986</v>
      </c>
      <c r="D60" s="3">
        <v>3.2928634674580799</v>
      </c>
      <c r="E60" s="3">
        <v>3.6340605458729698</v>
      </c>
      <c r="F60" s="3">
        <v>2.6196501560688601</v>
      </c>
      <c r="G60" s="3">
        <v>3.3976057915467499</v>
      </c>
      <c r="H60" s="3">
        <v>5.0286054655930599</v>
      </c>
      <c r="I60" s="3">
        <v>1.19387034799096</v>
      </c>
      <c r="J60" s="3">
        <v>2.1433192786237298</v>
      </c>
      <c r="K60" s="3">
        <v>3.6618103956282599</v>
      </c>
      <c r="L60" s="3">
        <v>3.1572484819498201</v>
      </c>
      <c r="M60" s="3">
        <v>4.21106658217359</v>
      </c>
      <c r="N60" s="3">
        <v>4.8307853496441302</v>
      </c>
    </row>
    <row r="61" spans="1:14" x14ac:dyDescent="0.35">
      <c r="A61" s="2">
        <v>43564</v>
      </c>
      <c r="B61" s="3">
        <v>3.78343671824237</v>
      </c>
      <c r="C61" s="3">
        <v>4.9291028246713404</v>
      </c>
      <c r="D61" s="3">
        <v>3.23158338575786</v>
      </c>
      <c r="E61" s="3">
        <v>3.5316100892573301</v>
      </c>
      <c r="F61" s="3">
        <v>2.5589863875791998</v>
      </c>
      <c r="G61" s="3">
        <v>3.2577897441839401</v>
      </c>
      <c r="H61" s="3">
        <v>4.8311744847887601</v>
      </c>
      <c r="I61" s="3">
        <v>1.1127280170512599</v>
      </c>
      <c r="J61" s="3">
        <v>2.0603673073560098</v>
      </c>
      <c r="K61" s="3">
        <v>3.5524848406880198</v>
      </c>
      <c r="L61" s="3">
        <v>3.01901324582261</v>
      </c>
      <c r="M61" s="3">
        <v>4.0813007732108</v>
      </c>
      <c r="N61" s="3">
        <v>4.6325274391814997</v>
      </c>
    </row>
    <row r="62" spans="1:14" x14ac:dyDescent="0.35">
      <c r="A62" s="2">
        <v>43594</v>
      </c>
      <c r="B62" s="3">
        <v>3.6856340632828899</v>
      </c>
      <c r="C62" s="3">
        <v>4.8637327081784099</v>
      </c>
      <c r="D62" s="3">
        <v>3.2643255730937399</v>
      </c>
      <c r="E62" s="3">
        <v>3.5219157626441899</v>
      </c>
      <c r="F62" s="3">
        <v>2.6709176515292099</v>
      </c>
      <c r="G62" s="3">
        <v>3.3638380128366201</v>
      </c>
      <c r="H62" s="3">
        <v>4.9828936554906296</v>
      </c>
      <c r="I62" s="3">
        <v>1.1185421152815</v>
      </c>
      <c r="J62" s="3">
        <v>2.078424075934</v>
      </c>
      <c r="K62" s="3">
        <v>3.6422458659536598</v>
      </c>
      <c r="L62" s="3">
        <v>3.0718382193695501</v>
      </c>
      <c r="M62" s="3">
        <v>4.2280548623917804</v>
      </c>
      <c r="N62" s="3">
        <v>4.8815066463820997</v>
      </c>
    </row>
    <row r="63" spans="1:14" x14ac:dyDescent="0.35">
      <c r="A63" s="2">
        <v>43623</v>
      </c>
      <c r="B63" s="3">
        <v>3.7261986453356202</v>
      </c>
      <c r="C63" s="3">
        <v>4.7627207115805401</v>
      </c>
      <c r="D63" s="3">
        <v>3.34254554705642</v>
      </c>
      <c r="E63" s="3">
        <v>3.5851467091070299</v>
      </c>
      <c r="F63" s="3">
        <v>2.7187826545751399</v>
      </c>
      <c r="G63" s="3">
        <v>3.2599859412127499</v>
      </c>
      <c r="H63" s="3">
        <v>4.8214731356888398</v>
      </c>
      <c r="I63" s="3">
        <v>1.1551033042647001</v>
      </c>
      <c r="J63" s="3">
        <v>2.0899107492576698</v>
      </c>
      <c r="K63" s="3">
        <v>3.62088188360734</v>
      </c>
      <c r="L63" s="3">
        <v>3.1087502567879701</v>
      </c>
      <c r="M63" s="3">
        <v>4.2928861606305802</v>
      </c>
      <c r="N63" s="3">
        <v>5.0271635944898101</v>
      </c>
    </row>
    <row r="64" spans="1:14" x14ac:dyDescent="0.35">
      <c r="A64" s="2">
        <v>43655</v>
      </c>
      <c r="B64" s="3">
        <v>3.5086896298080701</v>
      </c>
      <c r="C64" s="3">
        <v>4.6441039108757902</v>
      </c>
      <c r="D64" s="3">
        <v>3.2925546101547898</v>
      </c>
      <c r="E64" s="3">
        <v>3.4736195832658199</v>
      </c>
      <c r="F64" s="3">
        <v>2.6457622058880599</v>
      </c>
      <c r="G64" s="3">
        <v>3.22763403630664</v>
      </c>
      <c r="H64" s="3">
        <v>4.7871127999683996</v>
      </c>
      <c r="I64" s="3">
        <v>1.0939145045477201</v>
      </c>
      <c r="J64" s="3">
        <v>2.0270047229988699</v>
      </c>
      <c r="K64" s="3">
        <v>3.5214047155637398</v>
      </c>
      <c r="L64" s="3">
        <v>3.0049531037824901</v>
      </c>
      <c r="M64" s="3">
        <v>4.1388404486410204</v>
      </c>
      <c r="N64" s="3">
        <v>4.6873074436256799</v>
      </c>
    </row>
    <row r="65" spans="1:14" x14ac:dyDescent="0.35">
      <c r="A65" s="2">
        <v>43686</v>
      </c>
      <c r="B65" s="3">
        <v>3.3951655229526398</v>
      </c>
      <c r="C65" s="3">
        <v>4.6631395274054901</v>
      </c>
      <c r="D65" s="3">
        <v>3.3906077997891702</v>
      </c>
      <c r="E65" s="3">
        <v>3.6003553181979</v>
      </c>
      <c r="F65" s="3">
        <v>2.7722626876617098</v>
      </c>
      <c r="G65" s="3">
        <v>3.2659763032467102</v>
      </c>
      <c r="H65" s="3">
        <v>5.0758919017467798</v>
      </c>
      <c r="I65" s="3">
        <v>1.12608320903163</v>
      </c>
      <c r="J65" s="3">
        <v>2.0789180294982601</v>
      </c>
      <c r="K65" s="3">
        <v>3.68507378588642</v>
      </c>
      <c r="L65" s="3">
        <v>3.0375478213302798</v>
      </c>
      <c r="M65" s="3">
        <v>4.2744558551353</v>
      </c>
      <c r="N65" s="3">
        <v>5.0941292018989399</v>
      </c>
    </row>
    <row r="66" spans="1:14" x14ac:dyDescent="0.35">
      <c r="A66" s="2">
        <v>43717</v>
      </c>
      <c r="B66" s="3">
        <v>3.2351585296039298</v>
      </c>
      <c r="C66" s="3">
        <v>4.50451819173683</v>
      </c>
      <c r="D66" s="3">
        <v>3.3686230275976001</v>
      </c>
      <c r="E66" s="3">
        <v>3.4279817121466301</v>
      </c>
      <c r="F66" s="3">
        <v>2.6767733969050398</v>
      </c>
      <c r="G66" s="3">
        <v>3.1803539857401502</v>
      </c>
      <c r="H66" s="3">
        <v>5.0176509371723901</v>
      </c>
      <c r="I66" s="3">
        <v>1.0994915584498499</v>
      </c>
      <c r="J66" s="3">
        <v>2.04749287889309</v>
      </c>
      <c r="K66" s="3">
        <v>3.5362578366085899</v>
      </c>
      <c r="L66" s="3">
        <v>2.8829887617589902</v>
      </c>
      <c r="M66" s="3">
        <v>4.0761911424491197</v>
      </c>
      <c r="N66" s="3">
        <v>4.7561055222158597</v>
      </c>
    </row>
    <row r="67" spans="1:14" x14ac:dyDescent="0.35">
      <c r="A67" s="2">
        <v>43747</v>
      </c>
      <c r="B67" s="3">
        <v>3.33245972286687</v>
      </c>
      <c r="C67" s="3">
        <v>4.5507750606149404</v>
      </c>
      <c r="D67" s="3">
        <v>3.38504908203398</v>
      </c>
      <c r="E67" s="3">
        <v>3.4819483260483399</v>
      </c>
      <c r="F67" s="3">
        <v>2.6417634986040701</v>
      </c>
      <c r="G67" s="3">
        <v>3.2759962668709202</v>
      </c>
      <c r="H67" s="3">
        <v>5.0652200932481302</v>
      </c>
      <c r="I67" s="3">
        <v>1.12638115887877</v>
      </c>
      <c r="J67" s="3">
        <v>2.0997833440920299</v>
      </c>
      <c r="K67" s="3">
        <v>3.6054852924932699</v>
      </c>
      <c r="L67" s="3">
        <v>2.8130627020994599</v>
      </c>
      <c r="M67" s="3">
        <v>3.9836253855555199</v>
      </c>
      <c r="N67" s="3">
        <v>4.8625733095814496</v>
      </c>
    </row>
    <row r="68" spans="1:14" x14ac:dyDescent="0.35">
      <c r="A68" s="2">
        <v>43777</v>
      </c>
      <c r="B68" s="3">
        <v>3.3417043876095098</v>
      </c>
      <c r="C68" s="3">
        <v>4.3435925190334101</v>
      </c>
      <c r="D68" s="3">
        <v>3.26062803516017</v>
      </c>
      <c r="E68" s="3">
        <v>3.1530453599083499</v>
      </c>
      <c r="F68" s="3">
        <v>2.4606934942246501</v>
      </c>
      <c r="G68" s="3">
        <v>3.13649568964204</v>
      </c>
      <c r="H68" s="3">
        <v>4.7972092794907804</v>
      </c>
      <c r="I68" s="3">
        <v>1.06422596667809</v>
      </c>
      <c r="J68" s="3">
        <v>1.9954531249652101</v>
      </c>
      <c r="K68" s="3">
        <v>3.37822423865481</v>
      </c>
      <c r="L68" s="3">
        <v>2.65550875797872</v>
      </c>
      <c r="M68" s="3">
        <v>3.6592332313106599</v>
      </c>
      <c r="N68" s="3">
        <v>4.5245620632401398</v>
      </c>
    </row>
    <row r="69" spans="1:14" x14ac:dyDescent="0.35">
      <c r="A69" s="2">
        <v>43808</v>
      </c>
      <c r="B69" s="3">
        <v>3.2804126450922899</v>
      </c>
      <c r="C69" s="3">
        <v>4.3181019992611596</v>
      </c>
      <c r="D69" s="3">
        <v>3.2727632487295</v>
      </c>
      <c r="E69" s="3">
        <v>3.1287762487235402</v>
      </c>
      <c r="F69" s="3">
        <v>2.44199754735167</v>
      </c>
      <c r="G69" s="3">
        <v>3.1046334279051502</v>
      </c>
      <c r="H69" s="3">
        <v>4.7802134536506697</v>
      </c>
      <c r="I69" s="3">
        <v>1.0789432133652299</v>
      </c>
      <c r="J69" s="3">
        <v>1.9796867326612899</v>
      </c>
      <c r="K69" s="3">
        <v>3.4196567839714702</v>
      </c>
      <c r="L69" s="3">
        <v>2.6326652047413499</v>
      </c>
      <c r="M69" s="3">
        <v>3.6969050881513001</v>
      </c>
      <c r="N69" s="3">
        <v>4.6136697640955804</v>
      </c>
    </row>
    <row r="70" spans="1:14" x14ac:dyDescent="0.35">
      <c r="A70" s="2">
        <v>43839</v>
      </c>
      <c r="B70" s="3">
        <v>3.1613155525800898</v>
      </c>
      <c r="C70" s="3">
        <v>4.2277156649819601</v>
      </c>
      <c r="D70" s="3">
        <v>3.23296460887159</v>
      </c>
      <c r="E70" s="3">
        <v>3.04601300389215</v>
      </c>
      <c r="F70" s="3">
        <v>2.4406948279629499</v>
      </c>
      <c r="G70" s="3">
        <v>3.0306645970487902</v>
      </c>
      <c r="H70" s="3">
        <v>4.5713524541178998</v>
      </c>
      <c r="I70" s="3">
        <v>1.01954006567421</v>
      </c>
      <c r="J70" s="3">
        <v>1.91229499101802</v>
      </c>
      <c r="K70" s="3">
        <v>3.3264453315312101</v>
      </c>
      <c r="L70" s="3">
        <v>2.5683089845937999</v>
      </c>
      <c r="M70" s="3">
        <v>3.5687243989147199</v>
      </c>
      <c r="N70" s="3">
        <v>4.4367669423861704</v>
      </c>
    </row>
    <row r="71" spans="1:14" x14ac:dyDescent="0.35">
      <c r="A71" s="2">
        <v>43868</v>
      </c>
      <c r="B71" s="3">
        <v>3.0812913846449401</v>
      </c>
      <c r="C71" s="3">
        <v>4.1584715270528303</v>
      </c>
      <c r="D71" s="3">
        <v>3.22331430733127</v>
      </c>
      <c r="E71" s="3">
        <v>3.0640146408095501</v>
      </c>
      <c r="F71" s="3">
        <v>2.43240714230281</v>
      </c>
      <c r="G71" s="3">
        <v>2.9605337845501398</v>
      </c>
      <c r="H71" s="3">
        <v>4.6757497486673296</v>
      </c>
      <c r="I71" s="3">
        <v>0.98127805356220799</v>
      </c>
      <c r="J71" s="3">
        <v>1.89654943832548</v>
      </c>
      <c r="K71" s="3">
        <v>3.3185771197376099</v>
      </c>
      <c r="L71" s="3">
        <v>2.5376776933915002</v>
      </c>
      <c r="M71" s="3">
        <v>3.4795352360596699</v>
      </c>
      <c r="N71" s="3">
        <v>4.4508892968268201</v>
      </c>
    </row>
    <row r="72" spans="1:14" x14ac:dyDescent="0.35">
      <c r="A72" s="2">
        <v>43899</v>
      </c>
      <c r="B72" s="3">
        <v>3.2142859828907002</v>
      </c>
      <c r="C72" s="3">
        <v>4.9876931348714697</v>
      </c>
      <c r="D72" s="3">
        <v>4.0217470486476801</v>
      </c>
      <c r="E72" s="3">
        <v>3.8466620483616198</v>
      </c>
      <c r="F72" s="3">
        <v>2.9988072760996798</v>
      </c>
      <c r="G72" s="3">
        <v>3.47016885510092</v>
      </c>
      <c r="H72" s="3">
        <v>5.8319177463781404</v>
      </c>
      <c r="I72" s="3">
        <v>1.1672770028911099</v>
      </c>
      <c r="J72" s="3">
        <v>2.3116133631496498</v>
      </c>
      <c r="K72" s="3">
        <v>4.1412168504858702</v>
      </c>
      <c r="L72" s="3">
        <v>3.1309977673877398</v>
      </c>
      <c r="M72" s="3">
        <v>4.1694168882620497</v>
      </c>
      <c r="N72" s="3">
        <v>5.8741998519595402</v>
      </c>
    </row>
    <row r="73" spans="1:14" x14ac:dyDescent="0.35">
      <c r="A73" s="2">
        <v>43930</v>
      </c>
      <c r="B73" s="3">
        <v>2.9931535160139102</v>
      </c>
      <c r="C73" s="3">
        <v>4.6223915874541497</v>
      </c>
      <c r="D73" s="3">
        <v>4.0602260028667603</v>
      </c>
      <c r="E73" s="3">
        <v>3.5860512701863501</v>
      </c>
      <c r="F73" s="3">
        <v>2.9189127861798401</v>
      </c>
      <c r="G73" s="3">
        <v>3.40426873881295</v>
      </c>
      <c r="H73" s="3">
        <v>5.7693999497592401</v>
      </c>
      <c r="I73" s="3">
        <v>1.1267441120956301</v>
      </c>
      <c r="J73" s="3">
        <v>2.22380561822489</v>
      </c>
      <c r="K73" s="3">
        <v>3.9512238776228501</v>
      </c>
      <c r="L73" s="3">
        <v>2.88339649845138</v>
      </c>
      <c r="M73" s="3">
        <v>3.6211587051834302</v>
      </c>
      <c r="N73" s="3">
        <v>5.8767282508131702</v>
      </c>
    </row>
    <row r="74" spans="1:14" x14ac:dyDescent="0.35">
      <c r="A74" s="2">
        <v>43959</v>
      </c>
      <c r="B74" s="3">
        <v>2.6432540745606001</v>
      </c>
      <c r="C74" s="3">
        <v>3.8709845511110799</v>
      </c>
      <c r="D74" s="3">
        <v>3.7452197161907401</v>
      </c>
      <c r="E74" s="3">
        <v>3.31824950431472</v>
      </c>
      <c r="F74" s="3">
        <v>2.8072304356992501</v>
      </c>
      <c r="G74" s="3">
        <v>3.2578500484900901</v>
      </c>
      <c r="H74" s="3">
        <v>4.6246830944921102</v>
      </c>
      <c r="I74" s="3">
        <v>0.98867903758001596</v>
      </c>
      <c r="J74" s="3">
        <v>2.06936119133871</v>
      </c>
      <c r="K74" s="3">
        <v>3.49143201333343</v>
      </c>
      <c r="L74" s="3">
        <v>2.6493217549717198</v>
      </c>
      <c r="M74" s="3">
        <v>3.3061215187821502</v>
      </c>
      <c r="N74" s="3">
        <v>5.0497344876484602</v>
      </c>
    </row>
    <row r="75" spans="1:14" x14ac:dyDescent="0.35">
      <c r="A75" s="2">
        <v>43991</v>
      </c>
      <c r="B75" s="3">
        <v>2.5295434344171901</v>
      </c>
      <c r="C75" s="3">
        <v>3.2709190124766701</v>
      </c>
      <c r="D75" s="3">
        <v>3.4730775536060099</v>
      </c>
      <c r="E75" s="3">
        <v>2.83865787919295</v>
      </c>
      <c r="F75" s="3">
        <v>2.43337673514019</v>
      </c>
      <c r="G75" s="3">
        <v>3.0517200645039702</v>
      </c>
      <c r="H75" s="3">
        <v>3.98351437294329</v>
      </c>
      <c r="I75" s="3">
        <v>0.91135236286863996</v>
      </c>
      <c r="J75" s="3">
        <v>1.8804458326136699</v>
      </c>
      <c r="K75" s="3">
        <v>3.0557698053931701</v>
      </c>
      <c r="L75" s="3">
        <v>2.39798069529617</v>
      </c>
      <c r="M75" s="3">
        <v>2.9481098249878599</v>
      </c>
      <c r="N75" s="3">
        <v>4.16133370752378</v>
      </c>
    </row>
    <row r="76" spans="1:14" x14ac:dyDescent="0.35">
      <c r="A76" s="2">
        <v>44021</v>
      </c>
      <c r="B76" s="3">
        <v>2.47502374970396</v>
      </c>
      <c r="C76" s="3">
        <v>3.4613747329845399</v>
      </c>
      <c r="D76" s="3">
        <v>3.55035206481356</v>
      </c>
      <c r="E76" s="3">
        <v>2.8818262132168999</v>
      </c>
      <c r="F76" s="3">
        <v>2.5078984079571902</v>
      </c>
      <c r="G76" s="3">
        <v>3.04424672334688</v>
      </c>
      <c r="H76" s="3">
        <v>4.1804845834731799</v>
      </c>
      <c r="I76" s="3">
        <v>0.84654160274902801</v>
      </c>
      <c r="J76" s="3">
        <v>1.89052314206606</v>
      </c>
      <c r="K76" s="3">
        <v>3.16437130243889</v>
      </c>
      <c r="L76" s="3">
        <v>2.3380108217831799</v>
      </c>
      <c r="M76" s="3">
        <v>2.9966501777184402</v>
      </c>
      <c r="N76" s="3">
        <v>4.3612010339226304</v>
      </c>
    </row>
    <row r="77" spans="1:14" x14ac:dyDescent="0.35">
      <c r="A77" s="2">
        <v>44050</v>
      </c>
      <c r="B77" s="3">
        <v>2.37594814544945</v>
      </c>
      <c r="C77" s="3">
        <v>3.4179826144602701</v>
      </c>
      <c r="D77" s="3">
        <v>3.34318214310102</v>
      </c>
      <c r="E77" s="3">
        <v>2.8680302151399601</v>
      </c>
      <c r="F77" s="3">
        <v>2.5065823460001999</v>
      </c>
      <c r="G77" s="3">
        <v>2.9788385713794701</v>
      </c>
      <c r="H77" s="3">
        <v>4.0196975660186798</v>
      </c>
      <c r="I77" s="3">
        <v>0.81965920498268796</v>
      </c>
      <c r="J77" s="3">
        <v>1.7767903850057301</v>
      </c>
      <c r="K77" s="3">
        <v>3.16920421940286</v>
      </c>
      <c r="L77" s="3">
        <v>2.3582982941580002</v>
      </c>
      <c r="M77" s="3">
        <v>3.0288940530045299</v>
      </c>
      <c r="N77" s="3">
        <v>4.0110027346148502</v>
      </c>
    </row>
    <row r="78" spans="1:14" x14ac:dyDescent="0.35">
      <c r="A78" s="2">
        <v>44083</v>
      </c>
      <c r="B78" s="3">
        <v>2.4245404717881698</v>
      </c>
      <c r="C78" s="3">
        <v>3.5695354400945001</v>
      </c>
      <c r="D78" s="3">
        <v>3.3784277834670999</v>
      </c>
      <c r="E78" s="3">
        <v>2.7760404178660099</v>
      </c>
      <c r="F78" s="3">
        <v>2.4060329592832499</v>
      </c>
      <c r="G78" s="3">
        <v>2.9135961999290099</v>
      </c>
      <c r="H78" s="3">
        <v>4.0712021978857997</v>
      </c>
      <c r="I78" s="3">
        <v>0.80251930633214297</v>
      </c>
      <c r="J78" s="3">
        <v>1.7560575623496599</v>
      </c>
      <c r="K78" s="3">
        <v>3.1063589006296302</v>
      </c>
      <c r="L78" s="3">
        <v>2.3180229599614202</v>
      </c>
      <c r="M78" s="3">
        <v>2.9631165227350902</v>
      </c>
      <c r="N78" s="3">
        <v>4.0267766773251399</v>
      </c>
    </row>
    <row r="79" spans="1:14" x14ac:dyDescent="0.35">
      <c r="A79" s="2">
        <v>44113</v>
      </c>
      <c r="B79" s="3">
        <v>2.3574516500659501</v>
      </c>
      <c r="C79" s="3">
        <v>3.55089826648606</v>
      </c>
      <c r="D79" s="3">
        <v>3.3603886836118</v>
      </c>
      <c r="E79" s="3">
        <v>2.81433848698402</v>
      </c>
      <c r="F79" s="3">
        <v>2.3656225088477698</v>
      </c>
      <c r="G79" s="3">
        <v>2.9282021754262599</v>
      </c>
      <c r="H79" s="3">
        <v>4.1821738810002698</v>
      </c>
      <c r="I79" s="3">
        <v>0.78390556801350297</v>
      </c>
      <c r="J79" s="3">
        <v>1.71950350629439</v>
      </c>
      <c r="K79" s="3">
        <v>3.1853083996664902</v>
      </c>
      <c r="L79" s="3">
        <v>2.27544631524992</v>
      </c>
      <c r="M79" s="3">
        <v>2.9839613901701698</v>
      </c>
      <c r="N79" s="3">
        <v>4.1172181913705499</v>
      </c>
    </row>
    <row r="80" spans="1:14" x14ac:dyDescent="0.35">
      <c r="A80" s="2">
        <v>44144</v>
      </c>
      <c r="B80" s="3">
        <v>2.33334746795158</v>
      </c>
      <c r="C80" s="3">
        <v>3.5617234027852902</v>
      </c>
      <c r="D80" s="3">
        <v>3.3687825291570799</v>
      </c>
      <c r="E80" s="3">
        <v>2.8729057010479102</v>
      </c>
      <c r="F80" s="3">
        <v>2.31632692045102</v>
      </c>
      <c r="G80" s="3">
        <v>2.9029748938595499</v>
      </c>
      <c r="H80" s="3">
        <v>4.1422478446068904</v>
      </c>
      <c r="I80" s="3">
        <v>0.78332034563433295</v>
      </c>
      <c r="J80" s="3">
        <v>1.6886080428130901</v>
      </c>
      <c r="K80" s="3">
        <v>2.9876244842855399</v>
      </c>
      <c r="L80" s="3">
        <v>2.1846312527511702</v>
      </c>
      <c r="M80" s="3">
        <v>3.0338250381054701</v>
      </c>
      <c r="N80" s="3">
        <v>4.0299871841115698</v>
      </c>
    </row>
    <row r="81" spans="1:14" x14ac:dyDescent="0.35">
      <c r="A81" s="2">
        <v>44174</v>
      </c>
      <c r="B81" s="3">
        <v>2.3751655639287002</v>
      </c>
      <c r="C81" s="3">
        <v>3.4675352594845901</v>
      </c>
      <c r="D81" s="3">
        <v>3.1109108320247998</v>
      </c>
      <c r="E81" s="3">
        <v>2.7737480145009501</v>
      </c>
      <c r="F81" s="3">
        <v>2.1616378804693501</v>
      </c>
      <c r="G81" s="3">
        <v>2.8986294844762699</v>
      </c>
      <c r="H81" s="3">
        <v>3.8834652609426499</v>
      </c>
      <c r="I81" s="3">
        <v>0.75222317123147797</v>
      </c>
      <c r="J81" s="3">
        <v>1.6355970271048399</v>
      </c>
      <c r="K81" s="3">
        <v>2.9074398126904599</v>
      </c>
      <c r="L81" s="3">
        <v>2.0449981649387001</v>
      </c>
      <c r="M81" s="3">
        <v>3.0134837316508101</v>
      </c>
      <c r="N81" s="3">
        <v>3.9504641920330301</v>
      </c>
    </row>
    <row r="82" spans="1:14" x14ac:dyDescent="0.35">
      <c r="A82" s="2">
        <v>44204</v>
      </c>
      <c r="B82" s="3">
        <v>2.3370941500211302</v>
      </c>
      <c r="C82" s="3">
        <v>3.4864560973943899</v>
      </c>
      <c r="D82" s="3">
        <v>3.0152434379236102</v>
      </c>
      <c r="E82" s="3">
        <v>2.6900125049038</v>
      </c>
      <c r="F82" s="3">
        <v>2.0859677786358999</v>
      </c>
      <c r="G82" s="3">
        <v>2.8103422913768799</v>
      </c>
      <c r="H82" s="3">
        <v>3.7607929358347199</v>
      </c>
      <c r="I82" s="3">
        <v>0.75111955834264499</v>
      </c>
      <c r="J82" s="3">
        <v>1.5518686549630201</v>
      </c>
      <c r="K82" s="3">
        <v>2.8782269102461502</v>
      </c>
      <c r="L82" s="3">
        <v>1.9272703827912001</v>
      </c>
      <c r="M82" s="3">
        <v>2.9959432311379799</v>
      </c>
      <c r="N82" s="3">
        <v>3.8740387365484001</v>
      </c>
    </row>
    <row r="83" spans="1:14" x14ac:dyDescent="0.35">
      <c r="A83" s="2">
        <v>44236</v>
      </c>
      <c r="B83" s="3">
        <v>2.5140272372772698</v>
      </c>
      <c r="C83" s="3">
        <v>3.5745214394181</v>
      </c>
      <c r="D83" s="3">
        <v>2.9554236215072098</v>
      </c>
      <c r="E83" s="3">
        <v>2.7447659074830799</v>
      </c>
      <c r="F83" s="3">
        <v>2.0317174928278101</v>
      </c>
      <c r="G83" s="3">
        <v>2.82338369572417</v>
      </c>
      <c r="H83" s="3">
        <v>4.0211123271911804</v>
      </c>
      <c r="I83" s="3">
        <v>0.727684088327478</v>
      </c>
      <c r="J83" s="3">
        <v>1.53486867008595</v>
      </c>
      <c r="K83" s="3">
        <v>2.9083599731644401</v>
      </c>
      <c r="L83" s="3">
        <v>1.9230771808590701</v>
      </c>
      <c r="M83" s="3">
        <v>3.0100631905825099</v>
      </c>
      <c r="N83" s="3">
        <v>3.9167363284080099</v>
      </c>
    </row>
    <row r="84" spans="1:14" x14ac:dyDescent="0.35">
      <c r="A84" s="2">
        <v>44264</v>
      </c>
      <c r="B84" s="3">
        <v>2.6367494624674799</v>
      </c>
      <c r="C84" s="3">
        <v>3.8763117792682098</v>
      </c>
      <c r="D84" s="3">
        <v>2.88750939878109</v>
      </c>
      <c r="E84" s="3">
        <v>2.76193848407895</v>
      </c>
      <c r="F84" s="3">
        <v>2.08992379677191</v>
      </c>
      <c r="G84" s="3">
        <v>2.8557889767700502</v>
      </c>
      <c r="H84" s="3">
        <v>3.9459675028247299</v>
      </c>
      <c r="I84" s="3">
        <v>0.78325347158803904</v>
      </c>
      <c r="J84" s="3">
        <v>1.55589048488486</v>
      </c>
      <c r="K84" s="3">
        <v>2.7863002782506801</v>
      </c>
      <c r="L84" s="3">
        <v>2.0398478112994201</v>
      </c>
      <c r="M84" s="3">
        <v>2.8367623048791</v>
      </c>
      <c r="N84" s="3">
        <v>4.0995100975406</v>
      </c>
    </row>
    <row r="85" spans="1:14" x14ac:dyDescent="0.35">
      <c r="A85" s="2">
        <v>44295</v>
      </c>
      <c r="B85" s="3">
        <v>2.5805308361242498</v>
      </c>
      <c r="C85" s="3">
        <v>3.87995382583436</v>
      </c>
      <c r="D85" s="3">
        <v>2.7647229861610501</v>
      </c>
      <c r="E85" s="3">
        <v>2.6852374958264398</v>
      </c>
      <c r="F85" s="3">
        <v>2.0661803752747399</v>
      </c>
      <c r="G85" s="3">
        <v>2.7398261962533099</v>
      </c>
      <c r="H85" s="3">
        <v>3.9544635323764998</v>
      </c>
      <c r="I85" s="3">
        <v>0.72669912787613</v>
      </c>
      <c r="J85" s="3">
        <v>1.4692464966929799</v>
      </c>
      <c r="K85" s="3">
        <v>2.7175570484390001</v>
      </c>
      <c r="L85" s="3">
        <v>1.9047206396040699</v>
      </c>
      <c r="M85" s="3">
        <v>2.7018398669535602</v>
      </c>
      <c r="N85" s="3">
        <v>4.0619168525482703</v>
      </c>
    </row>
    <row r="86" spans="1:14" x14ac:dyDescent="0.35">
      <c r="A86" s="2">
        <v>44323</v>
      </c>
      <c r="B86" s="3">
        <v>2.5820327845492299</v>
      </c>
      <c r="C86" s="3">
        <v>3.8888938553258598</v>
      </c>
      <c r="D86" s="3">
        <v>2.7274284831243101</v>
      </c>
      <c r="E86" s="3">
        <v>2.78991645021532</v>
      </c>
      <c r="F86" s="3">
        <v>2.1301886667093402</v>
      </c>
      <c r="G86" s="3">
        <v>2.7399318999766198</v>
      </c>
      <c r="H86" s="3">
        <v>3.8668648413651598</v>
      </c>
      <c r="I86" s="3">
        <v>0.73921571770138805</v>
      </c>
      <c r="J86" s="3">
        <v>1.4432454996037101</v>
      </c>
      <c r="K86" s="3">
        <v>2.68402889930233</v>
      </c>
      <c r="L86" s="3">
        <v>1.9348150736762699</v>
      </c>
      <c r="M86" s="3">
        <v>2.7892135377697498</v>
      </c>
      <c r="N86" s="3">
        <v>4.1840603543825301</v>
      </c>
    </row>
    <row r="87" spans="1:14" x14ac:dyDescent="0.35">
      <c r="A87" s="2">
        <v>44356</v>
      </c>
      <c r="B87" s="3">
        <v>2.6766354701587902</v>
      </c>
      <c r="C87" s="3">
        <v>3.8507316977041701</v>
      </c>
      <c r="D87" s="3">
        <v>2.5948836943696101</v>
      </c>
      <c r="E87" s="3">
        <v>2.7976617357837399</v>
      </c>
      <c r="F87" s="3">
        <v>2.1567851194554599</v>
      </c>
      <c r="G87" s="3">
        <v>2.6282125038980499</v>
      </c>
      <c r="H87" s="3">
        <v>3.8941092220322502</v>
      </c>
      <c r="I87" s="3">
        <v>0.73817547354726598</v>
      </c>
      <c r="J87" s="3">
        <v>1.4586748806036001</v>
      </c>
      <c r="K87" s="3">
        <v>2.6537369154332402</v>
      </c>
      <c r="L87" s="3">
        <v>2.0035398550004202</v>
      </c>
      <c r="M87" s="3">
        <v>2.6769208441163599</v>
      </c>
      <c r="N87" s="3">
        <v>4.0280152566161096</v>
      </c>
    </row>
    <row r="88" spans="1:14" x14ac:dyDescent="0.35">
      <c r="A88" s="2">
        <v>44386</v>
      </c>
      <c r="B88" s="3">
        <v>2.6137734241941901</v>
      </c>
      <c r="C88" s="3">
        <v>4.1266036331240699</v>
      </c>
      <c r="D88" s="3">
        <v>2.7044215802357501</v>
      </c>
      <c r="E88" s="3">
        <v>2.7988502482314099</v>
      </c>
      <c r="F88" s="3">
        <v>2.2358896212665802</v>
      </c>
      <c r="G88" s="3">
        <v>2.6218129698825701</v>
      </c>
      <c r="H88" s="3">
        <v>4.0069969890475603</v>
      </c>
      <c r="I88" s="3">
        <v>0.69248893513404097</v>
      </c>
      <c r="J88" s="3">
        <v>1.42719594970472</v>
      </c>
      <c r="K88" s="3">
        <v>2.7036566973853202</v>
      </c>
      <c r="L88" s="3">
        <v>2.02574283117987</v>
      </c>
      <c r="M88" s="3">
        <v>2.67209223700779</v>
      </c>
      <c r="N88" s="3">
        <v>4.1960215560401402</v>
      </c>
    </row>
    <row r="89" spans="1:14" x14ac:dyDescent="0.35">
      <c r="A89" s="2">
        <v>44417</v>
      </c>
      <c r="B89" s="3">
        <v>2.6674954323501199</v>
      </c>
      <c r="C89" s="3">
        <v>4.0331763566414196</v>
      </c>
      <c r="D89" s="3">
        <v>2.6838279328139398</v>
      </c>
      <c r="E89" s="3">
        <v>2.8537506523954099</v>
      </c>
      <c r="F89" s="3">
        <v>2.2463918844440198</v>
      </c>
      <c r="G89" s="3">
        <v>2.5758087022796099</v>
      </c>
      <c r="H89" s="3">
        <v>4.1437871218938298</v>
      </c>
      <c r="I89" s="3">
        <v>0.69903967973020298</v>
      </c>
      <c r="J89" s="3">
        <v>1.42024309081958</v>
      </c>
      <c r="K89" s="3">
        <v>2.69048831536682</v>
      </c>
      <c r="L89" s="3">
        <v>1.90989660818135</v>
      </c>
      <c r="M89" s="3">
        <v>2.7324891625541698</v>
      </c>
      <c r="N89" s="3">
        <v>4.3004709407786104</v>
      </c>
    </row>
    <row r="90" spans="1:14" x14ac:dyDescent="0.35">
      <c r="A90" s="2">
        <v>44448</v>
      </c>
      <c r="B90" s="3">
        <v>2.5951914478203202</v>
      </c>
      <c r="C90" s="3">
        <v>4.1120315145720401</v>
      </c>
      <c r="D90" s="3">
        <v>2.7320797232658101</v>
      </c>
      <c r="E90" s="3">
        <v>2.8700365100060501</v>
      </c>
      <c r="F90" s="3">
        <v>2.1531817443668499</v>
      </c>
      <c r="G90" s="3">
        <v>2.6201699444684698</v>
      </c>
      <c r="H90" s="3">
        <v>4.2310503936955701</v>
      </c>
      <c r="I90" s="3">
        <v>0.68211272307680104</v>
      </c>
      <c r="J90" s="3">
        <v>1.4117591926564801</v>
      </c>
      <c r="K90" s="3">
        <v>2.7657239904885</v>
      </c>
      <c r="L90" s="3">
        <v>1.85220919634869</v>
      </c>
      <c r="M90" s="3">
        <v>2.7530818613925501</v>
      </c>
      <c r="N90" s="3">
        <v>4.4535958106782303</v>
      </c>
    </row>
    <row r="91" spans="1:14" x14ac:dyDescent="0.35">
      <c r="A91" s="2">
        <v>44477</v>
      </c>
      <c r="B91" s="3">
        <v>2.6633814161209699</v>
      </c>
      <c r="C91" s="3">
        <v>4.04961273166961</v>
      </c>
      <c r="D91" s="3">
        <v>2.7825299884481698</v>
      </c>
      <c r="E91" s="3">
        <v>2.9939610768084601</v>
      </c>
      <c r="F91" s="3">
        <v>2.28802031860877</v>
      </c>
      <c r="G91" s="3">
        <v>2.7425103230367802</v>
      </c>
      <c r="H91" s="3">
        <v>4.1436824546581903</v>
      </c>
      <c r="I91" s="3">
        <v>0.71843571604163703</v>
      </c>
      <c r="J91" s="3">
        <v>1.4512168986284399</v>
      </c>
      <c r="K91" s="3">
        <v>2.8719329362817798</v>
      </c>
      <c r="L91" s="3">
        <v>1.98424972390259</v>
      </c>
      <c r="M91" s="3">
        <v>2.9314624385972001</v>
      </c>
      <c r="N91" s="3">
        <v>4.4367338065942903</v>
      </c>
    </row>
    <row r="92" spans="1:14" x14ac:dyDescent="0.35">
      <c r="A92" s="2">
        <v>44509</v>
      </c>
      <c r="B92" s="3">
        <v>2.6597709634100899</v>
      </c>
      <c r="C92" s="3">
        <v>3.9495699916985201</v>
      </c>
      <c r="D92" s="3">
        <v>2.7023764741725902</v>
      </c>
      <c r="E92" s="3">
        <v>2.9335383076802901</v>
      </c>
      <c r="F92" s="3">
        <v>2.2431749896373101</v>
      </c>
      <c r="G92" s="3">
        <v>2.5865111136485299</v>
      </c>
      <c r="H92" s="3">
        <v>4.0437822783873498</v>
      </c>
      <c r="I92" s="3">
        <v>0.66397982837917402</v>
      </c>
      <c r="J92" s="3">
        <v>1.3723408442194001</v>
      </c>
      <c r="K92" s="3">
        <v>2.7336024369802101</v>
      </c>
      <c r="L92" s="3">
        <v>1.85344109191081</v>
      </c>
      <c r="M92" s="3">
        <v>2.99145760462457</v>
      </c>
      <c r="N92" s="3">
        <v>4.3573092618979601</v>
      </c>
    </row>
    <row r="93" spans="1:14" x14ac:dyDescent="0.35">
      <c r="A93" s="2">
        <v>44539</v>
      </c>
      <c r="B93" s="3">
        <v>2.80161637315131</v>
      </c>
      <c r="C93" s="3">
        <v>3.9445376932564198</v>
      </c>
      <c r="D93" s="3">
        <v>2.83413644445571</v>
      </c>
      <c r="E93" s="3">
        <v>3.0718792563411101</v>
      </c>
      <c r="F93" s="3">
        <v>2.3047673310479202</v>
      </c>
      <c r="G93" s="3">
        <v>2.58226897995619</v>
      </c>
      <c r="H93" s="3">
        <v>4.0331300595131498</v>
      </c>
      <c r="I93" s="3">
        <v>0.67265242193797503</v>
      </c>
      <c r="J93" s="3">
        <v>1.38266567345892</v>
      </c>
      <c r="K93" s="3">
        <v>2.7841936213790999</v>
      </c>
      <c r="L93" s="3">
        <v>1.97225587382969</v>
      </c>
      <c r="M93" s="3">
        <v>2.9160684361988798</v>
      </c>
      <c r="N93" s="3">
        <v>4.6242294257831302</v>
      </c>
    </row>
    <row r="94" spans="1:14" x14ac:dyDescent="0.35">
      <c r="A94" s="2">
        <v>44567</v>
      </c>
      <c r="B94" s="3">
        <v>2.78205004239065</v>
      </c>
      <c r="C94" s="3">
        <v>3.8949354352618402</v>
      </c>
      <c r="D94" s="3">
        <v>2.8043763125556298</v>
      </c>
      <c r="E94" s="3">
        <v>3.0467954380546098</v>
      </c>
      <c r="F94" s="3">
        <v>2.3143531241120101</v>
      </c>
      <c r="G94" s="3">
        <v>2.5667147037075</v>
      </c>
      <c r="H94" s="3">
        <v>3.8541286306806999</v>
      </c>
      <c r="I94" s="3">
        <v>0.70162912304500802</v>
      </c>
      <c r="J94" s="3">
        <v>1.3830772490321499</v>
      </c>
      <c r="K94" s="3">
        <v>2.7248015169517101</v>
      </c>
      <c r="L94" s="3">
        <v>1.9768461469377601</v>
      </c>
      <c r="M94" s="3">
        <v>2.8817336824772801</v>
      </c>
      <c r="N94" s="3">
        <v>4.5855705513901102</v>
      </c>
    </row>
    <row r="95" spans="1:14" x14ac:dyDescent="0.35">
      <c r="A95" s="2">
        <v>44601</v>
      </c>
      <c r="B95" s="3">
        <v>2.9062076118679299</v>
      </c>
      <c r="C95" s="3">
        <v>4.1950582653944704</v>
      </c>
      <c r="D95" s="3">
        <v>2.7506407411569</v>
      </c>
      <c r="E95" s="3">
        <v>3.1727058491467601</v>
      </c>
      <c r="F95" s="3">
        <v>2.4134692107785001</v>
      </c>
      <c r="G95" s="3">
        <v>2.7285929900813102</v>
      </c>
      <c r="H95" s="3">
        <v>3.7751976419592901</v>
      </c>
      <c r="I95" s="3">
        <v>0.73632446039104005</v>
      </c>
      <c r="J95" s="3">
        <v>1.4300748685675</v>
      </c>
      <c r="K95" s="3">
        <v>2.8243362065151101</v>
      </c>
      <c r="L95" s="3">
        <v>2.1526896776881701</v>
      </c>
      <c r="M95" s="3">
        <v>2.8598043131370998</v>
      </c>
      <c r="N95" s="3">
        <v>4.7632490243360603</v>
      </c>
    </row>
    <row r="96" spans="1:14" x14ac:dyDescent="0.35">
      <c r="A96" s="2">
        <v>44629</v>
      </c>
      <c r="B96" s="3">
        <v>3.08361088307855</v>
      </c>
      <c r="C96" s="3">
        <v>4.3484993974896797</v>
      </c>
      <c r="D96" s="3">
        <v>2.8428469615585099</v>
      </c>
      <c r="E96" s="3">
        <v>3.6530093734986702</v>
      </c>
      <c r="F96" s="3">
        <v>2.7512845278096001</v>
      </c>
      <c r="G96" s="3">
        <v>2.9264378986340902</v>
      </c>
      <c r="H96" s="3">
        <v>4.0848444559660999</v>
      </c>
      <c r="I96" s="3">
        <v>0.81767868531862298</v>
      </c>
      <c r="J96" s="3">
        <v>1.5476773698561599</v>
      </c>
      <c r="K96" s="3">
        <v>3.22717533580159</v>
      </c>
      <c r="L96" s="3">
        <v>2.40046505844477</v>
      </c>
      <c r="M96" s="3">
        <v>3.2602854298651498</v>
      </c>
      <c r="N96" s="3">
        <v>5.3288937098415197</v>
      </c>
    </row>
    <row r="97" spans="1:14" x14ac:dyDescent="0.35">
      <c r="A97" s="2">
        <v>44659</v>
      </c>
      <c r="B97" s="3">
        <v>3.0895180235985902</v>
      </c>
      <c r="C97" s="3">
        <v>4.34148961080232</v>
      </c>
      <c r="D97" s="3">
        <v>2.8466617185955201</v>
      </c>
      <c r="E97" s="3">
        <v>3.56860471719382</v>
      </c>
      <c r="F97" s="3">
        <v>2.58321602033535</v>
      </c>
      <c r="G97" s="3">
        <v>2.7336590795222402</v>
      </c>
      <c r="H97" s="3">
        <v>3.9132671855037899</v>
      </c>
      <c r="I97" s="3">
        <v>0.78704674766994698</v>
      </c>
      <c r="J97" s="3">
        <v>1.4702928208878101</v>
      </c>
      <c r="K97" s="3">
        <v>3.1447321699453799</v>
      </c>
      <c r="L97" s="3">
        <v>2.2994440016058202</v>
      </c>
      <c r="M97" s="3">
        <v>3.1034137703991398</v>
      </c>
      <c r="N97" s="3">
        <v>5.0343682645575596</v>
      </c>
    </row>
    <row r="98" spans="1:14" x14ac:dyDescent="0.35">
      <c r="A98" s="2">
        <v>44690</v>
      </c>
      <c r="B98" s="3">
        <v>3.1907241114628402</v>
      </c>
      <c r="C98" s="3">
        <v>4.7051994256001697</v>
      </c>
      <c r="D98" s="3">
        <v>3.1999841047983599</v>
      </c>
      <c r="E98" s="3">
        <v>3.9997584957286598</v>
      </c>
      <c r="F98" s="3">
        <v>2.63713690052092</v>
      </c>
      <c r="G98" s="3">
        <v>3.04366038395646</v>
      </c>
      <c r="H98" s="3">
        <v>4.2853928950615403</v>
      </c>
      <c r="I98" s="3">
        <v>0.92956550051684195</v>
      </c>
      <c r="J98" s="3">
        <v>1.6590293166219201</v>
      </c>
      <c r="K98" s="3">
        <v>3.4090770255296601</v>
      </c>
      <c r="L98" s="3">
        <v>2.6518218028278802</v>
      </c>
      <c r="M98" s="3">
        <v>3.6180114883643899</v>
      </c>
      <c r="N98" s="3">
        <v>5.4213155910731698</v>
      </c>
    </row>
    <row r="99" spans="1:14" x14ac:dyDescent="0.35">
      <c r="A99" s="2">
        <v>44721</v>
      </c>
      <c r="B99" s="3">
        <v>3.2539410052857498</v>
      </c>
      <c r="C99" s="3">
        <v>4.8612154698893502</v>
      </c>
      <c r="D99" s="3">
        <v>3.1377750526794799</v>
      </c>
      <c r="E99" s="3">
        <v>3.7984173041164899</v>
      </c>
      <c r="F99" s="3">
        <v>2.5458044804669</v>
      </c>
      <c r="G99" s="3">
        <v>3.0636232463652999</v>
      </c>
      <c r="H99" s="3">
        <v>4.0953723585307102</v>
      </c>
      <c r="I99" s="3">
        <v>0.93064641491311595</v>
      </c>
      <c r="J99" s="3">
        <v>1.6621336370397699</v>
      </c>
      <c r="K99" s="3">
        <v>3.28138778599229</v>
      </c>
      <c r="L99" s="3">
        <v>2.5777276185884599</v>
      </c>
      <c r="M99" s="3">
        <v>3.3002436950013001</v>
      </c>
      <c r="N99" s="3">
        <v>5.3606933164283896</v>
      </c>
    </row>
    <row r="100" spans="1:14" x14ac:dyDescent="0.35">
      <c r="A100" s="2">
        <v>44750</v>
      </c>
      <c r="B100" s="3">
        <v>3.28893937800007</v>
      </c>
      <c r="C100" s="3">
        <v>5.1743275981290102</v>
      </c>
      <c r="D100" s="3">
        <v>3.4055967956368098</v>
      </c>
      <c r="E100" s="3">
        <v>4.1203016990035701</v>
      </c>
      <c r="F100" s="3">
        <v>2.68127819877206</v>
      </c>
      <c r="G100" s="3">
        <v>3.1405276654957501</v>
      </c>
      <c r="H100" s="3">
        <v>4.3015251511782697</v>
      </c>
      <c r="I100" s="3">
        <v>0.94987464692233303</v>
      </c>
      <c r="J100" s="3">
        <v>1.7244304808811901</v>
      </c>
      <c r="K100" s="3">
        <v>3.48308090604037</v>
      </c>
      <c r="L100" s="3">
        <v>3.3568743971116501</v>
      </c>
      <c r="M100" s="3">
        <v>3.6277070044728501</v>
      </c>
      <c r="N100" s="3">
        <v>5.8266097635307998</v>
      </c>
    </row>
    <row r="101" spans="1:14" x14ac:dyDescent="0.35">
      <c r="A101" s="2">
        <v>44782</v>
      </c>
      <c r="B101" s="3">
        <v>3.1958061327740599</v>
      </c>
      <c r="C101" s="3">
        <v>4.7746140023915604</v>
      </c>
      <c r="D101" s="3">
        <v>3.3472966333733898</v>
      </c>
      <c r="E101" s="3">
        <v>3.9957199103864101</v>
      </c>
      <c r="F101" s="3">
        <v>2.6238379547319099</v>
      </c>
      <c r="G101" s="3">
        <v>3.0809418346966</v>
      </c>
      <c r="H101" s="3">
        <v>4.1855916612698003</v>
      </c>
      <c r="I101" s="3">
        <v>0.88960980099860998</v>
      </c>
      <c r="J101" s="3">
        <v>1.6461358933814301</v>
      </c>
      <c r="K101" s="3">
        <v>3.2823791129219</v>
      </c>
      <c r="L101" s="3">
        <v>3.1487872214039898</v>
      </c>
      <c r="M101" s="3">
        <v>3.5505829438829899</v>
      </c>
      <c r="N101" s="3">
        <v>5.7957107371326702</v>
      </c>
    </row>
    <row r="102" spans="1:14" x14ac:dyDescent="0.35">
      <c r="A102" s="2">
        <v>44813</v>
      </c>
      <c r="B102" s="3">
        <v>3.18309613799441</v>
      </c>
      <c r="C102" s="3">
        <v>4.8405899102899896</v>
      </c>
      <c r="D102" s="3">
        <v>3.3780283554433801</v>
      </c>
      <c r="E102" s="3">
        <v>4.1130352079400696</v>
      </c>
      <c r="F102" s="3">
        <v>2.5960490829178902</v>
      </c>
      <c r="G102" s="3">
        <v>3.17956822285297</v>
      </c>
      <c r="H102" s="3">
        <v>4.39674697607607</v>
      </c>
      <c r="I102" s="3">
        <v>0.92639144585546696</v>
      </c>
      <c r="J102" s="3">
        <v>1.6822430462512901</v>
      </c>
      <c r="K102" s="3">
        <v>3.4685460202118201</v>
      </c>
      <c r="L102" s="3">
        <v>3.6777305051679798</v>
      </c>
      <c r="M102" s="3">
        <v>3.66067426980071</v>
      </c>
      <c r="N102" s="3">
        <v>5.6470088399328802</v>
      </c>
    </row>
    <row r="103" spans="1:14" x14ac:dyDescent="0.35">
      <c r="A103" s="2">
        <v>44841</v>
      </c>
      <c r="B103" s="3">
        <v>3.4066826285918101</v>
      </c>
      <c r="C103" s="3">
        <v>5.01072148610674</v>
      </c>
      <c r="D103" s="3">
        <v>3.6095661653270001</v>
      </c>
      <c r="E103" s="3">
        <v>4.4284333081306704</v>
      </c>
      <c r="F103" s="3">
        <v>2.7122470857258301</v>
      </c>
      <c r="G103" s="3">
        <v>3.4229645786084899</v>
      </c>
      <c r="H103" s="3">
        <v>4.6378798420141303</v>
      </c>
      <c r="I103" s="3">
        <v>1.0651537106781701</v>
      </c>
      <c r="J103" s="3">
        <v>1.8850216829302899</v>
      </c>
      <c r="K103" s="3">
        <v>3.7094667222119</v>
      </c>
      <c r="L103" s="3">
        <v>3.0429730704502602</v>
      </c>
      <c r="M103" s="3">
        <v>3.79716123185371</v>
      </c>
      <c r="N103" s="3">
        <v>6.16206664921536</v>
      </c>
    </row>
    <row r="104" spans="1:14" x14ac:dyDescent="0.35">
      <c r="A104" s="2">
        <v>44874</v>
      </c>
      <c r="B104" s="3">
        <v>3.4385865290051298</v>
      </c>
      <c r="C104" s="3">
        <v>4.7979643425428096</v>
      </c>
      <c r="D104" s="3">
        <v>3.50422738310828</v>
      </c>
      <c r="E104" s="3">
        <v>3.9998135300012798</v>
      </c>
      <c r="F104" s="3">
        <v>2.6560580563186602</v>
      </c>
      <c r="G104" s="3">
        <v>3.2309261573316501</v>
      </c>
      <c r="H104" s="3">
        <v>4.4600210011676698</v>
      </c>
      <c r="I104" s="3">
        <v>1.09822784432281</v>
      </c>
      <c r="J104" s="3">
        <v>1.84362305585213</v>
      </c>
      <c r="K104" s="3">
        <v>3.4198451888693602</v>
      </c>
      <c r="L104" s="3">
        <v>2.8860861961642001</v>
      </c>
      <c r="M104" s="3">
        <v>3.7140565997863799</v>
      </c>
      <c r="N104" s="3">
        <v>5.4984480555022204</v>
      </c>
    </row>
    <row r="105" spans="1:14" x14ac:dyDescent="0.35">
      <c r="A105" s="2">
        <v>44904</v>
      </c>
      <c r="B105" s="3">
        <v>3.42404910768495</v>
      </c>
      <c r="C105" s="3">
        <v>4.4680186813534499</v>
      </c>
      <c r="D105" s="3">
        <v>3.36797165354136</v>
      </c>
      <c r="E105" s="3">
        <v>3.7434995978366499</v>
      </c>
      <c r="F105" s="3">
        <v>2.6460413460700698</v>
      </c>
      <c r="G105" s="3">
        <v>3.12580928770435</v>
      </c>
      <c r="H105" s="3">
        <v>4.2193097954132002</v>
      </c>
      <c r="I105" s="3">
        <v>1.0238547510331399</v>
      </c>
      <c r="J105" s="3">
        <v>1.76277422655773</v>
      </c>
      <c r="K105" s="3">
        <v>3.2854586534056698</v>
      </c>
      <c r="L105" s="3">
        <v>2.6460751353892502</v>
      </c>
      <c r="M105" s="3">
        <v>3.5982176438978799</v>
      </c>
      <c r="N105" s="3">
        <v>5.7830098287023199</v>
      </c>
    </row>
    <row r="106" spans="1:14" x14ac:dyDescent="0.35">
      <c r="A106" s="2">
        <v>44935</v>
      </c>
      <c r="B106" s="3">
        <v>3.4025373947290598</v>
      </c>
      <c r="C106" s="3">
        <v>4.5146783581921897</v>
      </c>
      <c r="D106" s="3">
        <v>3.3809099471692901</v>
      </c>
      <c r="E106" s="3">
        <v>3.61247649491203</v>
      </c>
      <c r="F106" s="3">
        <v>2.7659682865786901</v>
      </c>
      <c r="G106" s="3">
        <v>3.0780684530415199</v>
      </c>
      <c r="H106" s="3">
        <v>4.1526240746172904</v>
      </c>
      <c r="I106" s="3">
        <v>1.0250698130139799</v>
      </c>
      <c r="J106" s="3">
        <v>1.7871009515210801</v>
      </c>
      <c r="K106" s="3">
        <v>3.1947479192489201</v>
      </c>
      <c r="L106" s="3">
        <v>2.6113838897484598</v>
      </c>
      <c r="M106" s="3">
        <v>3.5388324276565002</v>
      </c>
      <c r="N106" s="3">
        <v>5.5455539105960501</v>
      </c>
    </row>
    <row r="107" spans="1:14" x14ac:dyDescent="0.35">
      <c r="A107" s="2">
        <v>44966</v>
      </c>
      <c r="B107" s="3">
        <v>3.2974143060658698</v>
      </c>
      <c r="C107" s="3">
        <v>4.3082747524324896</v>
      </c>
      <c r="D107" s="3">
        <v>3.2706753675056399</v>
      </c>
      <c r="E107" s="3">
        <v>3.4316608953151899</v>
      </c>
      <c r="F107" s="3">
        <v>2.6106869416416001</v>
      </c>
      <c r="G107" s="3">
        <v>3.0608626155373</v>
      </c>
      <c r="H107" s="3">
        <v>4.0627313194830199</v>
      </c>
      <c r="I107" s="3">
        <v>0.93075492607588195</v>
      </c>
      <c r="J107" s="3">
        <v>1.7149980809796599</v>
      </c>
      <c r="K107" s="3">
        <v>3.1230456720248498</v>
      </c>
      <c r="L107" s="3">
        <v>2.5497368297149801</v>
      </c>
      <c r="M107" s="3">
        <v>3.5062907362291198</v>
      </c>
      <c r="N107" s="3">
        <v>5.3859560947543104</v>
      </c>
    </row>
    <row r="108" spans="1:14" x14ac:dyDescent="0.35">
      <c r="A108" s="2">
        <v>44994</v>
      </c>
      <c r="B108" s="3">
        <v>3.42162340301021</v>
      </c>
      <c r="C108" s="3">
        <v>4.4761575832408296</v>
      </c>
      <c r="D108" s="3">
        <v>3.3696126900536498</v>
      </c>
      <c r="E108" s="3">
        <v>3.4893331378230501</v>
      </c>
      <c r="F108" s="3">
        <v>2.5246007840912199</v>
      </c>
      <c r="G108" s="3">
        <v>3.21659778992696</v>
      </c>
      <c r="H108" s="3">
        <v>4.1755289682014904</v>
      </c>
      <c r="I108" s="3">
        <v>0.96691586716107403</v>
      </c>
      <c r="J108" s="3">
        <v>1.7942652591641399</v>
      </c>
      <c r="K108" s="3">
        <v>3.16411774976291</v>
      </c>
      <c r="L108" s="3">
        <v>2.6863876547348</v>
      </c>
      <c r="M108" s="3">
        <v>3.5600286287910499</v>
      </c>
      <c r="N108" s="3">
        <v>5.2740502077634002</v>
      </c>
    </row>
    <row r="109" spans="1:14" x14ac:dyDescent="0.35">
      <c r="A109" s="2">
        <v>45022</v>
      </c>
      <c r="B109" s="3">
        <v>3.3977752568403901</v>
      </c>
      <c r="C109" s="3">
        <v>4.5045811038633801</v>
      </c>
      <c r="D109" s="3">
        <v>3.32349366972571</v>
      </c>
      <c r="E109" s="3">
        <v>3.5468495880578201</v>
      </c>
      <c r="F109" s="3">
        <v>2.6813063960346901</v>
      </c>
      <c r="G109" s="3">
        <v>3.1329729474982102</v>
      </c>
      <c r="H109" s="3">
        <v>4.1550143984115104</v>
      </c>
      <c r="I109" s="3">
        <v>0.89195667831204495</v>
      </c>
      <c r="J109" s="3">
        <v>1.7185950528529199</v>
      </c>
      <c r="K109" s="3">
        <v>3.1722396812804599</v>
      </c>
      <c r="L109" s="3">
        <v>2.67261227395525</v>
      </c>
      <c r="M109" s="3">
        <v>3.71913940336648</v>
      </c>
      <c r="N109" s="3">
        <v>5.4099320434551803</v>
      </c>
    </row>
    <row r="110" spans="1:14" x14ac:dyDescent="0.35">
      <c r="A110" s="2">
        <v>45055</v>
      </c>
      <c r="B110" s="3">
        <v>3.4266590273521298</v>
      </c>
      <c r="C110" s="3">
        <v>4.4056498934856396</v>
      </c>
      <c r="D110" s="3">
        <v>3.2336776202608801</v>
      </c>
      <c r="E110" s="3">
        <v>3.5500623933984898</v>
      </c>
      <c r="F110" s="3">
        <v>2.5187911099246998</v>
      </c>
      <c r="G110" s="3">
        <v>3.0527340477787202</v>
      </c>
      <c r="H110" s="3">
        <v>4.2250504659227399</v>
      </c>
      <c r="I110" s="3">
        <v>0.86820293150377503</v>
      </c>
      <c r="J110" s="3">
        <v>1.7112983440190701</v>
      </c>
      <c r="K110" s="3">
        <v>3.18382495457436</v>
      </c>
      <c r="L110" s="3">
        <v>2.7073387034355898</v>
      </c>
      <c r="M110" s="3">
        <v>3.7340225294121399</v>
      </c>
      <c r="N110" s="3">
        <v>5.4911102385870398</v>
      </c>
    </row>
    <row r="111" spans="1:14" x14ac:dyDescent="0.35">
      <c r="A111" s="2">
        <v>45086</v>
      </c>
      <c r="B111" s="3">
        <v>3.49598244824903</v>
      </c>
      <c r="C111" s="3">
        <v>4.4227210237596797</v>
      </c>
      <c r="D111" s="3">
        <v>3.32182106116738</v>
      </c>
      <c r="E111" s="3">
        <v>3.6475134129310098</v>
      </c>
      <c r="F111" s="3">
        <v>2.3774055969326899</v>
      </c>
      <c r="G111" s="3">
        <v>3.1770242433712399</v>
      </c>
      <c r="H111" s="3">
        <v>4.34194972185065</v>
      </c>
      <c r="I111" s="3">
        <v>0.795897267730727</v>
      </c>
      <c r="J111" s="3">
        <v>1.65136604055292</v>
      </c>
      <c r="K111" s="3">
        <v>3.2891772665311598</v>
      </c>
      <c r="L111" s="3">
        <v>2.6816749536771098</v>
      </c>
      <c r="M111" s="3">
        <v>3.7054830731687098</v>
      </c>
      <c r="N111" s="3">
        <v>5.4435250791849796</v>
      </c>
    </row>
    <row r="112" spans="1:14" x14ac:dyDescent="0.35">
      <c r="A112" s="2">
        <v>45114</v>
      </c>
      <c r="B112" s="3">
        <v>3.4096917371829498</v>
      </c>
      <c r="C112" s="3">
        <v>4.3830413843802898</v>
      </c>
      <c r="D112" s="3">
        <v>3.2986168299774601</v>
      </c>
      <c r="E112" s="3">
        <v>3.7670196382037502</v>
      </c>
      <c r="F112" s="3">
        <v>2.3747044353891402</v>
      </c>
      <c r="G112" s="3">
        <v>3.2733811878107999</v>
      </c>
      <c r="H112" s="3">
        <v>4.5143162157918697</v>
      </c>
      <c r="I112" s="3">
        <v>0.770574181868245</v>
      </c>
      <c r="J112" s="3">
        <v>1.6163112672892701</v>
      </c>
      <c r="K112" s="3">
        <v>3.3709595527896501</v>
      </c>
      <c r="L112" s="3">
        <v>2.7614905510683401</v>
      </c>
      <c r="M112" s="3">
        <v>3.8272435069073301</v>
      </c>
      <c r="N112" s="3">
        <v>5.3866294578956202</v>
      </c>
    </row>
    <row r="113" spans="1:25" x14ac:dyDescent="0.35">
      <c r="A113" s="2">
        <v>45147</v>
      </c>
      <c r="B113" s="3">
        <v>3.4501815082810001</v>
      </c>
      <c r="C113" s="3">
        <v>4.1784397409278302</v>
      </c>
      <c r="D113" s="3">
        <v>3.4446215117335299</v>
      </c>
      <c r="E113" s="3">
        <v>3.7155126810265</v>
      </c>
      <c r="F113" s="3">
        <v>2.3878137550020901</v>
      </c>
      <c r="G113" s="3">
        <v>3.2144222543813101</v>
      </c>
      <c r="H113" s="3">
        <v>4.3839022467914797</v>
      </c>
      <c r="I113" s="3">
        <v>0.89349988198328301</v>
      </c>
      <c r="J113" s="3">
        <v>1.60426930207374</v>
      </c>
      <c r="K113" s="3">
        <v>3.3076062610137398</v>
      </c>
      <c r="L113" s="3">
        <v>2.7572861015466401</v>
      </c>
      <c r="M113" s="3">
        <v>3.8721121033888299</v>
      </c>
      <c r="N113" s="3">
        <v>5.5153157886684303</v>
      </c>
    </row>
    <row r="114" spans="1:25" x14ac:dyDescent="0.35">
      <c r="A114" s="2">
        <v>45177</v>
      </c>
      <c r="B114" s="3">
        <v>3.3841718614512999</v>
      </c>
      <c r="C114" s="3">
        <v>4.2303640064541499</v>
      </c>
      <c r="D114" s="3">
        <v>3.5285831139459201</v>
      </c>
      <c r="E114" s="3">
        <v>3.7585527236485698</v>
      </c>
      <c r="F114" s="3">
        <v>2.33030540450308</v>
      </c>
      <c r="G114" s="3">
        <v>3.30147702000454</v>
      </c>
      <c r="H114" s="3">
        <v>4.4951192827609896</v>
      </c>
      <c r="I114" s="3">
        <v>0.88711539815319795</v>
      </c>
      <c r="J114" s="3">
        <v>1.6147427484229</v>
      </c>
      <c r="K114" s="3">
        <v>3.35932891846686</v>
      </c>
      <c r="L114" s="3">
        <v>2.9576970997888101</v>
      </c>
      <c r="M114" s="3">
        <v>3.9692775813223702</v>
      </c>
      <c r="N114" s="3">
        <v>5.4653158190982296</v>
      </c>
    </row>
    <row r="115" spans="1:25" x14ac:dyDescent="0.35">
      <c r="A115" s="2">
        <v>45208</v>
      </c>
      <c r="B115" s="3">
        <v>3.4564154658523898</v>
      </c>
      <c r="C115" s="3">
        <v>4.3965854796574204</v>
      </c>
      <c r="D115" s="3">
        <v>3.70441663698002</v>
      </c>
      <c r="E115" s="3">
        <v>3.9216779793304801</v>
      </c>
      <c r="F115" s="3">
        <v>2.4496415524267801</v>
      </c>
      <c r="G115" s="3">
        <v>3.3969333877103201</v>
      </c>
      <c r="H115" s="3">
        <v>4.5258308780601899</v>
      </c>
      <c r="I115" s="3">
        <v>0.926678565851773</v>
      </c>
      <c r="J115" s="3">
        <v>1.6719196046922</v>
      </c>
      <c r="K115" s="3">
        <v>3.4785079199286901</v>
      </c>
      <c r="L115" s="3">
        <v>3.05619573097123</v>
      </c>
      <c r="M115" s="3">
        <v>3.8630806360863801</v>
      </c>
      <c r="N115" s="3">
        <v>5.6683006674973999</v>
      </c>
    </row>
    <row r="116" spans="1:25" x14ac:dyDescent="0.35">
      <c r="A116" s="2">
        <v>45239</v>
      </c>
      <c r="B116" s="3">
        <v>3.4537511894805402</v>
      </c>
      <c r="C116" s="3">
        <v>4.3651373173754102</v>
      </c>
      <c r="D116" s="3">
        <v>3.603656903409</v>
      </c>
      <c r="E116" s="3">
        <v>3.8551811076082201</v>
      </c>
      <c r="F116" s="3">
        <v>2.4034779486534301</v>
      </c>
      <c r="G116" s="3">
        <v>3.45787413009726</v>
      </c>
      <c r="H116" s="3">
        <v>4.5438841144902398</v>
      </c>
      <c r="I116" s="3">
        <v>0.92475615912921605</v>
      </c>
      <c r="J116" s="3">
        <v>1.6729589362722701</v>
      </c>
      <c r="K116" s="3">
        <v>3.4259686654766899</v>
      </c>
      <c r="L116" s="3">
        <v>2.9263518597259499</v>
      </c>
      <c r="M116" s="3">
        <v>3.8359213268595398</v>
      </c>
      <c r="N116" s="3">
        <v>5.6041269962610203</v>
      </c>
    </row>
    <row r="117" spans="1:25" x14ac:dyDescent="0.35">
      <c r="A117" s="2">
        <v>45268</v>
      </c>
      <c r="B117" s="3">
        <v>3.08733886647825</v>
      </c>
      <c r="C117" s="3">
        <v>4.2382459348641897</v>
      </c>
      <c r="D117" s="3">
        <v>3.4667156481651999</v>
      </c>
      <c r="E117" s="3">
        <v>3.5422793392957801</v>
      </c>
      <c r="F117" s="3">
        <v>2.4579356006545399</v>
      </c>
      <c r="G117" s="3">
        <v>3.3332970206922599</v>
      </c>
      <c r="H117" s="3">
        <v>4.3975837713105097</v>
      </c>
      <c r="I117" s="3">
        <v>0.88619025276490204</v>
      </c>
      <c r="J117" s="3">
        <v>1.5871824832422501</v>
      </c>
      <c r="K117" s="3">
        <v>3.24818805156956</v>
      </c>
      <c r="L117" s="3">
        <v>2.7290908966245899</v>
      </c>
      <c r="M117" s="3">
        <v>3.0341157013673601</v>
      </c>
      <c r="N117" s="3">
        <v>5.36980689362065</v>
      </c>
    </row>
    <row r="118" spans="1:25" x14ac:dyDescent="0.35">
      <c r="A118" s="2">
        <v>45300</v>
      </c>
      <c r="B118" s="3">
        <v>2.9648920144028801</v>
      </c>
      <c r="C118" s="3">
        <v>4.04492095284039</v>
      </c>
      <c r="D118" s="3">
        <v>3.3472911720181</v>
      </c>
      <c r="E118" s="3">
        <v>3.5901912428429599</v>
      </c>
      <c r="F118" s="3">
        <v>2.3880814610000698</v>
      </c>
      <c r="G118" s="3">
        <v>3.2712298825466801</v>
      </c>
      <c r="H118" s="3">
        <v>4.2977019149933096</v>
      </c>
      <c r="I118" s="3">
        <v>0.92385676153391505</v>
      </c>
      <c r="J118" s="3">
        <v>1.5483251332315999</v>
      </c>
      <c r="K118" s="3">
        <v>3.2824567648127401</v>
      </c>
      <c r="L118" s="3">
        <v>2.7247725957421398</v>
      </c>
      <c r="M118" s="3">
        <v>3.00415747956679</v>
      </c>
      <c r="N118" s="3">
        <v>5.4442856758065803</v>
      </c>
    </row>
    <row r="119" spans="1:25" x14ac:dyDescent="0.35">
      <c r="A119" s="2">
        <v>45331</v>
      </c>
      <c r="B119" s="3">
        <v>2.9897573073423001</v>
      </c>
      <c r="C119" s="3">
        <v>3.9866398976533501</v>
      </c>
      <c r="D119" s="3">
        <v>3.3255283682733801</v>
      </c>
      <c r="E119" s="3">
        <v>3.53877334220308</v>
      </c>
      <c r="F119" s="3">
        <v>2.2730448166621202</v>
      </c>
      <c r="G119" s="3">
        <v>3.3997231389335099</v>
      </c>
      <c r="H119" s="3">
        <v>4.3148881239940398</v>
      </c>
      <c r="I119" s="3">
        <v>0.88032679385397095</v>
      </c>
      <c r="J119" s="3">
        <v>1.4881999773307</v>
      </c>
      <c r="K119" s="3">
        <v>3.20098233307694</v>
      </c>
      <c r="L119" s="3">
        <v>2.4722903430798402</v>
      </c>
      <c r="M119" s="3">
        <v>3.3550856027334999</v>
      </c>
      <c r="N119" s="3">
        <v>5.5129890992619597</v>
      </c>
    </row>
    <row r="120" spans="1:25" x14ac:dyDescent="0.35">
      <c r="A120" s="2">
        <v>45359</v>
      </c>
      <c r="B120" s="3">
        <v>2.7437311859745002</v>
      </c>
      <c r="C120" s="3">
        <v>3.8872188085205499</v>
      </c>
      <c r="D120" s="3">
        <v>3.1966109974441501</v>
      </c>
      <c r="E120" s="3">
        <v>3.32734915148276</v>
      </c>
      <c r="F120" s="3">
        <v>2.1610390781321498</v>
      </c>
      <c r="G120" s="3">
        <v>3.24294977013595</v>
      </c>
      <c r="H120" s="3">
        <v>4.1411170825546</v>
      </c>
      <c r="I120" s="3">
        <v>0.88699414077845795</v>
      </c>
      <c r="J120" s="3">
        <v>1.46742567242122</v>
      </c>
      <c r="K120" s="3">
        <v>3.0988909502245399</v>
      </c>
      <c r="L120" s="3">
        <v>2.5681126416354001</v>
      </c>
      <c r="M120" s="3">
        <v>3.21872576126583</v>
      </c>
      <c r="N120" s="3">
        <v>5.2115349943320703</v>
      </c>
    </row>
    <row r="121" spans="1:25" x14ac:dyDescent="0.35">
      <c r="A121" s="2">
        <v>45391</v>
      </c>
      <c r="B121" s="3">
        <v>2.78257236367156</v>
      </c>
      <c r="C121" s="3">
        <v>3.9014406767630199</v>
      </c>
      <c r="D121" s="3">
        <v>3.0675062054748201</v>
      </c>
      <c r="E121" s="3">
        <v>3.3232145307057399</v>
      </c>
      <c r="F121" s="3">
        <v>2.1669548915900001</v>
      </c>
      <c r="G121" s="3">
        <v>3.3152684321588599</v>
      </c>
      <c r="H121" s="3">
        <v>4.0144881953303502</v>
      </c>
      <c r="I121" s="3">
        <v>0.88987697160886003</v>
      </c>
      <c r="J121" s="3">
        <v>1.44385930559444</v>
      </c>
      <c r="K121" s="3">
        <v>3.1115170211170899</v>
      </c>
      <c r="L121" s="3">
        <v>2.53530822410139</v>
      </c>
      <c r="M121" s="3">
        <v>3.2413016441988298</v>
      </c>
      <c r="N121" s="3">
        <v>5.2433723294743402</v>
      </c>
    </row>
    <row r="122" spans="1:25" x14ac:dyDescent="0.35">
      <c r="A122" s="2">
        <v>45418</v>
      </c>
      <c r="B122" s="3">
        <v>2.7726062003748799</v>
      </c>
      <c r="C122" s="3">
        <v>3.9931172086757099</v>
      </c>
      <c r="D122" s="3">
        <v>3.0578645820508998</v>
      </c>
      <c r="E122" s="3">
        <v>3.3574269179373699</v>
      </c>
      <c r="F122" s="3">
        <v>2.2154101574495599</v>
      </c>
      <c r="G122" s="3">
        <v>3.3787504409721301</v>
      </c>
      <c r="H122" s="3">
        <v>3.90537640218347</v>
      </c>
      <c r="I122" s="3">
        <v>0.91611477458518598</v>
      </c>
      <c r="J122" s="3">
        <v>1.47216974679205</v>
      </c>
      <c r="K122" s="3">
        <v>3.1338575220915801</v>
      </c>
      <c r="L122" s="3">
        <v>2.5097885760985599</v>
      </c>
      <c r="M122" s="3">
        <v>3.24874056705176</v>
      </c>
      <c r="N122" s="3">
        <v>5.2436547654122201</v>
      </c>
    </row>
    <row r="125" spans="1:25" x14ac:dyDescent="0.35">
      <c r="A125" s="2" t="s">
        <v>91</v>
      </c>
      <c r="B125" s="3" cm="1">
        <f t="array" ref="B125">MIN(_xlfn._xlws.FILTER(B1:B122, ISNUMBER(B1:B122)))</f>
        <v>2.33334746795158</v>
      </c>
      <c r="C125" s="3" cm="1">
        <f t="array" ref="C125">MIN(_xlfn._xlws.FILTER(C1:C122, ISNUMBER(C1:C122)))</f>
        <v>3.2709190124766701</v>
      </c>
      <c r="D125" s="3" cm="1">
        <f t="array" ref="D125">MIN(_xlfn._xlws.FILTER(D1:D122, ISNUMBER(D1:D122)))</f>
        <v>2.5948836943696101</v>
      </c>
      <c r="E125" s="3" cm="1">
        <f t="array" ref="E125">MIN(_xlfn._xlws.FILTER(E1:E122, ISNUMBER(E1:E122)))</f>
        <v>2.6493903215846402</v>
      </c>
      <c r="F125" s="3" cm="1">
        <f t="array" ref="F125">MIN(_xlfn._xlws.FILTER(F1:F122, ISNUMBER(F1:F122)))</f>
        <v>1.8345480212512499</v>
      </c>
      <c r="G125" s="3" cm="1">
        <f t="array" ref="G125">MIN(_xlfn._xlws.FILTER(G1:G122, ISNUMBER(G1:G122)))</f>
        <v>2.5667147037075</v>
      </c>
      <c r="H125" s="3" cm="1">
        <f t="array" ref="H125">MIN(_xlfn._xlws.FILTER(H1:H122, ISNUMBER(H1:H122)))</f>
        <v>3.7607929358347199</v>
      </c>
      <c r="I125" s="3" cm="1">
        <f t="array" ref="I125">MIN(_xlfn._xlws.FILTER(I1:I122, ISNUMBER(I1:I122)))</f>
        <v>0.66397982837917402</v>
      </c>
      <c r="J125" s="3" cm="1">
        <f t="array" ref="J125">MIN(_xlfn._xlws.FILTER(J1:J122, ISNUMBER(J1:J122)))</f>
        <v>1.3723408442194001</v>
      </c>
      <c r="K125" s="3" cm="1">
        <f t="array" ref="K125">MIN(_xlfn._xlws.FILTER(K1:K122, ISNUMBER(K1:K122)))</f>
        <v>2.6537369154332402</v>
      </c>
      <c r="L125" s="3" cm="1">
        <f t="array" ref="L125">MIN(_xlfn._xlws.FILTER(L1:L122, ISNUMBER(L1:L122)))</f>
        <v>1.85220919634869</v>
      </c>
      <c r="M125" s="3" cm="1">
        <f t="array" ref="M125">MIN(_xlfn._xlws.FILTER(M1:M122, ISNUMBER(M1:M122)))</f>
        <v>2.67209223700779</v>
      </c>
      <c r="N125" s="3" cm="1">
        <f t="array" ref="N125">MIN(_xlfn._xlws.FILTER(N1:N122, ISNUMBER(N1:N122)))</f>
        <v>3.0767805014235701</v>
      </c>
    </row>
    <row r="126" spans="1:25" x14ac:dyDescent="0.35">
      <c r="A126" s="2" t="s">
        <v>92</v>
      </c>
      <c r="B126" s="3" cm="1">
        <f t="array" ref="B126">MAX(_xlfn._xlws.FILTER(B1:B122, ISNUMBER(B1:B122)))</f>
        <v>5.25610306562709</v>
      </c>
      <c r="C126" s="3" cm="1">
        <f t="array" ref="C126">MAX(_xlfn._xlws.FILTER(C1:C122, ISNUMBER(C1:C122)))</f>
        <v>5.4611894413866304</v>
      </c>
      <c r="D126" s="3" cm="1">
        <f t="array" ref="D126">MAX(_xlfn._xlws.FILTER(D1:D122, ISNUMBER(D1:D122)))</f>
        <v>4.0602260028667603</v>
      </c>
      <c r="E126" s="3" cm="1">
        <f t="array" ref="E126">MAX(_xlfn._xlws.FILTER(E1:E122, ISNUMBER(E1:E122)))</f>
        <v>4.4284333081306704</v>
      </c>
      <c r="F126" s="3" cm="1">
        <f t="array" ref="F126">MAX(_xlfn._xlws.FILTER(F1:F122, ISNUMBER(F1:F122)))</f>
        <v>2.9988072760996798</v>
      </c>
      <c r="G126" s="3" cm="1">
        <f t="array" ref="G126">MAX(_xlfn._xlws.FILTER(G1:G122, ISNUMBER(G1:G122)))</f>
        <v>3.66889068341432</v>
      </c>
      <c r="H126" s="3" cm="1">
        <f t="array" ref="H126">MAX(_xlfn._xlws.FILTER(H1:H122, ISNUMBER(H1:H122)))</f>
        <v>5.8319177463781404</v>
      </c>
      <c r="I126" s="3" cm="1">
        <f t="array" ref="I126">MAX(_xlfn._xlws.FILTER(I1:I122, ISNUMBER(I1:I122)))</f>
        <v>1.49050316831068</v>
      </c>
      <c r="J126" s="3" cm="1">
        <f t="array" ref="J126">MAX(_xlfn._xlws.FILTER(J1:J122, ISNUMBER(J1:J122)))</f>
        <v>2.4751977345461702</v>
      </c>
      <c r="K126" s="3" cm="1">
        <f t="array" ref="K126">MAX(_xlfn._xlws.FILTER(K1:K122, ISNUMBER(K1:K122)))</f>
        <v>4.1412168504858702</v>
      </c>
      <c r="L126" s="3" cm="1">
        <f t="array" ref="L126">MAX(_xlfn._xlws.FILTER(L1:L122, ISNUMBER(L1:L122)))</f>
        <v>3.6777305051679798</v>
      </c>
      <c r="M126" s="3" cm="1">
        <f t="array" ref="M126">MAX(_xlfn._xlws.FILTER(M1:M122, ISNUMBER(M1:M122)))</f>
        <v>4.7108806811885202</v>
      </c>
      <c r="N126" s="3" cm="1">
        <f t="array" ref="N126">MAX(_xlfn._xlws.FILTER(N1:N122, ISNUMBER(N1:N122)))</f>
        <v>6.16206664921536</v>
      </c>
    </row>
    <row r="128" spans="1:25" x14ac:dyDescent="0.35">
      <c r="A128" s="2" t="s">
        <v>93</v>
      </c>
      <c r="B128" s="9" cm="1">
        <f t="array" ref="B128">_xlfn.PERCENTRANK.EXC(_xlfn._xlws.FILTER(B1:B122, ISNUMBER(B1:B122)),B122)</f>
        <v>0.17199999999999999</v>
      </c>
      <c r="C128" s="9" cm="1">
        <f t="array" ref="C128">_xlfn.PERCENTRANK.EXC(_xlfn._xlws.FILTER(C1:C122, ISNUMBER(C1:C122)),C122)</f>
        <v>0.17199999999999999</v>
      </c>
      <c r="D128" s="9" cm="1">
        <f t="array" ref="D128">_xlfn.PERCENTRANK.EXC(_xlfn._xlws.FILTER(D1:D122, ISNUMBER(D1:D122)),D122)</f>
        <v>0.40899999999999997</v>
      </c>
      <c r="E128" s="9" cm="1">
        <f t="array" ref="E128">_xlfn.PERCENTRANK.EXC(_xlfn._xlws.FILTER(E1:E122, ISNUMBER(E1:E122)),E122)</f>
        <v>0.622</v>
      </c>
      <c r="F128" s="9" cm="1">
        <f t="array" ref="F128">_xlfn.PERCENTRANK.EXC(_xlfn._xlws.FILTER(F1:F122, ISNUMBER(F1:F122)),F122)</f>
        <v>0.36</v>
      </c>
      <c r="G128" s="9" cm="1">
        <f t="array" ref="G128">_xlfn.PERCENTRANK.EXC(_xlfn._xlws.FILTER(G1:G122, ISNUMBER(G1:G122)),G122)</f>
        <v>0.69599999999999995</v>
      </c>
      <c r="H128" s="9" cm="1">
        <f t="array" ref="H128">_xlfn.PERCENTRANK.EXC(_xlfn._xlws.FILTER(H1:H122, ISNUMBER(H1:H122)),H122)</f>
        <v>0.09</v>
      </c>
      <c r="I128" s="9" cm="1">
        <f t="array" ref="I128">_xlfn.PERCENTRANK.EXC(_xlfn._xlws.FILTER(I1:I122, ISNUMBER(I1:I122)),I122)</f>
        <v>0.28599999999999998</v>
      </c>
      <c r="J128" s="9" cm="1">
        <f t="array" ref="J128">_xlfn.PERCENTRANK.EXC(_xlfn._xlws.FILTER(J1:J122, ISNUMBER(J1:J122)),J122)</f>
        <v>0.122</v>
      </c>
      <c r="K128" s="9" cm="1">
        <f t="array" ref="K128">_xlfn.PERCENTRANK.EXC(_xlfn._xlws.FILTER(K1:K122, ISNUMBER(K1:K122)),K122)</f>
        <v>0.188</v>
      </c>
      <c r="L128" s="9" cm="1">
        <f t="array" ref="L128">_xlfn.PERCENTRANK.EXC(_xlfn._xlws.FILTER(L1:L122, ISNUMBER(L1:L122)),L122)</f>
        <v>0.20399999999999999</v>
      </c>
      <c r="M128" s="9" cm="1">
        <f t="array" ref="M128">_xlfn.PERCENTRANK.EXC(_xlfn._xlws.FILTER(M1:M122, ISNUMBER(M1:M122)),M122)</f>
        <v>0.221</v>
      </c>
      <c r="N128" s="9" cm="1">
        <f t="array" ref="N128">_xlfn.PERCENTRANK.EXC(_xlfn._xlws.FILTER(N1:N122, ISNUMBER(N1:N122)),N122)</f>
        <v>0.77800000000000002</v>
      </c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39"/>
  <sheetViews>
    <sheetView topLeftCell="A106" workbookViewId="0">
      <selection activeCell="B132" sqref="B132"/>
    </sheetView>
  </sheetViews>
  <sheetFormatPr defaultRowHeight="14.5" x14ac:dyDescent="0.35"/>
  <cols>
    <col min="1" max="1" width="24.54296875" bestFit="1" customWidth="1"/>
  </cols>
  <sheetData>
    <row r="1" spans="1:26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26" x14ac:dyDescent="0.35">
      <c r="A2" s="2" cm="1">
        <f t="array" ref="A2:A122">_xll.FDS(B1,"JULIAN(FG_TOTAL_RETURNC(-10AY,0,AM).dates)")</f>
        <v>41768</v>
      </c>
      <c r="B2" s="24" cm="1">
        <f t="array" ref="B2:B122">_xll.FDS(B1,"FG_TOTAL_RETURNC(-10AY,0,AM)")/100</f>
        <v>-2.5731324999999998E-3</v>
      </c>
      <c r="C2" s="24" cm="1">
        <f t="array" ref="C2:C122">_xll.FDS(C1,"FG_TOTAL_RETURNC(-10AY,0,AM)")/100</f>
        <v>-9.7014309999999999E-3</v>
      </c>
      <c r="D2" s="24" cm="1">
        <f t="array" ref="D2:D122">_xll.FDS(D1,"FG_TOTAL_RETURNC(-10AY,0,AM)")/100</f>
        <v>6.2913894999999994E-3</v>
      </c>
      <c r="E2" s="24" cm="1">
        <f t="array" ref="E2:E122">_xll.FDS(E1,"FG_TOTAL_RETURNC(-10AY,0,AM)")/100</f>
        <v>-3.498733E-3</v>
      </c>
      <c r="F2" s="24" cm="1">
        <f t="array" ref="F2:F122">_xll.FDS(F1,"FG_TOTAL_RETURNC(-10AY,0,AM)")/100</f>
        <v>-1.7920732E-3</v>
      </c>
      <c r="G2" s="24" cm="1">
        <f t="array" ref="G2:G122">_xll.FDS(G1,"FG_TOTAL_RETURNC(-10AY,0,AM)")/100</f>
        <v>7.7990294000000009E-3</v>
      </c>
      <c r="H2" s="24" cm="1">
        <f t="array" ref="H2:H122">_xll.FDS(H1,"FG_TOTAL_RETURNC(-10AY,0,AM)")/100</f>
        <v>3.6842107999999998E-2</v>
      </c>
      <c r="I2" s="24" cm="1">
        <f t="array" ref="I2:I122">_xll.FDS(I1,"FG_TOTAL_RETURNC(-10AY,0,AM)")/100</f>
        <v>-1.1614621E-2</v>
      </c>
      <c r="J2" s="24" cm="1">
        <f t="array" ref="J2:J122">_xll.FDS(J1,"FG_TOTAL_RETURNC(-10AY,0,AM)")/100</f>
        <v>4.6502352E-3</v>
      </c>
      <c r="K2" s="24" cm="1">
        <f t="array" ref="K2:K122">_xll.FDS(K1,"FG_TOTAL_RETURNC(-10AY,0,AM)")/100</f>
        <v>3.3590794000000002E-3</v>
      </c>
      <c r="L2" s="24" cm="1">
        <f t="array" ref="L2:L122">_xll.FDS(L1,"FG_TOTAL_RETURNC(-10AY,0,AM)")/100</f>
        <v>-2.3990930000000001E-2</v>
      </c>
      <c r="M2" s="24" cm="1">
        <f t="array" ref="M2:M122">_xll.FDS(M1,"FG_TOTAL_RETURNC(-10AY,0,AM)")/100</f>
        <v>-1.4343798000000001E-2</v>
      </c>
      <c r="N2" s="24" cm="1">
        <f t="array" ref="N2:N122">_xll.FDS(N1,"FG_TOTAL_RETURNC(-10AY,0,AM)")/100</f>
        <v>-2.8428078000000002E-2</v>
      </c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x14ac:dyDescent="0.35">
      <c r="A3" s="2">
        <v>41799</v>
      </c>
      <c r="B3" s="24">
        <v>-1.008445E-2</v>
      </c>
      <c r="C3" s="24">
        <v>7.1589946999999999E-3</v>
      </c>
      <c r="D3" s="24">
        <v>2.1717667999999999E-2</v>
      </c>
      <c r="E3" s="24">
        <v>2.8726459000000003E-2</v>
      </c>
      <c r="F3" s="24">
        <v>5.9245944000000002E-2</v>
      </c>
      <c r="G3" s="24">
        <v>1.1751175000000001E-2</v>
      </c>
      <c r="H3" s="24">
        <v>6.9220065999999998E-3</v>
      </c>
      <c r="I3" s="24">
        <v>6.8548319999999996E-2</v>
      </c>
      <c r="J3" s="24">
        <v>4.0540456999999995E-2</v>
      </c>
      <c r="K3" s="24">
        <v>2.4104476E-2</v>
      </c>
      <c r="L3" s="24">
        <v>2.7315617E-2</v>
      </c>
      <c r="M3" s="24">
        <v>1.8945693999999999E-2</v>
      </c>
      <c r="N3" s="24">
        <v>5.7946086000000001E-2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35">
      <c r="A4" s="2">
        <v>41829</v>
      </c>
      <c r="B4" s="24">
        <v>2.4914144999999999E-2</v>
      </c>
      <c r="C4" s="24">
        <v>3.286481E-3</v>
      </c>
      <c r="D4" s="24">
        <v>5.3489923000000002E-2</v>
      </c>
      <c r="E4" s="24">
        <v>-1.7177463E-2</v>
      </c>
      <c r="F4" s="24">
        <v>3.5001755000000002E-2</v>
      </c>
      <c r="G4" s="24">
        <v>-9.9102854999999993E-3</v>
      </c>
      <c r="H4" s="24">
        <v>3.5045147E-3</v>
      </c>
      <c r="I4" s="24">
        <v>2.6576638E-2</v>
      </c>
      <c r="J4" s="24">
        <v>1.2692094000000001E-2</v>
      </c>
      <c r="K4" s="24">
        <v>-4.4813749999999999E-2</v>
      </c>
      <c r="L4" s="24">
        <v>-1.6628503999999999E-2</v>
      </c>
      <c r="M4" s="24">
        <v>-3.4011423999999998E-2</v>
      </c>
      <c r="N4" s="24">
        <v>-6.077838E-2</v>
      </c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x14ac:dyDescent="0.35">
      <c r="A5" s="2">
        <v>41859</v>
      </c>
      <c r="B5" s="24">
        <v>-5.344057E-2</v>
      </c>
      <c r="C5" s="24">
        <v>-1.5140057E-2</v>
      </c>
      <c r="D5" s="24">
        <v>-2.6485979999999999E-2</v>
      </c>
      <c r="E5" s="24">
        <v>-8.5990369999999997E-2</v>
      </c>
      <c r="F5" s="24">
        <v>-3.2151699999999998E-2</v>
      </c>
      <c r="G5" s="24">
        <v>-4.4343589999999995E-2</v>
      </c>
      <c r="H5" s="24">
        <v>-4.2165812999999996E-2</v>
      </c>
      <c r="I5" s="24">
        <v>-6.3180920000000006E-4</v>
      </c>
      <c r="J5" s="24">
        <v>-1.9683361E-2</v>
      </c>
      <c r="K5" s="24">
        <v>-6.0796679999999999E-2</v>
      </c>
      <c r="L5" s="24">
        <v>-7.0206459999999998E-2</v>
      </c>
      <c r="M5" s="24">
        <v>-4.1893779999999999E-2</v>
      </c>
      <c r="N5" s="24">
        <v>-9.6604170000000003E-2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x14ac:dyDescent="0.35">
      <c r="A6" s="2">
        <v>41891</v>
      </c>
      <c r="B6" s="24">
        <v>9.9925994999999993E-3</v>
      </c>
      <c r="C6" s="24">
        <v>2.4212121999999999E-2</v>
      </c>
      <c r="D6" s="24">
        <v>2.7839303000000003E-2</v>
      </c>
      <c r="E6" s="24">
        <v>2.5722383999999997E-2</v>
      </c>
      <c r="F6" s="24">
        <v>-8.5181000000000005E-4</v>
      </c>
      <c r="G6" s="24">
        <v>2.388966E-2</v>
      </c>
      <c r="H6" s="24">
        <v>-2.5011896999999998E-3</v>
      </c>
      <c r="I6" s="24">
        <v>4.5837760000000005E-2</v>
      </c>
      <c r="J6" s="24">
        <v>3.1463504000000003E-2</v>
      </c>
      <c r="K6" s="24">
        <v>2.4925590000000001E-2</v>
      </c>
      <c r="L6" s="24">
        <v>4.0609119999999999E-2</v>
      </c>
      <c r="M6" s="24">
        <v>-2.9948354000000001E-3</v>
      </c>
      <c r="N6" s="24">
        <v>5.2495119999999999E-2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x14ac:dyDescent="0.35">
      <c r="A7" s="2">
        <v>41921</v>
      </c>
      <c r="B7" s="24">
        <v>-4.7538995999999993E-2</v>
      </c>
      <c r="C7" s="24">
        <v>-0.10431517</v>
      </c>
      <c r="D7" s="24">
        <v>-8.5257050000000001E-2</v>
      </c>
      <c r="E7" s="24">
        <v>-9.8248060000000012E-2</v>
      </c>
      <c r="F7" s="24">
        <v>-4.6888230000000003E-2</v>
      </c>
      <c r="G7" s="24">
        <v>-7.0894422999999998E-2</v>
      </c>
      <c r="H7" s="24">
        <v>-6.7201614000000007E-2</v>
      </c>
      <c r="I7" s="24">
        <v>-2.175939E-2</v>
      </c>
      <c r="J7" s="24">
        <v>-2.8487265000000001E-2</v>
      </c>
      <c r="K7" s="24">
        <v>-9.7277639999999999E-2</v>
      </c>
      <c r="L7" s="24">
        <v>-5.8130082999999999E-2</v>
      </c>
      <c r="M7" s="24">
        <v>-7.0291400000000004E-2</v>
      </c>
      <c r="N7" s="24">
        <v>-0.10652708999999999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x14ac:dyDescent="0.35">
      <c r="A8" s="2">
        <v>41950</v>
      </c>
      <c r="B8" s="24">
        <v>2.8357744000000001E-2</v>
      </c>
      <c r="C8" s="24">
        <v>4.6501875000000005E-2</v>
      </c>
      <c r="D8" s="24">
        <v>4.3741465000000004E-3</v>
      </c>
      <c r="E8" s="24">
        <v>2.4380921999999999E-2</v>
      </c>
      <c r="F8" s="24">
        <v>3.4883617999999998E-2</v>
      </c>
      <c r="G8" s="24">
        <v>3.4771442E-2</v>
      </c>
      <c r="H8" s="24">
        <v>1.9892454E-2</v>
      </c>
      <c r="I8" s="24">
        <v>4.8936605000000001E-2</v>
      </c>
      <c r="J8" s="24">
        <v>5.4996369999999996E-2</v>
      </c>
      <c r="K8" s="24">
        <v>1.1660576000000001E-2</v>
      </c>
      <c r="L8" s="24">
        <v>2.1579622999999999E-2</v>
      </c>
      <c r="M8" s="24">
        <v>5.7188990000000002E-2</v>
      </c>
      <c r="N8" s="24">
        <v>-1.5851199999999999E-2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x14ac:dyDescent="0.35">
      <c r="A9" s="2">
        <v>41982</v>
      </c>
      <c r="B9" s="24">
        <v>1.0858536E-2</v>
      </c>
      <c r="C9" s="24">
        <v>-8.2465940000000001E-2</v>
      </c>
      <c r="D9" s="24">
        <v>-3.9866030000000004E-2</v>
      </c>
      <c r="E9" s="24">
        <v>5.5410979999999999E-2</v>
      </c>
      <c r="F9" s="24">
        <v>4.3215752000000003E-3</v>
      </c>
      <c r="G9" s="24">
        <v>1.8668412999999998E-2</v>
      </c>
      <c r="H9" s="24">
        <v>-1.5287219999999999E-2</v>
      </c>
      <c r="I9" s="24">
        <v>3.3070922000000003E-2</v>
      </c>
      <c r="J9" s="24">
        <v>1.5393018999999999E-2</v>
      </c>
      <c r="K9" s="24">
        <v>2.1462680000000001E-2</v>
      </c>
      <c r="L9" s="24">
        <v>4.1402580000000001E-2</v>
      </c>
      <c r="M9" s="24">
        <v>1.4975429E-2</v>
      </c>
      <c r="N9" s="24">
        <v>1.4005541999999999E-2</v>
      </c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x14ac:dyDescent="0.35">
      <c r="A10" s="2">
        <v>42013</v>
      </c>
      <c r="B10" s="24">
        <v>3.3959389E-2</v>
      </c>
      <c r="C10" s="24">
        <v>1.3574362E-2</v>
      </c>
      <c r="D10" s="24">
        <v>-2.2271990000000002E-2</v>
      </c>
      <c r="E10" s="24">
        <v>-5.7434797000000003E-2</v>
      </c>
      <c r="F10" s="24">
        <v>-3.6532044E-2</v>
      </c>
      <c r="G10" s="24">
        <v>-3.5125256000000001E-2</v>
      </c>
      <c r="H10" s="24">
        <v>-3.9765297999999998E-2</v>
      </c>
      <c r="I10" s="24">
        <v>-1.866889E-2</v>
      </c>
      <c r="J10" s="24">
        <v>-5.3157805999999993E-3</v>
      </c>
      <c r="K10" s="24">
        <v>-6.3740850000000002E-2</v>
      </c>
      <c r="L10" s="24">
        <v>-6.1710000000000001E-2</v>
      </c>
      <c r="M10" s="24">
        <v>-6.7881465000000002E-2</v>
      </c>
      <c r="N10" s="24">
        <v>-0.1057061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x14ac:dyDescent="0.35">
      <c r="A11" s="2">
        <v>42044</v>
      </c>
      <c r="B11" s="24">
        <v>-1.9125580999999999E-2</v>
      </c>
      <c r="C11" s="24">
        <v>2.0444393000000002E-2</v>
      </c>
      <c r="D11" s="24">
        <v>5.7886839999999997E-3</v>
      </c>
      <c r="E11" s="24">
        <v>5.0841092999999997E-2</v>
      </c>
      <c r="F11" s="24">
        <v>3.6837339999999996E-2</v>
      </c>
      <c r="G11" s="24">
        <v>3.5454273000000001E-2</v>
      </c>
      <c r="H11" s="24">
        <v>5.2302479999999998E-2</v>
      </c>
      <c r="I11" s="24">
        <v>1.7540454999999998E-3</v>
      </c>
      <c r="J11" s="24">
        <v>1.8604994E-3</v>
      </c>
      <c r="K11" s="24">
        <v>6.1215878000000001E-2</v>
      </c>
      <c r="L11" s="24">
        <v>3.2104253999999999E-2</v>
      </c>
      <c r="M11" s="24">
        <v>5.9876322999999995E-2</v>
      </c>
      <c r="N11" s="24">
        <v>6.4541219999999996E-2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x14ac:dyDescent="0.35">
      <c r="A12" s="2">
        <v>42072</v>
      </c>
      <c r="B12" s="24">
        <v>2.0511507999999998E-2</v>
      </c>
      <c r="C12" s="24">
        <v>3.91984E-3</v>
      </c>
      <c r="D12" s="24">
        <v>-2.3021579E-2</v>
      </c>
      <c r="E12" s="24">
        <v>4.2333603000000004E-2</v>
      </c>
      <c r="F12" s="24">
        <v>6.3258289999999995E-2</v>
      </c>
      <c r="G12" s="24">
        <v>-1.5285610999999999E-3</v>
      </c>
      <c r="H12" s="24">
        <v>6.4829589999999999E-3</v>
      </c>
      <c r="I12" s="24">
        <v>4.7859907E-2</v>
      </c>
      <c r="J12" s="24">
        <v>1.8228054E-2</v>
      </c>
      <c r="K12" s="24">
        <v>2.0150185000000001E-2</v>
      </c>
      <c r="L12" s="24">
        <v>6.5153359999999994E-2</v>
      </c>
      <c r="M12" s="24">
        <v>2.9168010000000001E-2</v>
      </c>
      <c r="N12" s="24">
        <v>6.3550115000000004E-2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x14ac:dyDescent="0.35">
      <c r="A13" s="2">
        <v>42103</v>
      </c>
      <c r="B13" s="24">
        <v>1.1910677000000001E-2</v>
      </c>
      <c r="C13" s="24">
        <v>1.9522786E-2</v>
      </c>
      <c r="D13" s="24">
        <v>3.534615E-2</v>
      </c>
      <c r="E13" s="24">
        <v>3.2423258000000003E-2</v>
      </c>
      <c r="F13" s="24">
        <v>5.29747E-2</v>
      </c>
      <c r="G13" s="24">
        <v>4.8683405000000006E-2</v>
      </c>
      <c r="H13" s="24">
        <v>-2.6838182999999998E-3</v>
      </c>
      <c r="I13" s="24">
        <v>-1.5292168E-3</v>
      </c>
      <c r="J13" s="24">
        <v>7.0267915999999995E-3</v>
      </c>
      <c r="K13" s="24">
        <v>3.601861E-2</v>
      </c>
      <c r="L13" s="24">
        <v>2.4861813E-2</v>
      </c>
      <c r="M13" s="24">
        <v>8.3532333000000004E-3</v>
      </c>
      <c r="N13" s="24">
        <v>4.1208743999999999E-2</v>
      </c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x14ac:dyDescent="0.35">
      <c r="A14" s="2">
        <v>42132</v>
      </c>
      <c r="B14" s="24">
        <v>-2.6189208000000002E-2</v>
      </c>
      <c r="C14" s="24">
        <v>-2.3829757999999999E-2</v>
      </c>
      <c r="D14" s="24">
        <v>2.8805136999999998E-2</v>
      </c>
      <c r="E14" s="24">
        <v>4.2974950000000001E-3</v>
      </c>
      <c r="F14" s="24">
        <v>1.7027855000000001E-2</v>
      </c>
      <c r="G14" s="24">
        <v>2.5693417E-2</v>
      </c>
      <c r="H14" s="24">
        <v>5.7588815999999994E-2</v>
      </c>
      <c r="I14" s="24">
        <v>1.285994E-2</v>
      </c>
      <c r="J14" s="24">
        <v>1.3020635000000001E-2</v>
      </c>
      <c r="K14" s="24">
        <v>2.9532790000000003E-2</v>
      </c>
      <c r="L14" s="24">
        <v>2.1178365000000001E-2</v>
      </c>
      <c r="M14" s="24">
        <v>1.8343210000000002E-2</v>
      </c>
      <c r="N14" s="24">
        <v>3.1002640000000001E-2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x14ac:dyDescent="0.35">
      <c r="A15" s="2">
        <v>42164</v>
      </c>
      <c r="B15" s="24">
        <v>-2.7749836E-2</v>
      </c>
      <c r="C15" s="24">
        <v>-6.3208399999999998E-2</v>
      </c>
      <c r="D15" s="24">
        <v>-4.5281706000000005E-2</v>
      </c>
      <c r="E15" s="24">
        <v>-5.7274523000000001E-2</v>
      </c>
      <c r="F15" s="24">
        <v>-2.8919340000000002E-2</v>
      </c>
      <c r="G15" s="24">
        <v>-1.4802158000000001E-2</v>
      </c>
      <c r="H15" s="24">
        <v>-4.6819329999999999E-2</v>
      </c>
      <c r="I15" s="24">
        <v>-6.2563420000000007E-3</v>
      </c>
      <c r="J15" s="24">
        <v>-1.4979659999999999E-2</v>
      </c>
      <c r="K15" s="24">
        <v>-3.3042908000000003E-2</v>
      </c>
      <c r="L15" s="24">
        <v>-1.4705955999999999E-2</v>
      </c>
      <c r="M15" s="24">
        <v>-1.7431676E-2</v>
      </c>
      <c r="N15" s="24">
        <v>-2.3032606000000001E-2</v>
      </c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x14ac:dyDescent="0.35">
      <c r="A16" s="2">
        <v>42194</v>
      </c>
      <c r="B16" s="24">
        <v>-8.5455120000000009E-2</v>
      </c>
      <c r="C16" s="24">
        <v>-2.5810062999999998E-2</v>
      </c>
      <c r="D16" s="24">
        <v>-5.9797820000000002E-2</v>
      </c>
      <c r="E16" s="24">
        <v>-2.1719754000000001E-2</v>
      </c>
      <c r="F16" s="24">
        <v>-1.8584370999999999E-2</v>
      </c>
      <c r="G16" s="24">
        <v>-2.6703774999999999E-2</v>
      </c>
      <c r="H16" s="24">
        <v>-2.7440012E-2</v>
      </c>
      <c r="I16" s="24">
        <v>-1.6061246000000001E-2</v>
      </c>
      <c r="J16" s="24">
        <v>-1.2227475999999999E-2</v>
      </c>
      <c r="K16" s="24">
        <v>-4.2653320000000002E-2</v>
      </c>
      <c r="L16" s="24">
        <v>-2.9652059999999997E-2</v>
      </c>
      <c r="M16" s="24">
        <v>-4.9448610000000004E-2</v>
      </c>
      <c r="N16" s="24">
        <v>-3.3696352999999998E-2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x14ac:dyDescent="0.35">
      <c r="A17" s="2">
        <v>42223</v>
      </c>
      <c r="B17" s="24">
        <v>8.1348419999999998E-3</v>
      </c>
      <c r="C17" s="24">
        <v>-4.8924088000000003E-3</v>
      </c>
      <c r="D17" s="24">
        <v>-2.3670970999999999E-2</v>
      </c>
      <c r="E17" s="24">
        <v>4.4299125999999994E-2</v>
      </c>
      <c r="F17" s="24">
        <v>3.8523196999999995E-2</v>
      </c>
      <c r="G17" s="24">
        <v>1.8236994999999999E-2</v>
      </c>
      <c r="H17" s="24">
        <v>3.6333203000000001E-2</v>
      </c>
      <c r="I17" s="24">
        <v>4.0365933999999999E-2</v>
      </c>
      <c r="J17" s="24">
        <v>1.4885306000000001E-2</v>
      </c>
      <c r="K17" s="24">
        <v>8.2568760000000005E-2</v>
      </c>
      <c r="L17" s="24">
        <v>5.6464553000000001E-2</v>
      </c>
      <c r="M17" s="24">
        <v>1.1756539E-2</v>
      </c>
      <c r="N17" s="24">
        <v>7.586205E-2</v>
      </c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x14ac:dyDescent="0.35">
      <c r="A18" s="2">
        <v>42256</v>
      </c>
      <c r="B18" s="24">
        <v>-7.4063359999999995E-2</v>
      </c>
      <c r="C18" s="24">
        <v>-0.10127825</v>
      </c>
      <c r="D18" s="24">
        <v>-6.3593029999999995E-2</v>
      </c>
      <c r="E18" s="24">
        <v>-9.1794130000000002E-2</v>
      </c>
      <c r="F18" s="24">
        <v>-9.2735709999999999E-2</v>
      </c>
      <c r="G18" s="24">
        <v>-5.9402999999999997E-2</v>
      </c>
      <c r="H18" s="24">
        <v>-9.115427999999999E-2</v>
      </c>
      <c r="I18" s="24">
        <v>-5.8471559999999999E-2</v>
      </c>
      <c r="J18" s="24">
        <v>-6.328445399999999E-2</v>
      </c>
      <c r="K18" s="24">
        <v>-8.8430350000000005E-2</v>
      </c>
      <c r="L18" s="24">
        <v>-8.7441025000000006E-2</v>
      </c>
      <c r="M18" s="24">
        <v>-3.3421218000000003E-2</v>
      </c>
      <c r="N18" s="24">
        <v>-6.217951E-2</v>
      </c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x14ac:dyDescent="0.35">
      <c r="A19" s="2">
        <v>42286</v>
      </c>
      <c r="B19" s="24">
        <v>5.135381E-2</v>
      </c>
      <c r="C19" s="24">
        <v>7.4398160000000005E-2</v>
      </c>
      <c r="D19" s="24">
        <v>5.7724953000000002E-2</v>
      </c>
      <c r="E19" s="24">
        <v>5.3598880000000002E-3</v>
      </c>
      <c r="F19" s="24">
        <v>3.0664443999999999E-2</v>
      </c>
      <c r="G19" s="24">
        <v>1.2059689E-2</v>
      </c>
      <c r="H19" s="24">
        <v>4.3323400000000005E-2</v>
      </c>
      <c r="I19" s="24">
        <v>2.823937E-2</v>
      </c>
      <c r="J19" s="24">
        <v>3.9039730000000002E-2</v>
      </c>
      <c r="K19" s="24">
        <v>3.9207697E-2</v>
      </c>
      <c r="L19" s="24">
        <v>1.2831091999999999E-2</v>
      </c>
      <c r="M19" s="24">
        <v>2.4036884000000001E-2</v>
      </c>
      <c r="N19" s="24">
        <v>4.1011569999999997E-2</v>
      </c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x14ac:dyDescent="0.35">
      <c r="A20" s="2">
        <v>42317</v>
      </c>
      <c r="B20" s="24">
        <v>4.5293093000000006E-2</v>
      </c>
      <c r="C20" s="24">
        <v>-7.5356426000000004E-2</v>
      </c>
      <c r="D20" s="24">
        <v>-6.0593899999999999E-2</v>
      </c>
      <c r="E20" s="24">
        <v>8.3777904999999993E-3</v>
      </c>
      <c r="F20" s="24">
        <v>2.0661116E-2</v>
      </c>
      <c r="G20" s="24">
        <v>-1.8501103000000001E-2</v>
      </c>
      <c r="H20" s="24">
        <v>-3.0716657999999997E-2</v>
      </c>
      <c r="I20" s="24">
        <v>6.6084623000000009E-2</v>
      </c>
      <c r="J20" s="24">
        <v>3.3527016999999999E-2</v>
      </c>
      <c r="K20" s="24">
        <v>-9.7238419999999999E-3</v>
      </c>
      <c r="L20" s="24">
        <v>1.5222788000000001E-2</v>
      </c>
      <c r="M20" s="24">
        <v>-3.4726680000000003E-2</v>
      </c>
      <c r="N20" s="24">
        <v>-5.6467476000000003E-2</v>
      </c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x14ac:dyDescent="0.35">
      <c r="A21" s="2">
        <v>42347</v>
      </c>
      <c r="B21" s="24">
        <v>3.2002210000000003E-2</v>
      </c>
      <c r="C21" s="24">
        <v>2.4229050000000002E-2</v>
      </c>
      <c r="D21" s="24">
        <v>-5.6813296999999999E-2</v>
      </c>
      <c r="E21" s="24">
        <v>-3.0211209999999999E-3</v>
      </c>
      <c r="F21" s="24">
        <v>-2.1052659000000001E-2</v>
      </c>
      <c r="G21" s="24">
        <v>-1.1501551E-2</v>
      </c>
      <c r="H21" s="24">
        <v>-2.9929578000000002E-2</v>
      </c>
      <c r="I21" s="24">
        <v>-5.9875250000000005E-3</v>
      </c>
      <c r="J21" s="24">
        <v>-1.3168036999999999E-2</v>
      </c>
      <c r="K21" s="24">
        <v>-3.6527812E-2</v>
      </c>
      <c r="L21" s="24">
        <v>-2.7875662000000002E-2</v>
      </c>
      <c r="M21" s="24">
        <v>-2.2318482000000001E-2</v>
      </c>
      <c r="N21" s="24">
        <v>-2.0180940000000001E-2</v>
      </c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x14ac:dyDescent="0.35">
      <c r="A22" s="2">
        <v>42377</v>
      </c>
      <c r="B22" s="24">
        <v>-2.4228513E-2</v>
      </c>
      <c r="C22" s="24">
        <v>-6.7129430000000004E-2</v>
      </c>
      <c r="D22" s="24">
        <v>-7.9605636999999993E-2</v>
      </c>
      <c r="E22" s="24">
        <v>-7.9924163999999992E-2</v>
      </c>
      <c r="F22" s="24">
        <v>-4.6874943000000002E-2</v>
      </c>
      <c r="G22" s="24">
        <v>-5.5268290000000005E-2</v>
      </c>
      <c r="H22" s="24">
        <v>-7.3205232999999995E-2</v>
      </c>
      <c r="I22" s="24">
        <v>-7.5788856000000002E-2</v>
      </c>
      <c r="J22" s="24">
        <v>-5.9679089999999997E-2</v>
      </c>
      <c r="K22" s="24">
        <v>-7.0832013999999999E-2</v>
      </c>
      <c r="L22" s="24">
        <v>-6.7176104E-2</v>
      </c>
      <c r="M22" s="24">
        <v>-7.5500546000000002E-2</v>
      </c>
      <c r="N22" s="24">
        <v>-8.103835999999999E-2</v>
      </c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x14ac:dyDescent="0.35">
      <c r="A23" s="2">
        <v>42409</v>
      </c>
      <c r="B23" s="24">
        <v>1.1464596000000001E-2</v>
      </c>
      <c r="C23" s="24">
        <v>-2.3695827000000001E-3</v>
      </c>
      <c r="D23" s="24">
        <v>7.4813366000000001E-3</v>
      </c>
      <c r="E23" s="24">
        <v>-5.4343405000000004E-2</v>
      </c>
      <c r="F23" s="24">
        <v>-6.2937019999999996E-2</v>
      </c>
      <c r="G23" s="24">
        <v>-4.2764306000000002E-2</v>
      </c>
      <c r="H23" s="24">
        <v>-4.127836E-2</v>
      </c>
      <c r="I23" s="24">
        <v>-7.3935213E-2</v>
      </c>
      <c r="J23" s="24">
        <v>-3.3831357999999999E-2</v>
      </c>
      <c r="K23" s="24">
        <v>-3.0823349999999999E-2</v>
      </c>
      <c r="L23" s="24">
        <v>-1.9205033999999999E-2</v>
      </c>
      <c r="M23" s="24">
        <v>-3.8731158000000002E-2</v>
      </c>
      <c r="N23" s="24">
        <v>-0.16434109</v>
      </c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x14ac:dyDescent="0.35">
      <c r="A24" s="2">
        <v>42438</v>
      </c>
      <c r="B24" s="24">
        <v>7.7925800000000003E-2</v>
      </c>
      <c r="C24" s="24">
        <v>0.15261279999999999</v>
      </c>
      <c r="D24" s="24">
        <v>0.14356434000000001</v>
      </c>
      <c r="E24" s="24">
        <v>5.964303E-2</v>
      </c>
      <c r="F24" s="24">
        <v>5.2238702999999997E-2</v>
      </c>
      <c r="G24" s="24">
        <v>4.2530417000000001E-2</v>
      </c>
      <c r="H24" s="24">
        <v>7.5694440000000002E-2</v>
      </c>
      <c r="I24" s="24">
        <v>8.8247539999999999E-2</v>
      </c>
      <c r="J24" s="24">
        <v>7.5230599999999995E-2</v>
      </c>
      <c r="K24" s="24">
        <v>6.9513917000000008E-2</v>
      </c>
      <c r="L24" s="24">
        <v>7.2859763999999994E-2</v>
      </c>
      <c r="M24" s="24">
        <v>9.3246350000000006E-2</v>
      </c>
      <c r="N24" s="24">
        <v>0.10204088</v>
      </c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x14ac:dyDescent="0.35">
      <c r="A25" s="2">
        <v>42468</v>
      </c>
      <c r="B25" s="24">
        <v>6.2563060000000004E-2</v>
      </c>
      <c r="C25" s="24">
        <v>-4.177231E-2</v>
      </c>
      <c r="D25" s="24">
        <v>1.7315984E-2</v>
      </c>
      <c r="E25" s="24">
        <v>2.7937531000000002E-2</v>
      </c>
      <c r="F25" s="24">
        <v>4.4326781999999999E-3</v>
      </c>
      <c r="G25" s="24">
        <v>3.0167936999999999E-2</v>
      </c>
      <c r="H25" s="24">
        <v>2.5823116000000001E-3</v>
      </c>
      <c r="I25" s="24">
        <v>4.2955636999999998E-2</v>
      </c>
      <c r="J25" s="24">
        <v>3.0943036E-2</v>
      </c>
      <c r="K25" s="24">
        <v>8.920908E-3</v>
      </c>
      <c r="L25" s="24">
        <v>3.1409144E-2</v>
      </c>
      <c r="M25" s="24">
        <v>3.6855102000000001E-2</v>
      </c>
      <c r="N25" s="24">
        <v>-1.010102E-2</v>
      </c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x14ac:dyDescent="0.35">
      <c r="A26" s="2">
        <v>42499</v>
      </c>
      <c r="B26" s="24">
        <v>1.4104486000000001E-2</v>
      </c>
      <c r="C26" s="24">
        <v>4.144275E-2</v>
      </c>
      <c r="D26" s="24">
        <v>1.2765884E-2</v>
      </c>
      <c r="E26" s="24">
        <v>3.1974434999999995E-2</v>
      </c>
      <c r="F26" s="24">
        <v>1.7652273E-2</v>
      </c>
      <c r="G26" s="24">
        <v>-3.9933323999999997E-3</v>
      </c>
      <c r="H26" s="24">
        <v>1.2234449000000001E-2</v>
      </c>
      <c r="I26" s="24">
        <v>-2.8623880000000001E-2</v>
      </c>
      <c r="J26" s="24">
        <v>6.7970750000000005E-3</v>
      </c>
      <c r="K26" s="24">
        <v>1.8105268000000001E-2</v>
      </c>
      <c r="L26" s="24">
        <v>2.8806925E-3</v>
      </c>
      <c r="M26" s="24">
        <v>-1.1848330000000001E-2</v>
      </c>
      <c r="N26" s="24">
        <v>1.9557834E-2</v>
      </c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x14ac:dyDescent="0.35">
      <c r="A27" s="2">
        <v>42530</v>
      </c>
      <c r="B27" s="24">
        <v>7.0751309999999998E-2</v>
      </c>
      <c r="C27" s="24">
        <v>2.8910637000000003E-2</v>
      </c>
      <c r="D27" s="24">
        <v>7.0588230000000002E-2</v>
      </c>
      <c r="E27" s="24">
        <v>7.3586700000000003E-3</v>
      </c>
      <c r="F27" s="24">
        <v>2.8620958000000002E-2</v>
      </c>
      <c r="G27" s="24">
        <v>3.5081863000000005E-2</v>
      </c>
      <c r="H27" s="24">
        <v>3.1806587999999997E-2</v>
      </c>
      <c r="I27" s="24">
        <v>4.0706515000000006E-2</v>
      </c>
      <c r="J27" s="24">
        <v>3.0068635999999999E-2</v>
      </c>
      <c r="K27" s="24">
        <v>2.233243E-2</v>
      </c>
      <c r="L27" s="24">
        <v>2.4620414E-2</v>
      </c>
      <c r="M27" s="24">
        <v>1.6101359999999999E-2</v>
      </c>
      <c r="N27" s="24">
        <v>1.5846610000000001E-2</v>
      </c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x14ac:dyDescent="0.35">
      <c r="A28" s="2">
        <v>42559</v>
      </c>
      <c r="B28" s="24">
        <v>3.7786007000000003E-2</v>
      </c>
      <c r="C28" s="24">
        <v>2.9832125E-3</v>
      </c>
      <c r="D28" s="24">
        <v>-2.5287746999999999E-2</v>
      </c>
      <c r="E28" s="24">
        <v>-6.8639516999999997E-2</v>
      </c>
      <c r="F28" s="24">
        <v>-1.6710876999999999E-2</v>
      </c>
      <c r="G28" s="24">
        <v>-2.9050886999999997E-2</v>
      </c>
      <c r="H28" s="24">
        <v>-5.4290830000000005E-2</v>
      </c>
      <c r="I28" s="24">
        <v>3.6927461999999999E-3</v>
      </c>
      <c r="J28" s="24">
        <v>7.9236029999999995E-3</v>
      </c>
      <c r="K28" s="24">
        <v>-7.2562636999999999E-2</v>
      </c>
      <c r="L28" s="24">
        <v>-7.4514509999999992E-2</v>
      </c>
      <c r="M28" s="24">
        <v>-6.1704453999999999E-2</v>
      </c>
      <c r="N28" s="24">
        <v>-0.10914719000000001</v>
      </c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x14ac:dyDescent="0.35">
      <c r="A29" s="2">
        <v>42591</v>
      </c>
      <c r="B29" s="24">
        <v>2.8793812000000002E-2</v>
      </c>
      <c r="C29" s="24">
        <v>6.697118299999999E-2</v>
      </c>
      <c r="D29" s="24">
        <v>3.4090876999999999E-2</v>
      </c>
      <c r="E29" s="24">
        <v>0.11078226000000001</v>
      </c>
      <c r="F29" s="24">
        <v>5.963707E-2</v>
      </c>
      <c r="G29" s="24">
        <v>3.037548E-2</v>
      </c>
      <c r="H29" s="24">
        <v>4.3420196000000001E-2</v>
      </c>
      <c r="I29" s="24">
        <v>6.0018063000000003E-2</v>
      </c>
      <c r="J29" s="24">
        <v>2.6005150000000001E-2</v>
      </c>
      <c r="K29" s="24">
        <v>6.6666603000000005E-2</v>
      </c>
      <c r="L29" s="24">
        <v>6.9359063999999998E-2</v>
      </c>
      <c r="M29" s="24">
        <v>6.5745234E-2</v>
      </c>
      <c r="N29" s="24">
        <v>5.1184773000000003E-2</v>
      </c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x14ac:dyDescent="0.35">
      <c r="A30" s="2">
        <v>42622</v>
      </c>
      <c r="B30" s="24">
        <v>2.9608846000000001E-2</v>
      </c>
      <c r="C30" s="24">
        <v>-5.9914410000000001E-2</v>
      </c>
      <c r="D30" s="24">
        <v>-5.1019789999999995E-3</v>
      </c>
      <c r="E30" s="24">
        <v>-7.6133010000000003E-3</v>
      </c>
      <c r="F30" s="24">
        <v>5.7096480000000003E-3</v>
      </c>
      <c r="G30" s="24">
        <v>7.9495907000000001E-3</v>
      </c>
      <c r="H30" s="24">
        <v>1.2163877E-2</v>
      </c>
      <c r="I30" s="24">
        <v>-2.257955E-2</v>
      </c>
      <c r="J30" s="24">
        <v>-2.2458493999999999E-2</v>
      </c>
      <c r="K30" s="24">
        <v>1.3003348999999999E-2</v>
      </c>
      <c r="L30" s="24">
        <v>7.3891879999999997E-3</v>
      </c>
      <c r="M30" s="24">
        <v>1.0515213000000001E-2</v>
      </c>
      <c r="N30" s="24">
        <v>2.8854847000000003E-2</v>
      </c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x14ac:dyDescent="0.35">
      <c r="A31" s="2">
        <v>42650</v>
      </c>
      <c r="B31" s="24">
        <v>-6.5701126999999998E-2</v>
      </c>
      <c r="C31" s="24">
        <v>5.3616523999999999E-2</v>
      </c>
      <c r="D31" s="24">
        <v>-8.2840919999999998E-3</v>
      </c>
      <c r="E31" s="24">
        <v>3.8361550000000003E-4</v>
      </c>
      <c r="F31" s="24">
        <v>9.7323656000000008E-3</v>
      </c>
      <c r="G31" s="24">
        <v>-8.8728665999999994E-3</v>
      </c>
      <c r="H31" s="24">
        <v>-1.6445279E-2</v>
      </c>
      <c r="I31" s="24">
        <v>3.9261699000000004E-2</v>
      </c>
      <c r="J31" s="24">
        <v>1.3365268999999999E-2</v>
      </c>
      <c r="K31" s="24">
        <v>-5.3830146999999991E-3</v>
      </c>
      <c r="L31" s="24">
        <v>1.3854861000000001E-2</v>
      </c>
      <c r="M31" s="24">
        <v>1.1099577000000001E-2</v>
      </c>
      <c r="N31" s="24">
        <v>-3.6809802000000003E-2</v>
      </c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x14ac:dyDescent="0.35">
      <c r="A32" s="2">
        <v>42683</v>
      </c>
      <c r="B32" s="24">
        <v>-3.8867652000000003E-2</v>
      </c>
      <c r="C32" s="24">
        <v>-1.440227E-2</v>
      </c>
      <c r="D32" s="24">
        <v>1.2331008999999999E-2</v>
      </c>
      <c r="E32" s="24">
        <v>-1.6487717999999998E-2</v>
      </c>
      <c r="F32" s="24">
        <v>-8.2329509999999988E-3</v>
      </c>
      <c r="G32" s="24">
        <v>-2.2546409999999999E-2</v>
      </c>
      <c r="H32" s="24">
        <v>-2.2829591999999999E-2</v>
      </c>
      <c r="I32" s="24">
        <v>-6.9215893999999998E-3</v>
      </c>
      <c r="J32" s="24">
        <v>6.2277320000000006E-3</v>
      </c>
      <c r="K32" s="24">
        <v>2.0815133999999998E-3</v>
      </c>
      <c r="L32" s="24">
        <v>-2.290994E-2</v>
      </c>
      <c r="M32" s="24">
        <v>-5.0085725999999997E-2</v>
      </c>
      <c r="N32" s="24">
        <v>7.2793960000000005E-3</v>
      </c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x14ac:dyDescent="0.35">
      <c r="A33" s="2">
        <v>42713</v>
      </c>
      <c r="B33" s="24">
        <v>-4.3243765999999998E-3</v>
      </c>
      <c r="C33" s="24">
        <v>3.0199647E-2</v>
      </c>
      <c r="D33" s="24">
        <v>5.8546185000000001E-2</v>
      </c>
      <c r="E33" s="24">
        <v>1.7153978E-2</v>
      </c>
      <c r="F33" s="24">
        <v>3.7659406999999999E-2</v>
      </c>
      <c r="G33" s="24">
        <v>-1.187247E-2</v>
      </c>
      <c r="H33" s="24">
        <v>2.5995374000000002E-2</v>
      </c>
      <c r="I33" s="24">
        <v>1.5724539999999999E-2</v>
      </c>
      <c r="J33" s="24">
        <v>4.6819686999999999E-2</v>
      </c>
      <c r="K33" s="24">
        <v>1.5371919000000001E-2</v>
      </c>
      <c r="L33" s="24">
        <v>-1.1517823E-2</v>
      </c>
      <c r="M33" s="24">
        <v>3.9364337999999999E-2</v>
      </c>
      <c r="N33" s="24">
        <v>6.0975669999999996E-2</v>
      </c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x14ac:dyDescent="0.35">
      <c r="A34" s="2">
        <v>42744</v>
      </c>
      <c r="B34" s="24">
        <v>-1.2783407999999998E-3</v>
      </c>
      <c r="C34" s="24">
        <v>2.7709959999999999E-2</v>
      </c>
      <c r="D34" s="24">
        <v>9.9396706000000009E-4</v>
      </c>
      <c r="E34" s="24">
        <v>2.8716683E-2</v>
      </c>
      <c r="F34" s="24">
        <v>-2.8797984E-3</v>
      </c>
      <c r="G34" s="24">
        <v>3.7722229999999995E-2</v>
      </c>
      <c r="H34" s="24">
        <v>3.7676095999999997E-3</v>
      </c>
      <c r="I34" s="24">
        <v>2.6720047E-2</v>
      </c>
      <c r="J34" s="24">
        <v>5.6833029999999998E-3</v>
      </c>
      <c r="K34" s="24">
        <v>2.3715258000000003E-2</v>
      </c>
      <c r="L34" s="24">
        <v>2.7638316E-2</v>
      </c>
      <c r="M34" s="24">
        <v>4.3407680000000001E-3</v>
      </c>
      <c r="N34" s="24">
        <v>5.0043106000000004E-2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x14ac:dyDescent="0.35">
      <c r="A35" s="2">
        <v>42775</v>
      </c>
      <c r="B35" s="24">
        <v>5.0583720000000006E-2</v>
      </c>
      <c r="C35" s="24">
        <v>1.8422246E-2</v>
      </c>
      <c r="D35" s="24">
        <v>2.2097349999999998E-2</v>
      </c>
      <c r="E35" s="24">
        <v>1.7145037999999998E-2</v>
      </c>
      <c r="F35" s="24">
        <v>1.0097027000000001E-2</v>
      </c>
      <c r="G35" s="24">
        <v>2.0192027000000001E-2</v>
      </c>
      <c r="H35" s="24">
        <v>2.8182626000000002E-2</v>
      </c>
      <c r="I35" s="24">
        <v>3.7848473000000001E-2</v>
      </c>
      <c r="J35" s="24">
        <v>1.8281341E-2</v>
      </c>
      <c r="K35" s="24">
        <v>0</v>
      </c>
      <c r="L35" s="24">
        <v>2.9942631999999997E-2</v>
      </c>
      <c r="M35" s="24">
        <v>5.4325222999999999E-2</v>
      </c>
      <c r="N35" s="24">
        <v>-2.6186644999999998E-2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x14ac:dyDescent="0.35">
      <c r="A36" s="2">
        <v>42803</v>
      </c>
      <c r="B36" s="24">
        <v>-5.0462960000000001E-2</v>
      </c>
      <c r="C36" s="24">
        <v>1.3914704E-2</v>
      </c>
      <c r="D36" s="24">
        <v>-2.8948366999999999E-2</v>
      </c>
      <c r="E36" s="24">
        <v>1.8321753E-2</v>
      </c>
      <c r="F36" s="24">
        <v>-9.8001959999999993E-4</v>
      </c>
      <c r="G36" s="24">
        <v>1.6547679999999999E-2</v>
      </c>
      <c r="H36" s="24">
        <v>-7.561445E-3</v>
      </c>
      <c r="I36" s="24">
        <v>3.0560732E-2</v>
      </c>
      <c r="J36" s="24">
        <v>2.7146577999999998E-2</v>
      </c>
      <c r="K36" s="24">
        <v>2.2061706E-2</v>
      </c>
      <c r="L36" s="24">
        <v>4.3408990000000001E-2</v>
      </c>
      <c r="M36" s="24">
        <v>5.9074163000000001E-3</v>
      </c>
      <c r="N36" s="24">
        <v>2.7731059999999998E-2</v>
      </c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x14ac:dyDescent="0.35">
      <c r="A37" s="2">
        <v>42832</v>
      </c>
      <c r="B37" s="24">
        <v>2.7547598E-2</v>
      </c>
      <c r="C37" s="24">
        <v>2.0585537000000001E-2</v>
      </c>
      <c r="D37" s="24">
        <v>1.3962269000000001E-2</v>
      </c>
      <c r="E37" s="24">
        <v>2.3029804000000001E-2</v>
      </c>
      <c r="F37" s="24">
        <v>1.9619465000000002E-3</v>
      </c>
      <c r="G37" s="24">
        <v>1.5639901000000001E-2</v>
      </c>
      <c r="H37" s="24">
        <v>2.5396823999999998E-2</v>
      </c>
      <c r="I37" s="24">
        <v>1.0736346000000001E-2</v>
      </c>
      <c r="J37" s="24">
        <v>-2.6802419999999998E-3</v>
      </c>
      <c r="K37" s="24">
        <v>3.7284136000000002E-2</v>
      </c>
      <c r="L37" s="24">
        <v>2.1373986999999997E-2</v>
      </c>
      <c r="M37" s="24">
        <v>1.3050556E-2</v>
      </c>
      <c r="N37" s="24">
        <v>3.7612437999999998E-2</v>
      </c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x14ac:dyDescent="0.35">
      <c r="A38" s="2">
        <v>42864</v>
      </c>
      <c r="B38" s="24">
        <v>1.8505335000000001E-2</v>
      </c>
      <c r="C38" s="24">
        <v>-2.7790189E-2</v>
      </c>
      <c r="D38" s="24">
        <v>-2.7540087999999997E-2</v>
      </c>
      <c r="E38" s="24">
        <v>6.7885995000000005E-2</v>
      </c>
      <c r="F38" s="24">
        <v>3.0350446999999999E-2</v>
      </c>
      <c r="G38" s="24">
        <v>6.9453120000000007E-2</v>
      </c>
      <c r="H38" s="24">
        <v>4.4891715000000006E-2</v>
      </c>
      <c r="I38" s="24">
        <v>4.811704E-2</v>
      </c>
      <c r="J38" s="24">
        <v>1.8027186000000001E-2</v>
      </c>
      <c r="K38" s="24">
        <v>8.815742E-2</v>
      </c>
      <c r="L38" s="24">
        <v>7.8475355999999996E-2</v>
      </c>
      <c r="M38" s="24">
        <v>8.5024119999999995E-2</v>
      </c>
      <c r="N38" s="24">
        <v>8.6288450000000003E-2</v>
      </c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x14ac:dyDescent="0.35">
      <c r="A39" s="2">
        <v>42895</v>
      </c>
      <c r="B39" s="24">
        <v>5.194497E-2</v>
      </c>
      <c r="C39" s="24">
        <v>-5.5325630000000008E-3</v>
      </c>
      <c r="D39" s="24">
        <v>1.4542698999999999E-2</v>
      </c>
      <c r="E39" s="24">
        <v>3.0303001E-2</v>
      </c>
      <c r="F39" s="24">
        <v>2.7936220000000001E-2</v>
      </c>
      <c r="G39" s="24">
        <v>1.1460422999999999E-2</v>
      </c>
      <c r="H39" s="24">
        <v>1.3036966000000001E-2</v>
      </c>
      <c r="I39" s="24">
        <v>1.2001037999999999E-2</v>
      </c>
      <c r="J39" s="24">
        <v>1.6580343000000001E-2</v>
      </c>
      <c r="K39" s="24">
        <v>2.1557689000000001E-2</v>
      </c>
      <c r="L39" s="24">
        <v>2.3215531999999997E-2</v>
      </c>
      <c r="M39" s="24">
        <v>1.8106340999999998E-2</v>
      </c>
      <c r="N39" s="24">
        <v>2.3939012999999999E-2</v>
      </c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x14ac:dyDescent="0.35">
      <c r="A40" s="2">
        <v>42923</v>
      </c>
      <c r="B40" s="24">
        <v>4.1909455999999998E-2</v>
      </c>
      <c r="C40" s="24">
        <v>1.7722964000000001E-2</v>
      </c>
      <c r="D40" s="24">
        <v>1.7755746999999999E-2</v>
      </c>
      <c r="E40" s="24">
        <v>-1.1813283000000001E-2</v>
      </c>
      <c r="F40" s="24">
        <v>-1.4211534999999999E-2</v>
      </c>
      <c r="G40" s="24">
        <v>1.0698318E-2</v>
      </c>
      <c r="H40" s="24">
        <v>-7.4740649999999994E-3</v>
      </c>
      <c r="I40" s="24">
        <v>-1.3163686000000001E-2</v>
      </c>
      <c r="J40" s="24">
        <v>-4.9084425000000002E-4</v>
      </c>
      <c r="K40" s="24">
        <v>-5.9097409999999996E-3</v>
      </c>
      <c r="L40" s="24">
        <v>-6.2509179999999994E-3</v>
      </c>
      <c r="M40" s="24">
        <v>1.823926E-2</v>
      </c>
      <c r="N40" s="24">
        <v>1.5315294E-2</v>
      </c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x14ac:dyDescent="0.35">
      <c r="A41" s="2">
        <v>42956</v>
      </c>
      <c r="B41" s="24">
        <v>1.9051789999999999E-2</v>
      </c>
      <c r="C41" s="24">
        <v>4.4692755000000001E-2</v>
      </c>
      <c r="D41" s="24">
        <v>2.9521584999999999E-2</v>
      </c>
      <c r="E41" s="24">
        <v>1.3522387E-2</v>
      </c>
      <c r="F41" s="24">
        <v>3.2842636000000001E-2</v>
      </c>
      <c r="G41" s="24">
        <v>1.5267134E-2</v>
      </c>
      <c r="H41" s="24">
        <v>3.1937359999999998E-2</v>
      </c>
      <c r="I41" s="24">
        <v>4.6167253999999998E-2</v>
      </c>
      <c r="J41" s="24">
        <v>2.1229982000000001E-2</v>
      </c>
      <c r="K41" s="24">
        <v>3.3437847999999999E-2</v>
      </c>
      <c r="L41" s="24">
        <v>6.2780259999999991E-2</v>
      </c>
      <c r="M41" s="24">
        <v>2.9282570000000001E-3</v>
      </c>
      <c r="N41" s="24">
        <v>7.0337415E-2</v>
      </c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x14ac:dyDescent="0.35">
      <c r="A42" s="2">
        <v>42986</v>
      </c>
      <c r="B42" s="24">
        <v>-4.2492149999999999E-4</v>
      </c>
      <c r="C42" s="24">
        <v>1.6488314E-2</v>
      </c>
      <c r="D42" s="24">
        <v>2.6497364000000002E-2</v>
      </c>
      <c r="E42" s="24">
        <v>2.7985692000000003E-2</v>
      </c>
      <c r="F42" s="24">
        <v>4.5686959999999997E-3</v>
      </c>
      <c r="G42" s="24">
        <v>2.6025772000000001E-3</v>
      </c>
      <c r="H42" s="24">
        <v>-2.9194354999999999E-4</v>
      </c>
      <c r="I42" s="24">
        <v>6.2453746999999995E-4</v>
      </c>
      <c r="J42" s="24">
        <v>-2.7098060000000004E-3</v>
      </c>
      <c r="K42" s="24">
        <v>1.6515017E-2</v>
      </c>
      <c r="L42" s="24">
        <v>5.1931139999999995E-3</v>
      </c>
      <c r="M42" s="24">
        <v>1.9562006E-2</v>
      </c>
      <c r="N42" s="24">
        <v>1.7258525E-2</v>
      </c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x14ac:dyDescent="0.35">
      <c r="A43" s="2">
        <v>43017</v>
      </c>
      <c r="B43" s="24">
        <v>-1.5090287000000001E-2</v>
      </c>
      <c r="C43" s="24">
        <v>-2.5427460000000002E-2</v>
      </c>
      <c r="D43" s="24">
        <v>2.4045230000000001E-2</v>
      </c>
      <c r="E43" s="24">
        <v>2.7540326E-2</v>
      </c>
      <c r="F43" s="24">
        <v>1.9829034999999998E-2</v>
      </c>
      <c r="G43" s="24">
        <v>7.499337E-3</v>
      </c>
      <c r="H43" s="24">
        <v>1.4310718E-2</v>
      </c>
      <c r="I43" s="24">
        <v>2.498889E-2</v>
      </c>
      <c r="J43" s="24">
        <v>3.4991264000000001E-2</v>
      </c>
      <c r="K43" s="24">
        <v>2.287805E-2</v>
      </c>
      <c r="L43" s="24">
        <v>1.1624216999999999E-2</v>
      </c>
      <c r="M43" s="24">
        <v>3.0641556E-2</v>
      </c>
      <c r="N43" s="24">
        <v>2.9363632000000001E-3</v>
      </c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x14ac:dyDescent="0.35">
      <c r="A44" s="2">
        <v>43048</v>
      </c>
      <c r="B44" s="24">
        <v>-2.3521779999999999E-2</v>
      </c>
      <c r="C44" s="24">
        <v>4.2285204E-2</v>
      </c>
      <c r="D44" s="24">
        <v>1.5538692E-2</v>
      </c>
      <c r="E44" s="24">
        <v>1.1090636000000001E-2</v>
      </c>
      <c r="F44" s="24">
        <v>6.1719537000000005E-2</v>
      </c>
      <c r="G44" s="24">
        <v>-1.7463505000000001E-2</v>
      </c>
      <c r="H44" s="24">
        <v>-5.7590007999999996E-4</v>
      </c>
      <c r="I44" s="24">
        <v>4.2036770000000001E-2</v>
      </c>
      <c r="J44" s="24">
        <v>1.6617537000000002E-2</v>
      </c>
      <c r="K44" s="24">
        <v>-1.9448995999999999E-3</v>
      </c>
      <c r="L44" s="24">
        <v>-1.5959144000000001E-3</v>
      </c>
      <c r="M44" s="24">
        <v>-2.7785479999999998E-2</v>
      </c>
      <c r="N44" s="24">
        <v>2.6024580000000002E-3</v>
      </c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x14ac:dyDescent="0.35">
      <c r="A45" s="2">
        <v>43077</v>
      </c>
      <c r="B45" s="24">
        <v>1.7237544E-2</v>
      </c>
      <c r="C45" s="24">
        <v>-2.2011219999999998E-2</v>
      </c>
      <c r="D45" s="24">
        <v>-9.1805460000000012E-3</v>
      </c>
      <c r="E45" s="24">
        <v>9.7501280000000003E-3</v>
      </c>
      <c r="F45" s="24">
        <v>1.3440847E-3</v>
      </c>
      <c r="G45" s="24">
        <v>1.5151501000000001E-2</v>
      </c>
      <c r="H45" s="24">
        <v>9.7954272999999994E-3</v>
      </c>
      <c r="I45" s="24">
        <v>6.5716505000000007E-3</v>
      </c>
      <c r="J45" s="24">
        <v>2.8430819999999999E-2</v>
      </c>
      <c r="K45" s="24">
        <v>1.5589476E-2</v>
      </c>
      <c r="L45" s="24">
        <v>8.9514256E-3</v>
      </c>
      <c r="M45" s="24">
        <v>-2.9722810000000002E-2</v>
      </c>
      <c r="N45" s="24">
        <v>1.7196655000000002E-2</v>
      </c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x14ac:dyDescent="0.35">
      <c r="A46" s="2">
        <v>43109</v>
      </c>
      <c r="B46" s="24">
        <v>6.9029210000000008E-2</v>
      </c>
      <c r="C46" s="24">
        <v>6.712710999999999E-2</v>
      </c>
      <c r="D46" s="24">
        <v>4.8259139999999999E-2</v>
      </c>
      <c r="E46" s="24">
        <v>3.519535E-2</v>
      </c>
      <c r="F46" s="24">
        <v>5.4670690000000001E-2</v>
      </c>
      <c r="G46" s="24">
        <v>4.0183783000000001E-2</v>
      </c>
      <c r="H46" s="24">
        <v>5.7558179999999994E-2</v>
      </c>
      <c r="I46" s="24">
        <v>5.2990079999999995E-2</v>
      </c>
      <c r="J46" s="24">
        <v>3.9252876999999999E-2</v>
      </c>
      <c r="K46" s="24">
        <v>3.6399484000000003E-2</v>
      </c>
      <c r="L46" s="24">
        <v>3.4337878000000002E-2</v>
      </c>
      <c r="M46" s="24">
        <v>4.3924690000000002E-2</v>
      </c>
      <c r="N46" s="24">
        <v>2.4440765E-2</v>
      </c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x14ac:dyDescent="0.35">
      <c r="A47" s="2">
        <v>43140</v>
      </c>
      <c r="B47" s="24">
        <v>-3.2725750999999997E-2</v>
      </c>
      <c r="C47" s="24">
        <v>-6.2711835000000007E-2</v>
      </c>
      <c r="D47" s="24">
        <v>-8.919102000000001E-2</v>
      </c>
      <c r="E47" s="24">
        <v>-6.2536535000000004E-2</v>
      </c>
      <c r="F47" s="24">
        <v>-5.3971767000000004E-2</v>
      </c>
      <c r="G47" s="24">
        <v>-4.4150169999999996E-2</v>
      </c>
      <c r="H47" s="24">
        <v>-5.7724055999999996E-2</v>
      </c>
      <c r="I47" s="24">
        <v>-3.9739132000000003E-2</v>
      </c>
      <c r="J47" s="24">
        <v>-4.7497689999999995E-2</v>
      </c>
      <c r="K47" s="24">
        <v>-5.0139310000000006E-2</v>
      </c>
      <c r="L47" s="24">
        <v>-4.0049257000000005E-2</v>
      </c>
      <c r="M47" s="24">
        <v>-4.8161800000000005E-2</v>
      </c>
      <c r="N47" s="24">
        <v>-7.5140594999999998E-3</v>
      </c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x14ac:dyDescent="0.35">
      <c r="A48" s="2">
        <v>43168</v>
      </c>
      <c r="B48" s="24">
        <v>6.1670303000000003E-2</v>
      </c>
      <c r="C48" s="24">
        <v>5.3797363999999993E-2</v>
      </c>
      <c r="D48" s="24">
        <v>2.0021914999999998E-2</v>
      </c>
      <c r="E48" s="24">
        <v>2.2132157999999999E-2</v>
      </c>
      <c r="F48" s="24">
        <v>2.6239990000000001E-2</v>
      </c>
      <c r="G48" s="24">
        <v>1.2702107000000001E-2</v>
      </c>
      <c r="H48" s="24">
        <v>2.304554E-2</v>
      </c>
      <c r="I48" s="24">
        <v>0.10928893000000001</v>
      </c>
      <c r="J48" s="24">
        <v>6.6424490000000003E-2</v>
      </c>
      <c r="K48" s="24">
        <v>4.2033195000000002E-2</v>
      </c>
      <c r="L48" s="24">
        <v>4.5892240000000001E-2</v>
      </c>
      <c r="M48" s="24">
        <v>3.1736493000000005E-2</v>
      </c>
      <c r="N48" s="24">
        <v>2.7129411999999999E-2</v>
      </c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x14ac:dyDescent="0.35">
      <c r="A49" s="2">
        <v>43199</v>
      </c>
      <c r="B49" s="24">
        <v>1.2908459000000001E-2</v>
      </c>
      <c r="C49" s="24">
        <v>-5.3625049999999994E-2</v>
      </c>
      <c r="D49" s="24">
        <v>-1.1777282E-2</v>
      </c>
      <c r="E49" s="24">
        <v>-1.4638602999999998E-2</v>
      </c>
      <c r="F49" s="24">
        <v>-7.7531934000000004E-3</v>
      </c>
      <c r="G49" s="24">
        <v>-2.4800539999999999E-2</v>
      </c>
      <c r="H49" s="24">
        <v>1.2831449999999999E-2</v>
      </c>
      <c r="I49" s="24">
        <v>-8.760082000000001E-2</v>
      </c>
      <c r="J49" s="24">
        <v>-6.0336470000000003E-2</v>
      </c>
      <c r="K49" s="24">
        <v>-1.5634297999999999E-3</v>
      </c>
      <c r="L49" s="24">
        <v>-1.1353135E-2</v>
      </c>
      <c r="M49" s="24">
        <v>-4.6720862000000002E-2</v>
      </c>
      <c r="N49" s="24">
        <v>1.1670709E-2</v>
      </c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x14ac:dyDescent="0.35">
      <c r="A50" s="2">
        <v>43229</v>
      </c>
      <c r="B50" s="24">
        <v>-3.1063317999999999E-2</v>
      </c>
      <c r="C50" s="24">
        <v>2.4932026999999999E-2</v>
      </c>
      <c r="D50" s="24">
        <v>3.5030723E-2</v>
      </c>
      <c r="E50" s="24">
        <v>1.8260597999999999E-2</v>
      </c>
      <c r="F50" s="24">
        <v>5.3200720000000003E-3</v>
      </c>
      <c r="G50" s="24">
        <v>3.8000345E-3</v>
      </c>
      <c r="H50" s="24">
        <v>3.1813145000000001E-2</v>
      </c>
      <c r="I50" s="24">
        <v>6.4350485999999998E-2</v>
      </c>
      <c r="J50" s="24">
        <v>3.2567024E-2</v>
      </c>
      <c r="K50" s="24">
        <v>1.7851591E-2</v>
      </c>
      <c r="L50" s="24">
        <v>-9.3110203999999998E-3</v>
      </c>
      <c r="M50" s="24">
        <v>3.9878249999999997E-2</v>
      </c>
      <c r="N50" s="24">
        <v>1.7607807999999999E-2</v>
      </c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x14ac:dyDescent="0.35">
      <c r="A51" s="2">
        <v>43259</v>
      </c>
      <c r="B51" s="24">
        <v>4.212904E-2</v>
      </c>
      <c r="C51" s="24">
        <v>1.2383819000000001E-2</v>
      </c>
      <c r="D51" s="24">
        <v>1.360774E-2</v>
      </c>
      <c r="E51" s="24">
        <v>-2.1276593E-2</v>
      </c>
      <c r="F51" s="24">
        <v>6.1187743999999997E-3</v>
      </c>
      <c r="G51" s="24">
        <v>-2.2131561999999997E-2</v>
      </c>
      <c r="H51" s="24">
        <v>-6.0027839999999997E-3</v>
      </c>
      <c r="I51" s="24">
        <v>3.9075494000000002E-2</v>
      </c>
      <c r="J51" s="24">
        <v>3.2244920000000003E-2</v>
      </c>
      <c r="K51" s="24">
        <v>-7.6923370000000005E-3</v>
      </c>
      <c r="L51" s="24">
        <v>7.5187683000000009E-3</v>
      </c>
      <c r="M51" s="24">
        <v>-3.3372342999999999E-2</v>
      </c>
      <c r="N51" s="24">
        <v>-0.11724347</v>
      </c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x14ac:dyDescent="0.35">
      <c r="A52" s="2">
        <v>43290</v>
      </c>
      <c r="B52" s="24">
        <v>-1.0638057999999999E-2</v>
      </c>
      <c r="C52" s="24">
        <v>3.203106E-2</v>
      </c>
      <c r="D52" s="24">
        <v>3.7760735000000002E-3</v>
      </c>
      <c r="E52" s="24">
        <v>-1.9747436E-2</v>
      </c>
      <c r="F52" s="24">
        <v>-3.9379417999999999E-2</v>
      </c>
      <c r="G52" s="24">
        <v>1.8055081000000001E-2</v>
      </c>
      <c r="H52" s="24">
        <v>-9.3754530000000006E-3</v>
      </c>
      <c r="I52" s="24">
        <v>1.7942309E-2</v>
      </c>
      <c r="J52" s="24">
        <v>3.4472942000000001E-3</v>
      </c>
      <c r="K52" s="24">
        <v>-7.9163310000000004E-3</v>
      </c>
      <c r="L52" s="24">
        <v>-2.0077169999999998E-2</v>
      </c>
      <c r="M52" s="24">
        <v>-1.0455251E-2</v>
      </c>
      <c r="N52" s="24">
        <v>3.1148671999999999E-2</v>
      </c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x14ac:dyDescent="0.35">
      <c r="A53" s="2">
        <v>43321</v>
      </c>
      <c r="B53" s="24">
        <v>-5.0060805999999999E-2</v>
      </c>
      <c r="C53" s="24">
        <v>-1.3810933000000001E-2</v>
      </c>
      <c r="D53" s="24">
        <v>6.5675974000000007E-3</v>
      </c>
      <c r="E53" s="24">
        <v>-5.5158733999999994E-3</v>
      </c>
      <c r="F53" s="24">
        <v>6.0354470000000002E-3</v>
      </c>
      <c r="G53" s="24">
        <v>3.7781120000000001E-2</v>
      </c>
      <c r="H53" s="24">
        <v>-2.0992935000000001E-2</v>
      </c>
      <c r="I53" s="24">
        <v>2.663803E-2</v>
      </c>
      <c r="J53" s="24">
        <v>2.5800705E-2</v>
      </c>
      <c r="K53" s="24">
        <v>-1.5953779000000001E-3</v>
      </c>
      <c r="L53" s="24">
        <v>1.7413735E-2</v>
      </c>
      <c r="M53" s="24">
        <v>2.0820021999999997E-2</v>
      </c>
      <c r="N53" s="24">
        <v>-3.1334221000000002E-2</v>
      </c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x14ac:dyDescent="0.35">
      <c r="A54" s="2">
        <v>43350</v>
      </c>
      <c r="B54" s="24">
        <v>3.5203695000000004E-3</v>
      </c>
      <c r="C54" s="24">
        <v>-6.0831547E-2</v>
      </c>
      <c r="D54" s="24">
        <v>-3.2967089999999998E-2</v>
      </c>
      <c r="E54" s="24">
        <v>-4.9592200000000003E-2</v>
      </c>
      <c r="F54" s="24">
        <v>-2.8625310000000001E-2</v>
      </c>
      <c r="G54" s="24">
        <v>-1.2135267E-2</v>
      </c>
      <c r="H54" s="24">
        <v>-4.9840570000000001E-2</v>
      </c>
      <c r="I54" s="24">
        <v>-4.3978094999999997E-3</v>
      </c>
      <c r="J54" s="24">
        <v>8.8750124E-3</v>
      </c>
      <c r="K54" s="24">
        <v>-4.0588082999999997E-2</v>
      </c>
      <c r="L54" s="24">
        <v>-5.2614870000000001E-2</v>
      </c>
      <c r="M54" s="24">
        <v>-1.7571448999999999E-2</v>
      </c>
      <c r="N54" s="24">
        <v>-5.5999993999999997E-2</v>
      </c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x14ac:dyDescent="0.35">
      <c r="A55" s="2">
        <v>43382</v>
      </c>
      <c r="B55" s="24">
        <v>-1.3287960999999999E-2</v>
      </c>
      <c r="C55" s="24">
        <v>-9.3196034000000011E-3</v>
      </c>
      <c r="D55" s="24">
        <v>7.8125E-3</v>
      </c>
      <c r="E55" s="24">
        <v>-1.2358366999999999E-2</v>
      </c>
      <c r="F55" s="24">
        <v>4.2703390000000001E-2</v>
      </c>
      <c r="G55" s="24">
        <v>-1.5501559E-2</v>
      </c>
      <c r="H55" s="24">
        <v>1.3723730999999999E-2</v>
      </c>
      <c r="I55" s="24">
        <v>-6.3933134000000004E-3</v>
      </c>
      <c r="J55" s="24">
        <v>3.8310290000000001E-3</v>
      </c>
      <c r="K55" s="24">
        <v>4.6635866000000002E-3</v>
      </c>
      <c r="L55" s="24">
        <v>-2.6095628999999999E-2</v>
      </c>
      <c r="M55" s="24">
        <v>6.3884260000000002E-4</v>
      </c>
      <c r="N55" s="24">
        <v>-1.5843809E-2</v>
      </c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x14ac:dyDescent="0.35">
      <c r="A56" s="2">
        <v>43413</v>
      </c>
      <c r="B56" s="24">
        <v>2.3486376E-2</v>
      </c>
      <c r="C56" s="24">
        <v>-2.8221607E-3</v>
      </c>
      <c r="D56" s="24">
        <v>-5.6377650000000001E-2</v>
      </c>
      <c r="E56" s="24">
        <v>-4.4838430000000006E-2</v>
      </c>
      <c r="F56" s="24">
        <v>-6.7524136999999998E-2</v>
      </c>
      <c r="G56" s="24">
        <v>-8.0214139999999993E-3</v>
      </c>
      <c r="H56" s="24">
        <v>-2.5872470000000002E-2</v>
      </c>
      <c r="I56" s="24">
        <v>-4.5148372999999999E-2</v>
      </c>
      <c r="J56" s="24">
        <v>-3.3542036999999997E-2</v>
      </c>
      <c r="K56" s="24">
        <v>-4.8740030000000004E-2</v>
      </c>
      <c r="L56" s="24">
        <v>-9.6186996000000007E-3</v>
      </c>
      <c r="M56" s="24">
        <v>-5.2665176000000001E-2</v>
      </c>
      <c r="N56" s="24">
        <v>-4.7173260000000002E-2</v>
      </c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x14ac:dyDescent="0.35">
      <c r="A57" s="2">
        <v>43441</v>
      </c>
      <c r="B57" s="24">
        <v>-1.4736651999999999E-3</v>
      </c>
      <c r="C57" s="24">
        <v>-4.198122E-2</v>
      </c>
      <c r="D57" s="24">
        <v>-3.6594509999999997E-2</v>
      </c>
      <c r="E57" s="24">
        <v>-6.6229999999999997E-2</v>
      </c>
      <c r="F57" s="24">
        <v>-2.8312087E-2</v>
      </c>
      <c r="G57" s="24">
        <v>-3.4441352000000001E-2</v>
      </c>
      <c r="H57" s="24">
        <v>-6.4237237000000003E-2</v>
      </c>
      <c r="I57" s="24">
        <v>-5.9118449999999996E-2</v>
      </c>
      <c r="J57" s="24">
        <v>-5.1087259999999995E-2</v>
      </c>
      <c r="K57" s="24">
        <v>-5.7511329999999999E-2</v>
      </c>
      <c r="L57" s="24">
        <v>-5.2029132999999998E-2</v>
      </c>
      <c r="M57" s="24">
        <v>-5.3234519999999994E-2</v>
      </c>
      <c r="N57" s="24">
        <v>-2.7504919999999999E-2</v>
      </c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x14ac:dyDescent="0.35">
      <c r="A58" s="2">
        <v>43474</v>
      </c>
      <c r="B58" s="24">
        <v>1.4766692999999999E-2</v>
      </c>
      <c r="C58" s="24">
        <v>2.8877853999999998E-2</v>
      </c>
      <c r="D58" s="24">
        <v>1.1226415999999999E-2</v>
      </c>
      <c r="E58" s="24">
        <v>2.8838634000000002E-2</v>
      </c>
      <c r="F58" s="24">
        <v>2.2685528E-4</v>
      </c>
      <c r="G58" s="24">
        <v>1.3337373999999999E-2</v>
      </c>
      <c r="H58" s="24">
        <v>2.6245235999999998E-2</v>
      </c>
      <c r="I58" s="24">
        <v>-5.4913759999999999E-4</v>
      </c>
      <c r="J58" s="24">
        <v>-1.5409887000000001E-2</v>
      </c>
      <c r="K58" s="24">
        <v>1.6859055000000001E-2</v>
      </c>
      <c r="L58" s="24">
        <v>-6.9904329999999999E-4</v>
      </c>
      <c r="M58" s="24">
        <v>4.7244429999999997E-2</v>
      </c>
      <c r="N58" s="24">
        <v>4.4287086000000003E-2</v>
      </c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x14ac:dyDescent="0.35">
      <c r="A59" s="2">
        <v>43504</v>
      </c>
      <c r="B59" s="24">
        <v>2.4957657000000001E-2</v>
      </c>
      <c r="C59" s="24">
        <v>3.2803178000000002E-2</v>
      </c>
      <c r="D59" s="24">
        <v>5.0272819999999996E-2</v>
      </c>
      <c r="E59" s="24">
        <v>-1.8560587999999999E-2</v>
      </c>
      <c r="F59" s="24">
        <v>-7.7154635999999999E-3</v>
      </c>
      <c r="G59" s="24">
        <v>1.6835093000000002E-2</v>
      </c>
      <c r="H59" s="24">
        <v>4.1406510000000001E-2</v>
      </c>
      <c r="I59" s="24">
        <v>4.8128246999999999E-2</v>
      </c>
      <c r="J59" s="24">
        <v>4.8455240000000004E-2</v>
      </c>
      <c r="K59" s="24">
        <v>1.4249206E-2</v>
      </c>
      <c r="L59" s="24">
        <v>4.9300910000000003E-2</v>
      </c>
      <c r="M59" s="24">
        <v>0</v>
      </c>
      <c r="N59" s="24">
        <v>2.7428865000000001E-3</v>
      </c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x14ac:dyDescent="0.35">
      <c r="A60" s="2">
        <v>43532</v>
      </c>
      <c r="B60" s="24">
        <v>3.3429741999999998E-2</v>
      </c>
      <c r="C60" s="24">
        <v>2.3099064999999998E-2</v>
      </c>
      <c r="D60" s="24">
        <v>1.3729095E-2</v>
      </c>
      <c r="E60" s="24">
        <v>3.7823200000000001E-2</v>
      </c>
      <c r="F60" s="24">
        <v>1.175797E-2</v>
      </c>
      <c r="G60" s="24">
        <v>3.1607389999999999E-2</v>
      </c>
      <c r="H60" s="24">
        <v>1.8933414999999999E-2</v>
      </c>
      <c r="I60" s="24">
        <v>1.5484095E-2</v>
      </c>
      <c r="J60" s="24">
        <v>1.4752030000000001E-2</v>
      </c>
      <c r="K60" s="24">
        <v>4.5389055999999997E-2</v>
      </c>
      <c r="L60" s="24">
        <v>1.6129017000000002E-2</v>
      </c>
      <c r="M60" s="24">
        <v>0</v>
      </c>
      <c r="N60" s="24">
        <v>4.7284006999999996E-2</v>
      </c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x14ac:dyDescent="0.35">
      <c r="A61" s="2">
        <v>43564</v>
      </c>
      <c r="B61" s="24">
        <v>1.8570184999999999E-2</v>
      </c>
      <c r="C61" s="24">
        <v>1.4110922999999999E-2</v>
      </c>
      <c r="D61" s="24">
        <v>3.1844853999999999E-2</v>
      </c>
      <c r="E61" s="24">
        <v>2.826333E-2</v>
      </c>
      <c r="F61" s="24">
        <v>2.9803156999999997E-2</v>
      </c>
      <c r="G61" s="24">
        <v>4.2019250000000001E-2</v>
      </c>
      <c r="H61" s="24">
        <v>4.2737602999999999E-2</v>
      </c>
      <c r="I61" s="24">
        <v>7.9716919999999997E-2</v>
      </c>
      <c r="J61" s="24">
        <v>5.1407933000000003E-2</v>
      </c>
      <c r="K61" s="24">
        <v>3.5492778000000003E-2</v>
      </c>
      <c r="L61" s="24">
        <v>5.6935786999999995E-2</v>
      </c>
      <c r="M61" s="24">
        <v>7.6844572999999999E-2</v>
      </c>
      <c r="N61" s="24">
        <v>5.1865696999999995E-2</v>
      </c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x14ac:dyDescent="0.35">
      <c r="A62" s="2">
        <v>43594</v>
      </c>
      <c r="B62" s="24">
        <v>1.7251492E-2</v>
      </c>
      <c r="C62" s="24">
        <v>-5.1019789999999995E-3</v>
      </c>
      <c r="D62" s="24">
        <v>-6.7399739999999993E-3</v>
      </c>
      <c r="E62" s="24">
        <v>1.7721534000000001E-2</v>
      </c>
      <c r="F62" s="24">
        <v>-2.2570013999999999E-2</v>
      </c>
      <c r="G62" s="24">
        <v>-9.2410445000000001E-3</v>
      </c>
      <c r="H62" s="24">
        <v>-2.346295E-2</v>
      </c>
      <c r="I62" s="24">
        <v>1.5720128999999999E-3</v>
      </c>
      <c r="J62" s="24">
        <v>-2.2623539000000002E-3</v>
      </c>
      <c r="K62" s="24">
        <v>-9.6505284000000004E-3</v>
      </c>
      <c r="L62" s="24">
        <v>9.7942350000000005E-4</v>
      </c>
      <c r="M62" s="24">
        <v>-3.9153754999999998E-2</v>
      </c>
      <c r="N62" s="24">
        <v>-3.1926215000000001E-2</v>
      </c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x14ac:dyDescent="0.35">
      <c r="A63" s="2">
        <v>43623</v>
      </c>
      <c r="B63" s="24">
        <v>-3.4688710000000001E-3</v>
      </c>
      <c r="C63" s="24">
        <v>4.1957974000000002E-2</v>
      </c>
      <c r="D63" s="24">
        <v>5.3571460000000001E-3</v>
      </c>
      <c r="E63" s="24">
        <v>-9.5948577000000007E-3</v>
      </c>
      <c r="F63" s="24">
        <v>1.2663006999999999E-2</v>
      </c>
      <c r="G63" s="24">
        <v>5.5115939999999995E-2</v>
      </c>
      <c r="H63" s="24">
        <v>-3.9538145000000005E-3</v>
      </c>
      <c r="I63" s="24">
        <v>-2.0187317999999999E-2</v>
      </c>
      <c r="J63" s="24">
        <v>3.4534930000000002E-3</v>
      </c>
      <c r="K63" s="24">
        <v>1.8481134999999999E-2</v>
      </c>
      <c r="L63" s="24">
        <v>3.5877228000000001E-3</v>
      </c>
      <c r="M63" s="24">
        <v>2.3003817E-3</v>
      </c>
      <c r="N63" s="24">
        <v>-4.0308237E-3</v>
      </c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x14ac:dyDescent="0.35">
      <c r="A64" s="2">
        <v>43655</v>
      </c>
      <c r="B64" s="24">
        <v>4.4761420000000003E-2</v>
      </c>
      <c r="C64" s="24">
        <v>2.3167730000000001E-2</v>
      </c>
      <c r="D64" s="24">
        <v>3.5612583000000003E-2</v>
      </c>
      <c r="E64" s="24">
        <v>2.4458049999999999E-2</v>
      </c>
      <c r="F64" s="24">
        <v>1.3903974999999999E-2</v>
      </c>
      <c r="G64" s="24">
        <v>1.4261842E-2</v>
      </c>
      <c r="H64" s="24">
        <v>7.1851014999999999E-3</v>
      </c>
      <c r="I64" s="24">
        <v>5.5463432999999999E-2</v>
      </c>
      <c r="J64" s="24">
        <v>3.8196325000000003E-2</v>
      </c>
      <c r="K64" s="24">
        <v>3.1219719999999999E-2</v>
      </c>
      <c r="L64" s="24">
        <v>2.1612644E-2</v>
      </c>
      <c r="M64" s="24">
        <v>3.6075949999999996E-2</v>
      </c>
      <c r="N64" s="24">
        <v>6.7921759999999998E-2</v>
      </c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x14ac:dyDescent="0.35">
      <c r="A65" s="2">
        <v>43686</v>
      </c>
      <c r="B65" s="24">
        <v>6.2006709999999996E-3</v>
      </c>
      <c r="C65" s="24">
        <v>-4.1053113999999995E-2</v>
      </c>
      <c r="D65" s="24">
        <v>-2.4922072999999999E-2</v>
      </c>
      <c r="E65" s="24">
        <v>-5.4695964000000007E-2</v>
      </c>
      <c r="F65" s="24">
        <v>-1.9582689E-2</v>
      </c>
      <c r="G65" s="24">
        <v>8.0863240000000006E-3</v>
      </c>
      <c r="H65" s="24">
        <v>-6.4365683000000007E-2</v>
      </c>
      <c r="I65" s="24">
        <v>-2.1871388000000002E-2</v>
      </c>
      <c r="J65" s="24">
        <v>-1.8742262999999999E-2</v>
      </c>
      <c r="K65" s="24">
        <v>-3.9672077E-2</v>
      </c>
      <c r="L65" s="24">
        <v>-1.5645385000000001E-2</v>
      </c>
      <c r="M65" s="24">
        <v>-7.2828236000000005E-2</v>
      </c>
      <c r="N65" s="24">
        <v>-7.5579286000000009E-2</v>
      </c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x14ac:dyDescent="0.35">
      <c r="A66" s="2">
        <v>43717</v>
      </c>
      <c r="B66" s="24">
        <v>2.2595643999999998E-2</v>
      </c>
      <c r="C66" s="24">
        <v>3.7691950000000002E-2</v>
      </c>
      <c r="D66" s="24">
        <v>1.6684412999999999E-2</v>
      </c>
      <c r="E66" s="24">
        <v>2.9311060000000003E-2</v>
      </c>
      <c r="F66" s="24">
        <v>3.0240773999999998E-2</v>
      </c>
      <c r="G66" s="24">
        <v>1.4705896000000001E-2</v>
      </c>
      <c r="H66" s="24">
        <v>2.6919246000000001E-2</v>
      </c>
      <c r="I66" s="24">
        <v>2.5202393999999999E-2</v>
      </c>
      <c r="J66" s="24">
        <v>2.2563696000000001E-2</v>
      </c>
      <c r="K66" s="24">
        <v>2.7654529000000001E-2</v>
      </c>
      <c r="L66" s="24">
        <v>3.8410543999999998E-2</v>
      </c>
      <c r="M66" s="24">
        <v>3.3462524E-2</v>
      </c>
      <c r="N66" s="24">
        <v>6.7875030000000003E-2</v>
      </c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x14ac:dyDescent="0.35">
      <c r="A67" s="2">
        <v>43747</v>
      </c>
      <c r="B67" s="24">
        <v>-4.382759E-2</v>
      </c>
      <c r="C67" s="24">
        <v>-2.6905775E-2</v>
      </c>
      <c r="D67" s="24">
        <v>-1.7458081E-2</v>
      </c>
      <c r="E67" s="24">
        <v>-2.3298860000000001E-2</v>
      </c>
      <c r="F67" s="24">
        <v>2.4098635E-2</v>
      </c>
      <c r="G67" s="24">
        <v>-2.6086986E-2</v>
      </c>
      <c r="H67" s="24">
        <v>-1.9741057999999999E-2</v>
      </c>
      <c r="I67" s="24">
        <v>-1.8737673999999999E-2</v>
      </c>
      <c r="J67" s="24">
        <v>-1.8708705999999999E-2</v>
      </c>
      <c r="K67" s="24">
        <v>-2.0930290000000001E-2</v>
      </c>
      <c r="L67" s="24">
        <v>-1.5306175E-2</v>
      </c>
      <c r="M67" s="24">
        <v>-2.4539828E-2</v>
      </c>
      <c r="N67" s="24">
        <v>-2.5641083999999998E-2</v>
      </c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x14ac:dyDescent="0.35">
      <c r="A68" s="2">
        <v>43777</v>
      </c>
      <c r="B68" s="24">
        <v>3.8197039999999997E-3</v>
      </c>
      <c r="C68" s="24">
        <v>4.9308776999999998E-2</v>
      </c>
      <c r="D68" s="24">
        <v>4.6908260000000007E-2</v>
      </c>
      <c r="E68" s="24">
        <v>9.8826169999999991E-2</v>
      </c>
      <c r="F68" s="24">
        <v>6.0332655999999998E-2</v>
      </c>
      <c r="G68" s="24">
        <v>4.437232E-2</v>
      </c>
      <c r="H68" s="24">
        <v>7.6262711999999996E-2</v>
      </c>
      <c r="I68" s="24">
        <v>7.4774383999999999E-2</v>
      </c>
      <c r="J68" s="24">
        <v>6.0665370000000003E-2</v>
      </c>
      <c r="K68" s="24">
        <v>7.4991584E-2</v>
      </c>
      <c r="L68" s="24">
        <v>5.9261679999999997E-2</v>
      </c>
      <c r="M68" s="24">
        <v>0.12543667</v>
      </c>
      <c r="N68" s="24">
        <v>9.3402499999999999E-2</v>
      </c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x14ac:dyDescent="0.35">
      <c r="A69" s="2">
        <v>43808</v>
      </c>
      <c r="B69" s="24">
        <v>6.8683385999999999E-2</v>
      </c>
      <c r="C69" s="24">
        <v>-9.6619129999999994E-3</v>
      </c>
      <c r="D69" s="24">
        <v>6.7889689999999999E-4</v>
      </c>
      <c r="E69" s="24">
        <v>-8.9593529999999998E-3</v>
      </c>
      <c r="F69" s="24">
        <v>6.5076350000000003E-3</v>
      </c>
      <c r="G69" s="24">
        <v>1.3989686999999999E-2</v>
      </c>
      <c r="H69" s="24">
        <v>9.8159313000000005E-3</v>
      </c>
      <c r="I69" s="24">
        <v>1.4113306999999999E-2</v>
      </c>
      <c r="J69" s="24">
        <v>1.5990138000000001E-2</v>
      </c>
      <c r="K69" s="24">
        <v>-6.9444775999999995E-3</v>
      </c>
      <c r="L69" s="24">
        <v>8.407234999999999E-3</v>
      </c>
      <c r="M69" s="24">
        <v>-4.0359497000000003E-3</v>
      </c>
      <c r="N69" s="24">
        <v>-3.3559321999999996E-2</v>
      </c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x14ac:dyDescent="0.35">
      <c r="A70" s="2">
        <v>43839</v>
      </c>
      <c r="B70" s="24">
        <v>3.8362740999999999E-2</v>
      </c>
      <c r="C70" s="24">
        <v>2.8134108000000001E-2</v>
      </c>
      <c r="D70" s="24">
        <v>3.2254338E-2</v>
      </c>
      <c r="E70" s="24">
        <v>3.7552118000000002E-2</v>
      </c>
      <c r="F70" s="24">
        <v>5.5011509999999993E-3</v>
      </c>
      <c r="G70" s="24">
        <v>3.8579464000000001E-2</v>
      </c>
      <c r="H70" s="24">
        <v>4.7180175999999997E-2</v>
      </c>
      <c r="I70" s="24">
        <v>7.5430750000000005E-2</v>
      </c>
      <c r="J70" s="24">
        <v>4.5778513E-2</v>
      </c>
      <c r="K70" s="24">
        <v>4.0991663999999997E-2</v>
      </c>
      <c r="L70" s="24">
        <v>3.2266617000000004E-2</v>
      </c>
      <c r="M70" s="24">
        <v>4.0941714999999997E-2</v>
      </c>
      <c r="N70" s="24">
        <v>5.2877783999999997E-2</v>
      </c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x14ac:dyDescent="0.35">
      <c r="A71" s="2">
        <v>43868</v>
      </c>
      <c r="B71" s="24">
        <v>-1.1868775E-2</v>
      </c>
      <c r="C71" s="24">
        <v>-6.1592460000000002E-3</v>
      </c>
      <c r="D71" s="24">
        <v>3.3299922999999996E-3</v>
      </c>
      <c r="E71" s="24">
        <v>-2.010727E-2</v>
      </c>
      <c r="F71" s="24">
        <v>-7.8411100000000001E-3</v>
      </c>
      <c r="G71" s="24">
        <v>2.3370147000000001E-2</v>
      </c>
      <c r="H71" s="24">
        <v>-3.6894916999999999E-2</v>
      </c>
      <c r="I71" s="24">
        <v>4.6623109999999995E-2</v>
      </c>
      <c r="J71" s="24">
        <v>1.6990662E-2</v>
      </c>
      <c r="K71" s="24">
        <v>-1.3769925000000001E-2</v>
      </c>
      <c r="L71" s="24">
        <v>2.9480457000000002E-4</v>
      </c>
      <c r="M71" s="24">
        <v>9.096383999999999E-3</v>
      </c>
      <c r="N71" s="24">
        <v>1.3418198E-3</v>
      </c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x14ac:dyDescent="0.35">
      <c r="A72" s="2">
        <v>43899</v>
      </c>
      <c r="B72" s="24">
        <v>-0.10189617000000001</v>
      </c>
      <c r="C72" s="24">
        <v>-0.22797697</v>
      </c>
      <c r="D72" s="24">
        <v>-0.20643871</v>
      </c>
      <c r="E72" s="24">
        <v>-0.18741447</v>
      </c>
      <c r="F72" s="24">
        <v>-0.16058523000000002</v>
      </c>
      <c r="G72" s="24">
        <v>-0.13293265999999998</v>
      </c>
      <c r="H72" s="24">
        <v>-0.19675154</v>
      </c>
      <c r="I72" s="24">
        <v>-0.15545368000000001</v>
      </c>
      <c r="J72" s="24">
        <v>-0.17450333000000001</v>
      </c>
      <c r="K72" s="24">
        <v>-0.19671112000000002</v>
      </c>
      <c r="L72" s="24">
        <v>-0.16479952</v>
      </c>
      <c r="M72" s="24">
        <v>-0.16947115000000001</v>
      </c>
      <c r="N72" s="24">
        <v>-0.22847569000000001</v>
      </c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x14ac:dyDescent="0.35">
      <c r="A73" s="2">
        <v>43930</v>
      </c>
      <c r="B73" s="24">
        <v>-8.2675570000000004E-2</v>
      </c>
      <c r="C73" s="24">
        <v>-4.6445010000000002E-2</v>
      </c>
      <c r="D73" s="24">
        <v>-3.2204092000000004E-2</v>
      </c>
      <c r="E73" s="24">
        <v>-3.0303001E-2</v>
      </c>
      <c r="F73" s="24">
        <v>9.2147589999999995E-3</v>
      </c>
      <c r="G73" s="24">
        <v>5.8219430000000004E-3</v>
      </c>
      <c r="H73" s="24">
        <v>-4.6547116999999999E-2</v>
      </c>
      <c r="I73" s="24">
        <v>3.9868593000000001E-2</v>
      </c>
      <c r="J73" s="24">
        <v>2.0709037999999999E-2</v>
      </c>
      <c r="K73" s="24">
        <v>-5.793744E-2</v>
      </c>
      <c r="L73" s="24">
        <v>-2.7179657999999999E-2</v>
      </c>
      <c r="M73" s="24">
        <v>-3.7264763999999999E-2</v>
      </c>
      <c r="N73" s="24">
        <v>-6.6435099999999997E-2</v>
      </c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x14ac:dyDescent="0.35">
      <c r="A74" s="2">
        <v>43959</v>
      </c>
      <c r="B74" s="24">
        <v>8.2133769999999995E-2</v>
      </c>
      <c r="C74" s="24">
        <v>1.7438412E-2</v>
      </c>
      <c r="D74" s="24">
        <v>6.1365603999999997E-2</v>
      </c>
      <c r="E74" s="24">
        <v>2.34375E-2</v>
      </c>
      <c r="F74" s="24">
        <v>3.8904309999999998E-2</v>
      </c>
      <c r="G74" s="24">
        <v>2.6736498000000001E-2</v>
      </c>
      <c r="H74" s="24">
        <v>1.4405727E-2</v>
      </c>
      <c r="I74" s="24">
        <v>0.11948622</v>
      </c>
      <c r="J74" s="24">
        <v>5.1186203999999999E-2</v>
      </c>
      <c r="K74" s="24">
        <v>0</v>
      </c>
      <c r="L74" s="24">
        <v>4.7532680000000001E-2</v>
      </c>
      <c r="M74" s="24">
        <v>4.2840959999999997E-2</v>
      </c>
      <c r="N74" s="24">
        <v>-3.3023237999999996E-2</v>
      </c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x14ac:dyDescent="0.35">
      <c r="A75" s="2">
        <v>43991</v>
      </c>
      <c r="B75" s="24">
        <v>0.10597837</v>
      </c>
      <c r="C75" s="24">
        <v>0.19976352999999999</v>
      </c>
      <c r="D75" s="24">
        <v>9.9755759999999999E-2</v>
      </c>
      <c r="E75" s="24">
        <v>0.19762505</v>
      </c>
      <c r="F75" s="24">
        <v>0.10049677000000001</v>
      </c>
      <c r="G75" s="24">
        <v>7.0335507000000005E-2</v>
      </c>
      <c r="H75" s="24">
        <v>8.5207099999999994E-2</v>
      </c>
      <c r="I75" s="24">
        <v>8.2006570000000001E-2</v>
      </c>
      <c r="J75" s="24">
        <v>9.6943020000000005E-2</v>
      </c>
      <c r="K75" s="24">
        <v>0.17220175000000001</v>
      </c>
      <c r="L75" s="24">
        <v>0.13162446</v>
      </c>
      <c r="M75" s="24">
        <v>0.15891886</v>
      </c>
      <c r="N75" s="24">
        <v>0.20490610000000001</v>
      </c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x14ac:dyDescent="0.35">
      <c r="A76" s="2">
        <v>44021</v>
      </c>
      <c r="B76" s="24">
        <v>3.3563256E-2</v>
      </c>
      <c r="C76" s="24">
        <v>-2.9667555999999998E-2</v>
      </c>
      <c r="D76" s="24">
        <v>-3.1443954000000003E-2</v>
      </c>
      <c r="E76" s="24">
        <v>-6.3880680000000002E-3</v>
      </c>
      <c r="F76" s="24">
        <v>-3.6258459999999999E-2</v>
      </c>
      <c r="G76" s="24">
        <v>1.5495776999999999E-2</v>
      </c>
      <c r="H76" s="24">
        <v>-4.9788355999999999E-2</v>
      </c>
      <c r="I76" s="24">
        <v>7.9452515000000001E-2</v>
      </c>
      <c r="J76" s="24">
        <v>-1.5643716000000002E-2</v>
      </c>
      <c r="K76" s="24">
        <v>-2.9376388000000003E-2</v>
      </c>
      <c r="L76" s="24">
        <v>3.9878009999999998E-2</v>
      </c>
      <c r="M76" s="24">
        <v>9.6070770000000001E-4</v>
      </c>
      <c r="N76" s="24">
        <v>-1.5354334999999998E-2</v>
      </c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x14ac:dyDescent="0.35">
      <c r="A77" s="2">
        <v>44050</v>
      </c>
      <c r="B77" s="24">
        <v>2.8361440000000002E-2</v>
      </c>
      <c r="C77" s="24">
        <v>5.0489426000000004E-2</v>
      </c>
      <c r="D77" s="24">
        <v>7.9150677000000003E-2</v>
      </c>
      <c r="E77" s="24">
        <v>5.1494479999999995E-2</v>
      </c>
      <c r="F77" s="24">
        <v>1.6887546E-2</v>
      </c>
      <c r="G77" s="24">
        <v>3.1626463E-2</v>
      </c>
      <c r="H77" s="24">
        <v>2.9514550000000001E-2</v>
      </c>
      <c r="I77" s="24">
        <v>3.5433650000000004E-2</v>
      </c>
      <c r="J77" s="24">
        <v>6.4221620000000007E-2</v>
      </c>
      <c r="K77" s="24">
        <v>4.1349289999999997E-2</v>
      </c>
      <c r="L77" s="24">
        <v>3.4942269999999997E-2</v>
      </c>
      <c r="M77" s="24">
        <v>8.6319684999999993E-2</v>
      </c>
      <c r="N77" s="24">
        <v>4.2605519999999994E-2</v>
      </c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x14ac:dyDescent="0.35">
      <c r="A78" s="2">
        <v>44083</v>
      </c>
      <c r="B78" s="24">
        <v>4.7667027000000001E-3</v>
      </c>
      <c r="C78" s="24">
        <v>4.9043893999999996E-3</v>
      </c>
      <c r="D78" s="24">
        <v>1.0733365999999999E-2</v>
      </c>
      <c r="E78" s="24">
        <v>4.1780829999999998E-2</v>
      </c>
      <c r="F78" s="24">
        <v>3.1607150000000001E-2</v>
      </c>
      <c r="G78" s="24">
        <v>2.4087667E-2</v>
      </c>
      <c r="H78" s="24">
        <v>-5.2810310000000003E-3</v>
      </c>
      <c r="I78" s="24">
        <v>2.3612141999999999E-2</v>
      </c>
      <c r="J78" s="24">
        <v>1.5602112E-2</v>
      </c>
      <c r="K78" s="24">
        <v>2.5775074999999998E-2</v>
      </c>
      <c r="L78" s="24">
        <v>3.433466E-3</v>
      </c>
      <c r="M78" s="24">
        <v>3.2128453000000001E-2</v>
      </c>
      <c r="N78" s="24">
        <v>1.0215997999999999E-2</v>
      </c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x14ac:dyDescent="0.35">
      <c r="A79" s="2">
        <v>44113</v>
      </c>
      <c r="B79" s="24">
        <v>3.9816975999999997E-2</v>
      </c>
      <c r="C79" s="24">
        <v>1.6105412999999999E-2</v>
      </c>
      <c r="D79" s="24">
        <v>1.2389421000000001E-2</v>
      </c>
      <c r="E79" s="24">
        <v>-7.2320700000000002E-3</v>
      </c>
      <c r="F79" s="24">
        <v>2.9253960000000002E-2</v>
      </c>
      <c r="G79" s="24">
        <v>3.5638809999999996E-3</v>
      </c>
      <c r="H79" s="24">
        <v>0</v>
      </c>
      <c r="I79" s="24">
        <v>2.9669761999999999E-2</v>
      </c>
      <c r="J79" s="24">
        <v>2.4912E-2</v>
      </c>
      <c r="K79" s="24">
        <v>-1.2224138000000001E-2</v>
      </c>
      <c r="L79" s="24">
        <v>4.6478510000000001E-2</v>
      </c>
      <c r="M79" s="24">
        <v>1.4452457E-2</v>
      </c>
      <c r="N79" s="24">
        <v>-1.8280803999999998E-2</v>
      </c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x14ac:dyDescent="0.35">
      <c r="A80" s="2">
        <v>44144</v>
      </c>
      <c r="B80" s="24">
        <v>6.1104893999999993E-2</v>
      </c>
      <c r="C80" s="24">
        <v>6.0518739999999994E-2</v>
      </c>
      <c r="D80" s="24">
        <v>1.7482042E-3</v>
      </c>
      <c r="E80" s="24">
        <v>-2.5165557999999998E-2</v>
      </c>
      <c r="F80" s="24">
        <v>6.5085770000000001E-2</v>
      </c>
      <c r="G80" s="24">
        <v>-3.0776858E-3</v>
      </c>
      <c r="H80" s="24">
        <v>3.6404966999999996E-2</v>
      </c>
      <c r="I80" s="24">
        <v>1.0080218E-2</v>
      </c>
      <c r="J80" s="24">
        <v>2.2228599000000002E-2</v>
      </c>
      <c r="K80" s="24">
        <v>6.0845613E-2</v>
      </c>
      <c r="L80" s="24">
        <v>2.5068044999999997E-2</v>
      </c>
      <c r="M80" s="24">
        <v>4.3287753999999998E-2</v>
      </c>
      <c r="N80" s="24">
        <v>5.1901700000000002E-2</v>
      </c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x14ac:dyDescent="0.35">
      <c r="A81" s="2">
        <v>44174</v>
      </c>
      <c r="B81" s="24">
        <v>2.1038055E-2</v>
      </c>
      <c r="C81" s="24">
        <v>7.3822380000000007E-2</v>
      </c>
      <c r="D81" s="24">
        <v>9.4240900000000002E-2</v>
      </c>
      <c r="E81" s="24">
        <v>5.8084249999999997E-2</v>
      </c>
      <c r="F81" s="24">
        <v>3.7422894999999998E-2</v>
      </c>
      <c r="G81" s="24">
        <v>3.4433603E-2</v>
      </c>
      <c r="H81" s="24">
        <v>9.0376849999999995E-2</v>
      </c>
      <c r="I81" s="24">
        <v>4.4076324E-2</v>
      </c>
      <c r="J81" s="24">
        <v>3.4662723999999999E-2</v>
      </c>
      <c r="K81" s="24">
        <v>7.5826286999999992E-2</v>
      </c>
      <c r="L81" s="24">
        <v>7.3631050000000003E-2</v>
      </c>
      <c r="M81" s="24">
        <v>4.4905423999999999E-2</v>
      </c>
      <c r="N81" s="24">
        <v>9.6045259999999993E-2</v>
      </c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x14ac:dyDescent="0.35">
      <c r="A82" s="2">
        <v>44204</v>
      </c>
      <c r="B82" s="24">
        <v>6.5708755999999993E-2</v>
      </c>
      <c r="C82" s="24">
        <v>5.612433E-2</v>
      </c>
      <c r="D82" s="24">
        <v>3.7061095000000002E-2</v>
      </c>
      <c r="E82" s="24">
        <v>7.013643E-2</v>
      </c>
      <c r="F82" s="24">
        <v>5.8775066999999993E-2</v>
      </c>
      <c r="G82" s="24">
        <v>4.4163345999999999E-2</v>
      </c>
      <c r="H82" s="24">
        <v>6.1012150000000001E-2</v>
      </c>
      <c r="I82" s="24">
        <v>6.0733795E-2</v>
      </c>
      <c r="J82" s="24">
        <v>4.3728230000000007E-2</v>
      </c>
      <c r="K82" s="24">
        <v>4.3392299999999995E-2</v>
      </c>
      <c r="L82" s="24">
        <v>6.7603827000000005E-2</v>
      </c>
      <c r="M82" s="24">
        <v>6.1668872999999999E-2</v>
      </c>
      <c r="N82" s="24">
        <v>5.2608967E-2</v>
      </c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x14ac:dyDescent="0.35">
      <c r="A83" s="2">
        <v>44236</v>
      </c>
      <c r="B83" s="24">
        <v>-3.8279831E-2</v>
      </c>
      <c r="C83" s="24">
        <v>5.6383609999999997E-3</v>
      </c>
      <c r="D83" s="24">
        <v>1.7751454999999999E-2</v>
      </c>
      <c r="E83" s="24">
        <v>-5.4677129999999999E-3</v>
      </c>
      <c r="F83" s="24">
        <v>2.280271E-2</v>
      </c>
      <c r="G83" s="24">
        <v>-7.9190730000000004E-3</v>
      </c>
      <c r="H83" s="24">
        <v>-3.4868836E-2</v>
      </c>
      <c r="I83" s="24">
        <v>4.5387626E-2</v>
      </c>
      <c r="J83" s="24">
        <v>2.3579716999999997E-2</v>
      </c>
      <c r="K83" s="24">
        <v>-1.1314154E-2</v>
      </c>
      <c r="L83" s="24">
        <v>3.4434556999999998E-2</v>
      </c>
      <c r="M83" s="24">
        <v>1.0255218E-2</v>
      </c>
      <c r="N83" s="24">
        <v>9.8749400000000005E-3</v>
      </c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x14ac:dyDescent="0.35">
      <c r="A84" s="2">
        <v>44264</v>
      </c>
      <c r="B84" s="24">
        <v>-7.8204209999999996E-2</v>
      </c>
      <c r="C84" s="24">
        <v>9.2110634000000004E-3</v>
      </c>
      <c r="D84" s="24">
        <v>2.5091766999999997E-2</v>
      </c>
      <c r="E84" s="24">
        <v>9.1624260000000004E-4</v>
      </c>
      <c r="F84" s="24">
        <v>-3.852129E-2</v>
      </c>
      <c r="G84" s="24">
        <v>-2.8381348000000001E-2</v>
      </c>
      <c r="H84" s="24">
        <v>4.2094826999999994E-2</v>
      </c>
      <c r="I84" s="24">
        <v>-6.5185489999999999E-2</v>
      </c>
      <c r="J84" s="24">
        <v>-7.8923699999999992E-3</v>
      </c>
      <c r="K84" s="24">
        <v>1.6138434E-2</v>
      </c>
      <c r="L84" s="24">
        <v>-8.9973210000000002E-4</v>
      </c>
      <c r="M84" s="24">
        <v>3.7771462999999998E-2</v>
      </c>
      <c r="N84" s="24">
        <v>5.8670043999999996E-3</v>
      </c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x14ac:dyDescent="0.35">
      <c r="A85" s="2">
        <v>44295</v>
      </c>
      <c r="B85" s="24">
        <v>1.5942096999999999E-2</v>
      </c>
      <c r="C85" s="24">
        <v>1.2698411999999999E-2</v>
      </c>
      <c r="D85" s="24">
        <v>4.6865699999999996E-2</v>
      </c>
      <c r="E85" s="24">
        <v>5.5843709999999998E-2</v>
      </c>
      <c r="F85" s="24">
        <v>2.2453785E-2</v>
      </c>
      <c r="G85" s="24">
        <v>5.4769515999999997E-2</v>
      </c>
      <c r="H85" s="24">
        <v>2.1310448999999999E-2</v>
      </c>
      <c r="I85" s="24">
        <v>8.2617280000000001E-2</v>
      </c>
      <c r="J85" s="24">
        <v>6.6301465000000004E-2</v>
      </c>
      <c r="K85" s="24">
        <v>4.3026210000000002E-2</v>
      </c>
      <c r="L85" s="24">
        <v>8.0144170000000001E-2</v>
      </c>
      <c r="M85" s="24">
        <v>7.1201085999999997E-2</v>
      </c>
      <c r="N85" s="24">
        <v>2.6895642000000001E-2</v>
      </c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x14ac:dyDescent="0.35">
      <c r="A86" s="2">
        <v>44323</v>
      </c>
      <c r="B86" s="24">
        <v>4.1211010000000006E-2</v>
      </c>
      <c r="C86" s="24">
        <v>4.8589349999999996E-2</v>
      </c>
      <c r="D86" s="24">
        <v>4.9615144999999999E-2</v>
      </c>
      <c r="E86" s="24">
        <v>2.5433539999999998E-2</v>
      </c>
      <c r="F86" s="24">
        <v>-8.7555647000000011E-3</v>
      </c>
      <c r="G86" s="24">
        <v>2.9424548000000002E-2</v>
      </c>
      <c r="H86" s="24">
        <v>5.5434346000000002E-2</v>
      </c>
      <c r="I86" s="24">
        <v>-8.6321235E-3</v>
      </c>
      <c r="J86" s="24">
        <v>2.583301E-2</v>
      </c>
      <c r="K86" s="24">
        <v>5.9523819999999998E-2</v>
      </c>
      <c r="L86" s="24">
        <v>2.6469349999999999E-2</v>
      </c>
      <c r="M86" s="24">
        <v>2.9093146E-2</v>
      </c>
      <c r="N86" s="24">
        <v>3.2817840000000001E-2</v>
      </c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x14ac:dyDescent="0.35">
      <c r="A87" s="2">
        <v>44356</v>
      </c>
      <c r="B87" s="24">
        <v>-4.3994546000000002E-2</v>
      </c>
      <c r="C87" s="24">
        <v>1.3079286000000001E-2</v>
      </c>
      <c r="D87" s="24">
        <v>3.2328130000000004E-2</v>
      </c>
      <c r="E87" s="24">
        <v>1.7474651000000001E-2</v>
      </c>
      <c r="F87" s="24">
        <v>-1.0136366E-3</v>
      </c>
      <c r="G87" s="24">
        <v>5.8427930000000003E-2</v>
      </c>
      <c r="H87" s="24">
        <v>1.7704964E-3</v>
      </c>
      <c r="I87" s="24">
        <v>7.8994036000000004E-3</v>
      </c>
      <c r="J87" s="24">
        <v>-1.1134148000000001E-3</v>
      </c>
      <c r="K87" s="24">
        <v>3.1878829999999997E-2</v>
      </c>
      <c r="L87" s="24">
        <v>9.9493264999999994E-3</v>
      </c>
      <c r="M87" s="24">
        <v>1.7127514E-2</v>
      </c>
      <c r="N87" s="24">
        <v>4.6440599999999999E-2</v>
      </c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x14ac:dyDescent="0.35">
      <c r="A88" s="2">
        <v>44386</v>
      </c>
      <c r="B88" s="24">
        <v>-4.1254760000000003E-3</v>
      </c>
      <c r="C88" s="24">
        <v>-2.3088991999999999E-2</v>
      </c>
      <c r="D88" s="24">
        <v>-1.3438284E-2</v>
      </c>
      <c r="E88" s="24">
        <v>-1.6251206000000001E-2</v>
      </c>
      <c r="F88" s="24">
        <v>-8.3655120000000001E-4</v>
      </c>
      <c r="G88" s="24">
        <v>-3.3963919999999998E-3</v>
      </c>
      <c r="H88" s="24">
        <v>-6.4664482999999993E-3</v>
      </c>
      <c r="I88" s="24">
        <v>7.2990180000000002E-2</v>
      </c>
      <c r="J88" s="24">
        <v>3.6319613000000001E-2</v>
      </c>
      <c r="K88" s="24">
        <v>-2.9286742000000001E-2</v>
      </c>
      <c r="L88" s="24">
        <v>-2.4745940000000001E-2</v>
      </c>
      <c r="M88" s="24">
        <v>-1.8649220000000001E-2</v>
      </c>
      <c r="N88" s="24">
        <v>-4.8095645999999999E-2</v>
      </c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x14ac:dyDescent="0.35">
      <c r="A89" s="2">
        <v>44417</v>
      </c>
      <c r="B89" s="24">
        <v>-1.3714074999999999E-2</v>
      </c>
      <c r="C89" s="24">
        <v>4.5940876000000004E-3</v>
      </c>
      <c r="D89" s="24">
        <v>2.9522179999999999E-3</v>
      </c>
      <c r="E89" s="24">
        <v>-7.7318549999999993E-3</v>
      </c>
      <c r="F89" s="24">
        <v>-9.498775000000001E-3</v>
      </c>
      <c r="G89" s="24">
        <v>1.7451286E-2</v>
      </c>
      <c r="H89" s="24">
        <v>1.2059212000000001E-3</v>
      </c>
      <c r="I89" s="24">
        <v>2.1384477999999998E-2</v>
      </c>
      <c r="J89" s="24">
        <v>1.517725E-2</v>
      </c>
      <c r="K89" s="24">
        <v>2.7697205999999999E-2</v>
      </c>
      <c r="L89" s="24">
        <v>5.0840496999999998E-2</v>
      </c>
      <c r="M89" s="24">
        <v>1.7981767999999999E-2</v>
      </c>
      <c r="N89" s="24">
        <v>2.7010322000000003E-2</v>
      </c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x14ac:dyDescent="0.35">
      <c r="A90" s="2">
        <v>44448</v>
      </c>
      <c r="B90" s="24">
        <v>4.1305423000000001E-2</v>
      </c>
      <c r="C90" s="24">
        <v>-9.5274450000000007E-3</v>
      </c>
      <c r="D90" s="24">
        <v>3.4787655000000002E-3</v>
      </c>
      <c r="E90" s="24">
        <v>-3.4632682999999999E-3</v>
      </c>
      <c r="F90" s="24">
        <v>7.5390934999999992E-2</v>
      </c>
      <c r="G90" s="24">
        <v>-9.7725989999999999E-3</v>
      </c>
      <c r="H90" s="24">
        <v>-1.4754534E-2</v>
      </c>
      <c r="I90" s="24">
        <v>2.9127002000000003E-2</v>
      </c>
      <c r="J90" s="24">
        <v>1.5493155000000002E-2</v>
      </c>
      <c r="K90" s="24">
        <v>-4.1067600000000001E-3</v>
      </c>
      <c r="L90" s="24">
        <v>4.62085E-2</v>
      </c>
      <c r="M90" s="24">
        <v>-8.1047415999999997E-3</v>
      </c>
      <c r="N90" s="24">
        <v>-1.2696563999999999E-2</v>
      </c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x14ac:dyDescent="0.35">
      <c r="A91" s="2">
        <v>44477</v>
      </c>
      <c r="B91" s="24">
        <v>-2.8827250000000002E-2</v>
      </c>
      <c r="C91" s="24">
        <v>-2.0007730000000001E-2</v>
      </c>
      <c r="D91" s="24">
        <v>5.5999756000000003E-3</v>
      </c>
      <c r="E91" s="24">
        <v>-5.2128553000000001E-2</v>
      </c>
      <c r="F91" s="24">
        <v>-6.9008054999999999E-2</v>
      </c>
      <c r="G91" s="24">
        <v>-4.0684820000000003E-2</v>
      </c>
      <c r="H91" s="24">
        <v>2.1393299E-3</v>
      </c>
      <c r="I91" s="24">
        <v>-4.7174272999999996E-2</v>
      </c>
      <c r="J91" s="24">
        <v>-2.1612048000000002E-2</v>
      </c>
      <c r="K91" s="24">
        <v>-3.2731949999999996E-2</v>
      </c>
      <c r="L91" s="24">
        <v>-6.8705139999999998E-2</v>
      </c>
      <c r="M91" s="24">
        <v>-5.8663309999999996E-2</v>
      </c>
      <c r="N91" s="24">
        <v>-1.1022687E-2</v>
      </c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x14ac:dyDescent="0.35">
      <c r="A92" s="2">
        <v>44509</v>
      </c>
      <c r="B92" s="24">
        <v>2.7013897999999998E-2</v>
      </c>
      <c r="C92" s="24">
        <v>3.1802177000000001E-2</v>
      </c>
      <c r="D92" s="24">
        <v>5.701411E-2</v>
      </c>
      <c r="E92" s="24">
        <v>5.2551269999999997E-2</v>
      </c>
      <c r="F92" s="24">
        <v>2.8146148000000003E-2</v>
      </c>
      <c r="G92" s="24">
        <v>7.495272E-2</v>
      </c>
      <c r="H92" s="24">
        <v>2.2567750000000001E-2</v>
      </c>
      <c r="I92" s="24">
        <v>9.4584100000000004E-2</v>
      </c>
      <c r="J92" s="24">
        <v>6.7418813999999994E-2</v>
      </c>
      <c r="K92" s="24">
        <v>7.7538013000000003E-2</v>
      </c>
      <c r="L92" s="24">
        <v>7.4787140000000002E-2</v>
      </c>
      <c r="M92" s="24">
        <v>8.7914580000000006E-2</v>
      </c>
      <c r="N92" s="24">
        <v>5.3560375999999993E-2</v>
      </c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x14ac:dyDescent="0.35">
      <c r="A93" s="2">
        <v>44539</v>
      </c>
      <c r="B93" s="24">
        <v>-7.5444937000000004E-2</v>
      </c>
      <c r="C93" s="24">
        <v>-4.1095914999999997E-2</v>
      </c>
      <c r="D93" s="24">
        <v>-4.4907209999999996E-2</v>
      </c>
      <c r="E93" s="24">
        <v>-5.6023240000000002E-2</v>
      </c>
      <c r="F93" s="24">
        <v>-2.063918E-2</v>
      </c>
      <c r="G93" s="24">
        <v>-4.4921636999999993E-3</v>
      </c>
      <c r="H93" s="24">
        <v>-1.5210211E-2</v>
      </c>
      <c r="I93" s="24">
        <v>-4.0220618000000007E-3</v>
      </c>
      <c r="J93" s="24">
        <v>-2.2037624999999999E-3</v>
      </c>
      <c r="K93" s="24">
        <v>-3.8081049999999998E-2</v>
      </c>
      <c r="L93" s="24">
        <v>-7.3166074999999997E-2</v>
      </c>
      <c r="M93" s="24">
        <v>-5.3396106000000006E-2</v>
      </c>
      <c r="N93" s="24">
        <v>-4.6723485000000002E-2</v>
      </c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x14ac:dyDescent="0.35">
      <c r="A94" s="2">
        <v>44568</v>
      </c>
      <c r="B94" s="24">
        <v>4.1600465999999999E-3</v>
      </c>
      <c r="C94" s="24">
        <v>1.2590051E-2</v>
      </c>
      <c r="D94" s="24">
        <v>1.9329905999999997E-2</v>
      </c>
      <c r="E94" s="24">
        <v>2.6951432000000001E-2</v>
      </c>
      <c r="F94" s="24">
        <v>-1.1338949000000001E-2</v>
      </c>
      <c r="G94" s="24">
        <v>2.0600320000000002E-2</v>
      </c>
      <c r="H94" s="24">
        <v>5.7402729999999999E-2</v>
      </c>
      <c r="I94" s="24">
        <v>-3.3981860000000003E-2</v>
      </c>
      <c r="J94" s="24">
        <v>2.998948E-3</v>
      </c>
      <c r="K94" s="24">
        <v>4.0080070000000002E-2</v>
      </c>
      <c r="L94" s="24">
        <v>9.2365739999999991E-3</v>
      </c>
      <c r="M94" s="24">
        <v>2.3639082999999998E-2</v>
      </c>
      <c r="N94" s="24">
        <v>3.8625956000000003E-2</v>
      </c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x14ac:dyDescent="0.35">
      <c r="A95" s="2">
        <v>44601</v>
      </c>
      <c r="B95" s="24">
        <v>-4.7374066999999999E-2</v>
      </c>
      <c r="C95" s="24">
        <v>-2.0308673000000003E-2</v>
      </c>
      <c r="D95" s="24">
        <v>2.5319695000000003E-2</v>
      </c>
      <c r="E95" s="24">
        <v>-1.4799178E-2</v>
      </c>
      <c r="F95" s="24">
        <v>-1.7249166999999999E-2</v>
      </c>
      <c r="G95" s="24">
        <v>-4.4213769999999999E-2</v>
      </c>
      <c r="H95" s="24">
        <v>2.2954702E-2</v>
      </c>
      <c r="I95" s="24">
        <v>-3.4565329999999998E-2</v>
      </c>
      <c r="J95" s="24">
        <v>-1.8344045E-2</v>
      </c>
      <c r="K95" s="24">
        <v>-6.3500403999999996E-3</v>
      </c>
      <c r="L95" s="24">
        <v>-4.0469464999999996E-2</v>
      </c>
      <c r="M95" s="24">
        <v>-5.1175949999999998E-2</v>
      </c>
      <c r="N95" s="24">
        <v>-9.0312960000000001E-4</v>
      </c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x14ac:dyDescent="0.35">
      <c r="A96" s="2">
        <v>44629</v>
      </c>
      <c r="B96" s="24">
        <v>-1.9793986999999999E-2</v>
      </c>
      <c r="C96" s="24">
        <v>1.2437819999999999E-2</v>
      </c>
      <c r="D96" s="24">
        <v>-2.1130322999999999E-2</v>
      </c>
      <c r="E96" s="24">
        <v>-0.15113425</v>
      </c>
      <c r="F96" s="24">
        <v>-8.8064669999999998E-2</v>
      </c>
      <c r="G96" s="24">
        <v>-6.6371737E-2</v>
      </c>
      <c r="H96" s="24">
        <v>-7.5373944999999998E-2</v>
      </c>
      <c r="I96" s="24">
        <v>-8.6548750000000008E-2</v>
      </c>
      <c r="J96" s="24">
        <v>-6.585216499999999E-2</v>
      </c>
      <c r="K96" s="24">
        <v>-0.13650310499999999</v>
      </c>
      <c r="L96" s="24">
        <v>-0.14951491</v>
      </c>
      <c r="M96" s="24">
        <v>-0.1712187</v>
      </c>
      <c r="N96" s="24">
        <v>-0.14582700000000001</v>
      </c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x14ac:dyDescent="0.35">
      <c r="A97" s="2">
        <v>44659</v>
      </c>
      <c r="B97" s="24">
        <v>9.5922947000000001E-3</v>
      </c>
      <c r="C97" s="24">
        <v>8.6814164999999999E-2</v>
      </c>
      <c r="D97" s="24">
        <v>3.7451148000000004E-2</v>
      </c>
      <c r="E97" s="24">
        <v>0</v>
      </c>
      <c r="F97" s="24">
        <v>-5.3556559999999994E-3</v>
      </c>
      <c r="G97" s="24">
        <v>7.3675156000000006E-2</v>
      </c>
      <c r="H97" s="24">
        <v>6.4094662999999996E-2</v>
      </c>
      <c r="I97" s="24">
        <v>4.3561099999999998E-2</v>
      </c>
      <c r="J97" s="24">
        <v>5.0385714000000005E-2</v>
      </c>
      <c r="K97" s="24">
        <v>1.1249304E-2</v>
      </c>
      <c r="L97" s="24">
        <v>1.6116976999999998E-2</v>
      </c>
      <c r="M97" s="24">
        <v>8.6956500000000006E-2</v>
      </c>
      <c r="N97" s="24">
        <v>2.8218627E-2</v>
      </c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x14ac:dyDescent="0.35">
      <c r="A98" s="2">
        <v>44690</v>
      </c>
      <c r="B98" s="24">
        <v>-0.14690298000000002</v>
      </c>
      <c r="C98" s="24">
        <v>-0.12245666500000001</v>
      </c>
      <c r="D98" s="24">
        <v>-0.11281025</v>
      </c>
      <c r="E98" s="24">
        <v>-0.10039729</v>
      </c>
      <c r="F98" s="24">
        <v>-7.3027076999999996E-2</v>
      </c>
      <c r="G98" s="24">
        <v>-0.13483149</v>
      </c>
      <c r="H98" s="24">
        <v>-0.10204684999999999</v>
      </c>
      <c r="I98" s="24">
        <v>-0.148933115</v>
      </c>
      <c r="J98" s="24">
        <v>-0.11037379</v>
      </c>
      <c r="K98" s="24">
        <v>-7.8747090000000006E-2</v>
      </c>
      <c r="L98" s="24">
        <v>-0.12762320000000002</v>
      </c>
      <c r="M98" s="24">
        <v>-0.16509550000000001</v>
      </c>
      <c r="N98" s="24">
        <v>-0.10120063999999999</v>
      </c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x14ac:dyDescent="0.35">
      <c r="A99" s="2">
        <v>44721</v>
      </c>
      <c r="B99" s="24">
        <v>9.1331004999999996E-3</v>
      </c>
      <c r="C99" s="24">
        <v>1.9896149999999998E-2</v>
      </c>
      <c r="D99" s="24">
        <v>5.3855896E-2</v>
      </c>
      <c r="E99" s="24">
        <v>5.9890390000000002E-2</v>
      </c>
      <c r="F99" s="24">
        <v>2.2797227000000003E-2</v>
      </c>
      <c r="G99" s="24">
        <v>-5.6278706000000003E-3</v>
      </c>
      <c r="H99" s="24">
        <v>4.8204064000000005E-2</v>
      </c>
      <c r="I99" s="24">
        <v>7.5719356999999999E-3</v>
      </c>
      <c r="J99" s="24">
        <v>8.2125663999999994E-3</v>
      </c>
      <c r="K99" s="24">
        <v>5.1741720000000005E-2</v>
      </c>
      <c r="L99" s="24">
        <v>6.4950346999999992E-2</v>
      </c>
      <c r="M99" s="24">
        <v>7.6671959999999997E-2</v>
      </c>
      <c r="N99" s="24">
        <v>4.6036840000000002E-2</v>
      </c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x14ac:dyDescent="0.35">
      <c r="A100" s="2">
        <v>44750</v>
      </c>
      <c r="B100" s="24">
        <v>-2.3405611999999999E-2</v>
      </c>
      <c r="C100" s="24">
        <v>-7.3446330000000004E-2</v>
      </c>
      <c r="D100" s="24">
        <v>-8.8330629999999993E-2</v>
      </c>
      <c r="E100" s="24">
        <v>-0.1155799</v>
      </c>
      <c r="F100" s="24">
        <v>-3.7275969999999999E-2</v>
      </c>
      <c r="G100" s="24">
        <v>-1.4754832000000001E-2</v>
      </c>
      <c r="H100" s="24">
        <v>-6.7067385000000007E-2</v>
      </c>
      <c r="I100" s="24">
        <v>-1.1676073E-2</v>
      </c>
      <c r="J100" s="24">
        <v>-2.7637540999999998E-2</v>
      </c>
      <c r="K100" s="24">
        <v>-8.1182000000000004E-2</v>
      </c>
      <c r="L100" s="24">
        <v>-7.8499200000000005E-2</v>
      </c>
      <c r="M100" s="24">
        <v>-9.3321689999999999E-2</v>
      </c>
      <c r="N100" s="24">
        <v>-0.10868746</v>
      </c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x14ac:dyDescent="0.35">
      <c r="A101" s="2">
        <v>44782</v>
      </c>
      <c r="B101" s="24">
        <v>7.4538229999999997E-2</v>
      </c>
      <c r="C101" s="24">
        <v>5.1125765000000004E-2</v>
      </c>
      <c r="D101" s="24">
        <v>3.1703709999999996E-2</v>
      </c>
      <c r="E101" s="24">
        <v>3.4878612000000003E-2</v>
      </c>
      <c r="F101" s="24">
        <v>1.8987298E-2</v>
      </c>
      <c r="G101" s="24">
        <v>3.6714910999999996E-2</v>
      </c>
      <c r="H101" s="24">
        <v>4.3404579999999998E-2</v>
      </c>
      <c r="I101" s="24">
        <v>7.357371E-2</v>
      </c>
      <c r="J101" s="24">
        <v>5.8352830000000001E-2</v>
      </c>
      <c r="K101" s="24">
        <v>7.8537582999999994E-2</v>
      </c>
      <c r="L101" s="24">
        <v>6.9015265000000006E-2</v>
      </c>
      <c r="M101" s="24">
        <v>5.3071737000000001E-2</v>
      </c>
      <c r="N101" s="24">
        <v>3.6708831999999997E-2</v>
      </c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x14ac:dyDescent="0.35">
      <c r="A102" s="2">
        <v>44813</v>
      </c>
      <c r="B102" s="24">
        <v>-2.0257770000000001E-2</v>
      </c>
      <c r="C102" s="24">
        <v>-2.6773809999999999E-3</v>
      </c>
      <c r="D102" s="24">
        <v>2.0103454999999999E-3</v>
      </c>
      <c r="E102" s="24">
        <v>-4.3515386999999996E-2</v>
      </c>
      <c r="F102" s="24">
        <v>-3.0507863E-2</v>
      </c>
      <c r="G102" s="24">
        <v>-2.9123962E-2</v>
      </c>
      <c r="H102" s="24">
        <v>-4.7123850000000002E-2</v>
      </c>
      <c r="I102" s="24">
        <v>-3.1506239999999998E-2</v>
      </c>
      <c r="J102" s="24">
        <v>-1.1547327000000001E-2</v>
      </c>
      <c r="K102" s="24">
        <v>-5.0847473000000004E-2</v>
      </c>
      <c r="L102" s="24">
        <v>-5.6185904000000002E-2</v>
      </c>
      <c r="M102" s="24">
        <v>-5.9254826999999996E-2</v>
      </c>
      <c r="N102" s="24">
        <v>-3.0525028999999999E-2</v>
      </c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x14ac:dyDescent="0.35">
      <c r="A103" s="2">
        <v>44841</v>
      </c>
      <c r="B103" s="24">
        <v>-0.14014208</v>
      </c>
      <c r="C103" s="24">
        <v>-9.8881479999999994E-2</v>
      </c>
      <c r="D103" s="24">
        <v>-0.10662079000000001</v>
      </c>
      <c r="E103" s="24">
        <v>-0.10838538</v>
      </c>
      <c r="F103" s="24">
        <v>-6.1428250000000004E-2</v>
      </c>
      <c r="G103" s="24">
        <v>-9.9112030000000004E-2</v>
      </c>
      <c r="H103" s="24">
        <v>-9.1405210000000001E-2</v>
      </c>
      <c r="I103" s="24">
        <v>-0.1221484</v>
      </c>
      <c r="J103" s="24">
        <v>-0.10405283999999999</v>
      </c>
      <c r="K103" s="24">
        <v>-9.5238089999999997E-2</v>
      </c>
      <c r="L103" s="24">
        <v>-0.11219227</v>
      </c>
      <c r="M103" s="24">
        <v>-0.12012982</v>
      </c>
      <c r="N103" s="24">
        <v>-8.7321579999999996E-2</v>
      </c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x14ac:dyDescent="0.35">
      <c r="A104" s="2">
        <v>44874</v>
      </c>
      <c r="B104" s="24">
        <v>5.0279379999999999E-2</v>
      </c>
      <c r="C104" s="24">
        <v>4.518366E-2</v>
      </c>
      <c r="D104" s="24">
        <v>5.9351919999999996E-2</v>
      </c>
      <c r="E104" s="24">
        <v>0.12906455999999999</v>
      </c>
      <c r="F104" s="24">
        <v>2.4292349999999997E-2</v>
      </c>
      <c r="G104" s="24">
        <v>6.2599897000000002E-2</v>
      </c>
      <c r="H104" s="24">
        <v>6.4939975999999996E-2</v>
      </c>
      <c r="I104" s="24">
        <v>-2.147901E-2</v>
      </c>
      <c r="J104" s="24">
        <v>3.1257749000000001E-2</v>
      </c>
      <c r="K104" s="24">
        <v>0.12134504</v>
      </c>
      <c r="L104" s="24">
        <v>9.0586780000000006E-2</v>
      </c>
      <c r="M104" s="24">
        <v>0.13062727000000002</v>
      </c>
      <c r="N104" s="24">
        <v>0.17203308</v>
      </c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x14ac:dyDescent="0.35">
      <c r="A105" s="2">
        <v>44904</v>
      </c>
      <c r="B105" s="24">
        <v>0.14662349999999999</v>
      </c>
      <c r="C105" s="24">
        <v>0.10071266</v>
      </c>
      <c r="D105" s="24">
        <v>2.5136232000000001E-2</v>
      </c>
      <c r="E105" s="24">
        <v>0.11918473</v>
      </c>
      <c r="F105" s="24">
        <v>8.3104609999999995E-2</v>
      </c>
      <c r="G105" s="24">
        <v>7.2449207000000002E-2</v>
      </c>
      <c r="H105" s="24">
        <v>0.11068022</v>
      </c>
      <c r="I105" s="24">
        <v>7.109225000000001E-2</v>
      </c>
      <c r="J105" s="24">
        <v>5.1185370000000001E-2</v>
      </c>
      <c r="K105" s="24">
        <v>9.6479780000000001E-2</v>
      </c>
      <c r="L105" s="24">
        <v>0.14986694</v>
      </c>
      <c r="M105" s="24">
        <v>0.10672331</v>
      </c>
      <c r="N105" s="24">
        <v>7.3783399999999999E-2</v>
      </c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x14ac:dyDescent="0.35">
      <c r="A106" s="2">
        <v>44935</v>
      </c>
      <c r="B106" s="24">
        <v>-2.1815299999999998E-4</v>
      </c>
      <c r="C106" s="24">
        <v>1.1587381000000001E-2</v>
      </c>
      <c r="D106" s="24">
        <v>1.7568706999999999E-2</v>
      </c>
      <c r="E106" s="24">
        <v>5.7758209999999997E-2</v>
      </c>
      <c r="F106" s="24">
        <v>-4.4879317000000004E-3</v>
      </c>
      <c r="G106" s="24">
        <v>2.7115463999999999E-2</v>
      </c>
      <c r="H106" s="24">
        <v>2.3981929999999999E-2</v>
      </c>
      <c r="I106" s="24">
        <v>-3.8443803999999998E-2</v>
      </c>
      <c r="J106" s="24">
        <v>-9.1977120000000002E-3</v>
      </c>
      <c r="K106" s="24">
        <v>4.8655867999999998E-2</v>
      </c>
      <c r="L106" s="24">
        <v>4.5527100000000001E-2</v>
      </c>
      <c r="M106" s="24">
        <v>2.1139503E-2</v>
      </c>
      <c r="N106" s="24">
        <v>6.3266039999999996E-2</v>
      </c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x14ac:dyDescent="0.35">
      <c r="A107" s="2">
        <v>44966</v>
      </c>
      <c r="B107" s="24">
        <v>4.1962265999999998E-2</v>
      </c>
      <c r="C107" s="24">
        <v>5.5193424000000005E-2</v>
      </c>
      <c r="D107" s="24">
        <v>3.3284306999999999E-2</v>
      </c>
      <c r="E107" s="24">
        <v>5.316365E-2</v>
      </c>
      <c r="F107" s="24">
        <v>5.2832959999999998E-2</v>
      </c>
      <c r="G107" s="24">
        <v>1.2744664999999999E-2</v>
      </c>
      <c r="H107" s="24">
        <v>2.2019506000000001E-2</v>
      </c>
      <c r="I107" s="24">
        <v>0.11510301000000001</v>
      </c>
      <c r="J107" s="24">
        <v>4.9579740000000004E-2</v>
      </c>
      <c r="K107" s="24">
        <v>4.3527719999999999E-2</v>
      </c>
      <c r="L107" s="24">
        <v>4.1810989999999999E-2</v>
      </c>
      <c r="M107" s="24">
        <v>3.5143732999999996E-2</v>
      </c>
      <c r="N107" s="24">
        <v>6.3852069999999997E-2</v>
      </c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x14ac:dyDescent="0.35">
      <c r="A108" s="2">
        <v>44994</v>
      </c>
      <c r="B108" s="24">
        <v>-7.1595310000000009E-2</v>
      </c>
      <c r="C108" s="24">
        <v>-6.7133484000000007E-2</v>
      </c>
      <c r="D108" s="24">
        <v>-4.8460665E-2</v>
      </c>
      <c r="E108" s="24">
        <v>-2.1329463E-2</v>
      </c>
      <c r="F108" s="24">
        <v>-5.5372714999999996E-3</v>
      </c>
      <c r="G108" s="24">
        <v>-3.5280882999999999E-2</v>
      </c>
      <c r="H108" s="24">
        <v>-2.1545111999999998E-2</v>
      </c>
      <c r="I108" s="24">
        <v>-2.9899179999999997E-2</v>
      </c>
      <c r="J108" s="24">
        <v>-3.814882E-2</v>
      </c>
      <c r="K108" s="24">
        <v>-8.9967846999999997E-3</v>
      </c>
      <c r="L108" s="24">
        <v>-4.5119943999999995E-2</v>
      </c>
      <c r="M108" s="24">
        <v>-4.0123462999999998E-2</v>
      </c>
      <c r="N108" s="24">
        <v>-1.73828E-2</v>
      </c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x14ac:dyDescent="0.35">
      <c r="A109" s="2">
        <v>45022</v>
      </c>
      <c r="B109" s="24">
        <v>4.5264005999999996E-2</v>
      </c>
      <c r="C109" s="24">
        <v>1.9426106999999998E-2</v>
      </c>
      <c r="D109" s="24">
        <v>3.3553003999999997E-2</v>
      </c>
      <c r="E109" s="24">
        <v>3.8140177999999997E-2</v>
      </c>
      <c r="F109" s="24">
        <v>5.9161185999999999E-3</v>
      </c>
      <c r="G109" s="24">
        <v>7.593751E-2</v>
      </c>
      <c r="H109" s="24">
        <v>3.9949656E-2</v>
      </c>
      <c r="I109" s="24">
        <v>8.8433150000000002E-2</v>
      </c>
      <c r="J109" s="24">
        <v>4.9061060000000004E-2</v>
      </c>
      <c r="K109" s="24">
        <v>5.0619006000000001E-2</v>
      </c>
      <c r="L109" s="24">
        <v>4.5013666000000001E-2</v>
      </c>
      <c r="M109" s="24">
        <v>2.5723457000000002E-2</v>
      </c>
      <c r="N109" s="24">
        <v>3.0707597999999999E-2</v>
      </c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x14ac:dyDescent="0.35">
      <c r="A110" s="2">
        <v>45055</v>
      </c>
      <c r="B110" s="24">
        <v>1.1627913E-2</v>
      </c>
      <c r="C110" s="24">
        <v>3.4646988000000003E-3</v>
      </c>
      <c r="D110" s="24">
        <v>2.9275297999999998E-2</v>
      </c>
      <c r="E110" s="24">
        <v>2.3093104000000003E-2</v>
      </c>
      <c r="F110" s="24">
        <v>3.8574575999999999E-2</v>
      </c>
      <c r="G110" s="24">
        <v>5.4124236000000006E-2</v>
      </c>
      <c r="H110" s="24">
        <v>1.7543793000000002E-2</v>
      </c>
      <c r="I110" s="24">
        <v>1.128757E-2</v>
      </c>
      <c r="J110" s="24">
        <v>4.2523146000000003E-3</v>
      </c>
      <c r="K110" s="24">
        <v>2.1209836000000003E-2</v>
      </c>
      <c r="L110" s="24">
        <v>-7.9723597000000007E-3</v>
      </c>
      <c r="M110" s="24">
        <v>4.2747260000000002E-2</v>
      </c>
      <c r="N110" s="24">
        <v>2.6878237999999999E-2</v>
      </c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x14ac:dyDescent="0.35">
      <c r="A111" s="2">
        <v>45086</v>
      </c>
      <c r="B111" s="24">
        <v>-4.708159E-2</v>
      </c>
      <c r="C111" s="24">
        <v>-1.6718029999999998E-2</v>
      </c>
      <c r="D111" s="24">
        <v>-2.9977500000000001E-2</v>
      </c>
      <c r="E111" s="24">
        <v>-2.4546564000000003E-2</v>
      </c>
      <c r="F111" s="24">
        <v>4.3625116000000005E-2</v>
      </c>
      <c r="G111" s="24">
        <v>-4.0968060000000001E-2</v>
      </c>
      <c r="H111" s="24">
        <v>-2.5424361000000003E-2</v>
      </c>
      <c r="I111" s="24">
        <v>0.10216391</v>
      </c>
      <c r="J111" s="24">
        <v>4.6163559999999999E-2</v>
      </c>
      <c r="K111" s="24">
        <v>-3.3479989000000002E-2</v>
      </c>
      <c r="L111" s="24">
        <v>1.7268062000000001E-2</v>
      </c>
      <c r="M111" s="24">
        <v>-3.5528839E-2</v>
      </c>
      <c r="N111" s="24">
        <v>-2.2957801999999999E-2</v>
      </c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x14ac:dyDescent="0.35">
      <c r="A112" s="2">
        <v>45114</v>
      </c>
      <c r="B112" s="24">
        <v>4.0377854999999997E-2</v>
      </c>
      <c r="C112" s="24">
        <v>-1.1627913E-2</v>
      </c>
      <c r="D112" s="24">
        <v>6.7449809999999997E-3</v>
      </c>
      <c r="E112" s="24">
        <v>-2.8818250000000002E-3</v>
      </c>
      <c r="F112" s="24">
        <v>-9.3218090000000003E-3</v>
      </c>
      <c r="G112" s="24">
        <v>-1.6641079999999999E-2</v>
      </c>
      <c r="H112" s="24">
        <v>-2.2388040000000001E-2</v>
      </c>
      <c r="I112" s="24">
        <v>3.4536123000000002E-2</v>
      </c>
      <c r="J112" s="24">
        <v>2.3924112000000001E-2</v>
      </c>
      <c r="K112" s="24">
        <v>8.407950400000001E-3</v>
      </c>
      <c r="L112" s="24">
        <v>1.1565447E-2</v>
      </c>
      <c r="M112" s="24">
        <v>-2.6069760000000001E-2</v>
      </c>
      <c r="N112" s="24">
        <v>3.6706327999999996E-2</v>
      </c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x14ac:dyDescent="0.35">
      <c r="A113" s="2">
        <v>45147</v>
      </c>
      <c r="B113" s="24">
        <v>-3.5937785999999999E-2</v>
      </c>
      <c r="C113" s="24">
        <v>1.5837073E-2</v>
      </c>
      <c r="D113" s="24">
        <v>1.3981938000000001E-2</v>
      </c>
      <c r="E113" s="24">
        <v>1.8063545E-2</v>
      </c>
      <c r="F113" s="24">
        <v>-6.9760083999999998E-3</v>
      </c>
      <c r="G113" s="24">
        <v>3.3177495000000001E-2</v>
      </c>
      <c r="H113" s="24">
        <v>3.8486003999999997E-2</v>
      </c>
      <c r="I113" s="24">
        <v>4.5598745E-3</v>
      </c>
      <c r="J113" s="24">
        <v>1.6417741999999999E-2</v>
      </c>
      <c r="K113" s="24">
        <v>2.8240919999999999E-2</v>
      </c>
      <c r="L113" s="24">
        <v>1.8859147999999999E-2</v>
      </c>
      <c r="M113" s="24">
        <v>7.8556540000000001E-3</v>
      </c>
      <c r="N113" s="24">
        <v>2.1052599999999998E-2</v>
      </c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x14ac:dyDescent="0.35">
      <c r="A114" s="2">
        <v>45177</v>
      </c>
      <c r="B114" s="24">
        <v>-7.4973879999999993E-2</v>
      </c>
      <c r="C114" s="24">
        <v>-3.3407569999999998E-2</v>
      </c>
      <c r="D114" s="24">
        <v>-2.2982000999999998E-2</v>
      </c>
      <c r="E114" s="24">
        <v>-3.7970185000000004E-2</v>
      </c>
      <c r="F114" s="24">
        <v>6.5349340000000001E-3</v>
      </c>
      <c r="G114" s="24">
        <v>-2.9741406000000001E-2</v>
      </c>
      <c r="H114" s="24">
        <v>-2.7565122000000001E-2</v>
      </c>
      <c r="I114" s="24">
        <v>1.2693286E-2</v>
      </c>
      <c r="J114" s="24">
        <v>-5.1599739999999995E-4</v>
      </c>
      <c r="K114" s="24">
        <v>-3.8713038000000005E-2</v>
      </c>
      <c r="L114" s="24">
        <v>-8.2369330000000004E-2</v>
      </c>
      <c r="M114" s="24">
        <v>-5.5715920000000002E-2</v>
      </c>
      <c r="N114" s="24">
        <v>-2.7803719999999997E-2</v>
      </c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x14ac:dyDescent="0.35">
      <c r="A115" s="2">
        <v>45208</v>
      </c>
      <c r="B115" s="24">
        <v>1.4942408000000001E-2</v>
      </c>
      <c r="C115" s="24">
        <v>-1.106E-2</v>
      </c>
      <c r="D115" s="24">
        <v>-2.5580703999999999E-2</v>
      </c>
      <c r="E115" s="24">
        <v>-4.4264134999999996E-2</v>
      </c>
      <c r="F115" s="24">
        <v>-3.3436180000000003E-2</v>
      </c>
      <c r="G115" s="24">
        <v>-3.0208826000000001E-2</v>
      </c>
      <c r="H115" s="24">
        <v>-7.2440504999999999E-3</v>
      </c>
      <c r="I115" s="24">
        <v>-1.4736115999999999E-2</v>
      </c>
      <c r="J115" s="24">
        <v>-2.6230872000000002E-2</v>
      </c>
      <c r="K115" s="24">
        <v>-4.1632594999999994E-2</v>
      </c>
      <c r="L115" s="24">
        <v>-4.7655050000000004E-2</v>
      </c>
      <c r="M115" s="24">
        <v>3.0572413999999997E-3</v>
      </c>
      <c r="N115" s="24">
        <v>-3.9524495999999999E-2</v>
      </c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x14ac:dyDescent="0.35">
      <c r="A116" s="2">
        <v>45239</v>
      </c>
      <c r="B116" s="24">
        <v>-2.4537205999999999E-2</v>
      </c>
      <c r="C116" s="24">
        <v>-2.7958749999999997E-3</v>
      </c>
      <c r="D116" s="24">
        <v>1.2069940600000001E-3</v>
      </c>
      <c r="E116" s="24">
        <v>1.273644E-2</v>
      </c>
      <c r="F116" s="24">
        <v>5.7095289999999996E-3</v>
      </c>
      <c r="G116" s="24">
        <v>-1.3971627E-2</v>
      </c>
      <c r="H116" s="24">
        <v>-1.2690364999999999E-2</v>
      </c>
      <c r="I116" s="24">
        <v>9.5754859999999994E-3</v>
      </c>
      <c r="J116" s="24">
        <v>3.5855769999999999E-3</v>
      </c>
      <c r="K116" s="24">
        <v>1.0505318999999999E-2</v>
      </c>
      <c r="L116" s="24">
        <v>4.6862599999999997E-2</v>
      </c>
      <c r="M116" s="24">
        <v>-3.0487776E-4</v>
      </c>
      <c r="N116" s="24">
        <v>3.5797954E-2</v>
      </c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x14ac:dyDescent="0.35">
      <c r="A117" s="2">
        <v>45268</v>
      </c>
      <c r="B117" s="24">
        <v>7.1118236000000001E-2</v>
      </c>
      <c r="C117" s="24">
        <v>6.6355109999999995E-2</v>
      </c>
      <c r="D117" s="24">
        <v>5.666065E-2</v>
      </c>
      <c r="E117" s="24">
        <v>0.10518288999999999</v>
      </c>
      <c r="F117" s="24">
        <v>4.8255086000000003E-2</v>
      </c>
      <c r="G117" s="24">
        <v>6.7363619999999999E-2</v>
      </c>
      <c r="H117" s="24">
        <v>4.6915174000000004E-2</v>
      </c>
      <c r="I117" s="24">
        <v>5.9718489999999999E-2</v>
      </c>
      <c r="J117" s="24">
        <v>6.0759782999999998E-2</v>
      </c>
      <c r="K117" s="24">
        <v>7.6426030000000006E-2</v>
      </c>
      <c r="L117" s="24">
        <v>8.4977259999999999E-2</v>
      </c>
      <c r="M117" s="24">
        <v>0.14207314999999998</v>
      </c>
      <c r="N117" s="24">
        <v>7.7842355000000002E-2</v>
      </c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x14ac:dyDescent="0.35">
      <c r="A118" s="2">
        <v>45300</v>
      </c>
      <c r="B118" s="24">
        <v>4.6308517E-2</v>
      </c>
      <c r="C118" s="24">
        <v>6.0854910000000005E-2</v>
      </c>
      <c r="D118" s="24">
        <v>5.0920367000000001E-2</v>
      </c>
      <c r="E118" s="24">
        <v>5.5698155999999999E-3</v>
      </c>
      <c r="F118" s="24">
        <v>3.4932494000000001E-2</v>
      </c>
      <c r="G118" s="24">
        <v>4.1131615999999996E-2</v>
      </c>
      <c r="H118" s="24">
        <v>2.9929519000000002E-2</v>
      </c>
      <c r="I118" s="24">
        <v>3.7225842000000002E-2</v>
      </c>
      <c r="J118" s="24">
        <v>3.3908128999999995E-2</v>
      </c>
      <c r="K118" s="24">
        <v>7.3289869999999997E-4</v>
      </c>
      <c r="L118" s="24">
        <v>1.4120698000000001E-2</v>
      </c>
      <c r="M118" s="24">
        <v>3.0165194999999999E-2</v>
      </c>
      <c r="N118" s="24">
        <v>2.0505905000000001E-2</v>
      </c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x14ac:dyDescent="0.35">
      <c r="A119" s="2">
        <v>45331</v>
      </c>
      <c r="B119" s="24">
        <v>-3.041029E-2</v>
      </c>
      <c r="C119" s="24">
        <v>-2.9510856000000002E-3</v>
      </c>
      <c r="D119" s="24">
        <v>-2.7507543999999998E-4</v>
      </c>
      <c r="E119" s="24">
        <v>3.7722588E-3</v>
      </c>
      <c r="F119" s="24">
        <v>3.9956211999999998E-2</v>
      </c>
      <c r="G119" s="24">
        <v>-3.0518353000000002E-2</v>
      </c>
      <c r="H119" s="24">
        <v>-1.6768277000000002E-2</v>
      </c>
      <c r="I119" s="24">
        <v>7.7141047000000004E-2</v>
      </c>
      <c r="J119" s="24">
        <v>5.7651760000000003E-2</v>
      </c>
      <c r="K119" s="24">
        <v>1.9952655E-2</v>
      </c>
      <c r="L119" s="24">
        <v>9.6804029999999999E-2</v>
      </c>
      <c r="M119" s="24">
        <v>-5.3107740000000005E-4</v>
      </c>
      <c r="N119" s="24">
        <v>9.2178582999999994E-3</v>
      </c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x14ac:dyDescent="0.35">
      <c r="A120" s="2">
        <v>45359</v>
      </c>
      <c r="B120" s="24">
        <v>-7.5187683000000009E-3</v>
      </c>
      <c r="C120" s="24">
        <v>4.7357319999999994E-2</v>
      </c>
      <c r="D120" s="24">
        <v>3.4947752999999998E-2</v>
      </c>
      <c r="E120" s="24">
        <v>5.9446573000000003E-2</v>
      </c>
      <c r="F120" s="24">
        <v>6.8287609999999999E-2</v>
      </c>
      <c r="G120" s="24">
        <v>3.9672255999999996E-2</v>
      </c>
      <c r="H120" s="24">
        <v>3.3488392999999998E-2</v>
      </c>
      <c r="I120" s="24">
        <v>4.5075417000000001E-3</v>
      </c>
      <c r="J120" s="24">
        <v>2.0989656000000002E-2</v>
      </c>
      <c r="K120" s="24">
        <v>5.2767158000000002E-2</v>
      </c>
      <c r="L120" s="24">
        <v>3.2094598000000002E-2</v>
      </c>
      <c r="M120" s="24">
        <v>7.9702496999999997E-2</v>
      </c>
      <c r="N120" s="24">
        <v>8.043612E-2</v>
      </c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x14ac:dyDescent="0.35">
      <c r="A121" s="2">
        <v>45391</v>
      </c>
      <c r="B121" s="24">
        <v>-1.31948E-2</v>
      </c>
      <c r="C121" s="24">
        <v>3.2297373E-3</v>
      </c>
      <c r="D121" s="24">
        <v>2.4195669999999999E-2</v>
      </c>
      <c r="E121" s="24">
        <v>1.1286735999999999E-2</v>
      </c>
      <c r="F121" s="24">
        <v>-9.8341703000000003E-3</v>
      </c>
      <c r="G121" s="24">
        <v>-3.1729639000000004E-2</v>
      </c>
      <c r="H121" s="24">
        <v>3.0303001E-2</v>
      </c>
      <c r="I121" s="24">
        <v>8.6321829999999999E-3</v>
      </c>
      <c r="J121" s="24">
        <v>1.8026709999999998E-2</v>
      </c>
      <c r="K121" s="24">
        <v>2.4449825000000003E-4</v>
      </c>
      <c r="L121" s="24">
        <v>1.9435405999999999E-2</v>
      </c>
      <c r="M121" s="24">
        <v>-4.6751500000000003E-3</v>
      </c>
      <c r="N121" s="24">
        <v>1.2271643E-2</v>
      </c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x14ac:dyDescent="0.35">
      <c r="A122" s="2">
        <v>45421</v>
      </c>
      <c r="B122" s="24">
        <v>-6.8085194000000009E-3</v>
      </c>
      <c r="C122" s="24">
        <v>-1.4486969000000001E-2</v>
      </c>
      <c r="D122" s="24">
        <v>-6.2305929999999995E-3</v>
      </c>
      <c r="E122" s="24">
        <v>2.2321463E-2</v>
      </c>
      <c r="F122" s="24">
        <v>-3.0363321000000002E-2</v>
      </c>
      <c r="G122" s="24">
        <v>1.9918560999999998E-2</v>
      </c>
      <c r="H122" s="24">
        <v>5.0087450000000006E-2</v>
      </c>
      <c r="I122" s="24">
        <v>-2.7362108E-3</v>
      </c>
      <c r="J122" s="24">
        <v>1.6367434999999999E-3</v>
      </c>
      <c r="K122" s="24">
        <v>2.5910616000000001E-2</v>
      </c>
      <c r="L122" s="24">
        <v>1.083684E-2</v>
      </c>
      <c r="M122" s="24">
        <v>-7.4172020000000003E-4</v>
      </c>
      <c r="N122" s="50">
        <v>2.0743490000000003E-2</v>
      </c>
    </row>
    <row r="123" spans="1:26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</row>
    <row r="124" spans="1:26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</row>
    <row r="125" spans="1:26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</row>
    <row r="126" spans="1:26" x14ac:dyDescent="0.35">
      <c r="A126" t="s">
        <v>782</v>
      </c>
      <c r="B126" s="24" cm="1">
        <f t="array" ref="B126">MAX(_xlfn._xlws.FILTER(B1:B122, ISNUMBER(B1:B122)))</f>
        <v>0.14662349999999999</v>
      </c>
      <c r="C126" s="24" cm="1">
        <f t="array" ref="C126">MAX(_xlfn._xlws.FILTER(C1:C122, ISNUMBER(C1:C122)))</f>
        <v>0.19976352999999999</v>
      </c>
      <c r="D126" s="24" cm="1">
        <f t="array" ref="D126">MAX(_xlfn._xlws.FILTER(D1:D122, ISNUMBER(D1:D122)))</f>
        <v>0.14356434000000001</v>
      </c>
      <c r="E126" s="24" cm="1">
        <f t="array" ref="E126">MAX(_xlfn._xlws.FILTER(E1:E122, ISNUMBER(E1:E122)))</f>
        <v>0.19762505</v>
      </c>
      <c r="F126" s="24" cm="1">
        <f t="array" ref="F126">MAX(_xlfn._xlws.FILTER(F1:F122, ISNUMBER(F1:F122)))</f>
        <v>0.10049677000000001</v>
      </c>
      <c r="G126" s="24" cm="1">
        <f t="array" ref="G126">MAX(_xlfn._xlws.FILTER(G1:G122, ISNUMBER(G1:G122)))</f>
        <v>7.593751E-2</v>
      </c>
      <c r="H126" s="24" cm="1">
        <f t="array" ref="H126">MAX(_xlfn._xlws.FILTER(H1:H122, ISNUMBER(H1:H122)))</f>
        <v>0.11068022</v>
      </c>
      <c r="I126" s="24" cm="1">
        <f t="array" ref="I126">MAX(_xlfn._xlws.FILTER(I1:I122, ISNUMBER(I1:I122)))</f>
        <v>0.11948622</v>
      </c>
      <c r="J126" s="24" cm="1">
        <f t="array" ref="J126">MAX(_xlfn._xlws.FILTER(J1:J122, ISNUMBER(J1:J122)))</f>
        <v>9.6943020000000005E-2</v>
      </c>
      <c r="K126" s="24" cm="1">
        <f t="array" ref="K126">MAX(_xlfn._xlws.FILTER(K1:K122, ISNUMBER(K1:K122)))</f>
        <v>0.17220175000000001</v>
      </c>
      <c r="L126" s="24" cm="1">
        <f t="array" ref="L126">MAX(_xlfn._xlws.FILTER(L1:L122, ISNUMBER(L1:L122)))</f>
        <v>0.14986694</v>
      </c>
      <c r="M126" s="24" cm="1">
        <f t="array" ref="M126">MAX(_xlfn._xlws.FILTER(M1:M122, ISNUMBER(M1:M122)))</f>
        <v>0.15891886</v>
      </c>
      <c r="N126" s="24" cm="1">
        <f t="array" ref="N126">MAX(_xlfn._xlws.FILTER(N1:N122, ISNUMBER(N1:N122)))</f>
        <v>0.20490610000000001</v>
      </c>
    </row>
    <row r="127" spans="1:26" x14ac:dyDescent="0.35">
      <c r="A127" t="s">
        <v>85</v>
      </c>
      <c r="B127" s="24" cm="1">
        <f t="array" ref="B127">MIN(_xlfn._xlws.FILTER(B2:B122, ISNUMBER(B2:B122)))</f>
        <v>-0.14690298000000002</v>
      </c>
      <c r="C127" s="24" cm="1">
        <f t="array" ref="C127">MIN(_xlfn._xlws.FILTER(C2:C122, ISNUMBER(C2:C122)))</f>
        <v>-0.22797697</v>
      </c>
      <c r="D127" s="24" cm="1">
        <f t="array" ref="D127">MIN(_xlfn._xlws.FILTER(D2:D122, ISNUMBER(D2:D122)))</f>
        <v>-0.20643871</v>
      </c>
      <c r="E127" s="24" cm="1">
        <f t="array" ref="E127">MIN(_xlfn._xlws.FILTER(E2:E122, ISNUMBER(E2:E122)))</f>
        <v>-0.18741447</v>
      </c>
      <c r="F127" s="24" cm="1">
        <f t="array" ref="F127">MIN(_xlfn._xlws.FILTER(F2:F122, ISNUMBER(F2:F122)))</f>
        <v>-0.16058523000000002</v>
      </c>
      <c r="G127" s="24" cm="1">
        <f t="array" ref="G127">MIN(_xlfn._xlws.FILTER(G2:G122, ISNUMBER(G2:G122)))</f>
        <v>-0.13483149</v>
      </c>
      <c r="H127" s="24" cm="1">
        <f t="array" ref="H127">MIN(_xlfn._xlws.FILTER(H2:H122, ISNUMBER(H2:H122)))</f>
        <v>-0.19675154</v>
      </c>
      <c r="I127" s="24" cm="1">
        <f t="array" ref="I127">MIN(_xlfn._xlws.FILTER(I2:I122, ISNUMBER(I2:I122)))</f>
        <v>-0.15545368000000001</v>
      </c>
      <c r="J127" s="24" cm="1">
        <f t="array" ref="J127">MIN(_xlfn._xlws.FILTER(J2:J122, ISNUMBER(J2:J122)))</f>
        <v>-0.17450333000000001</v>
      </c>
      <c r="K127" s="24" cm="1">
        <f t="array" ref="K127">MIN(_xlfn._xlws.FILTER(K2:K122, ISNUMBER(K2:K122)))</f>
        <v>-0.19671112000000002</v>
      </c>
      <c r="L127" s="24" cm="1">
        <f t="array" ref="L127">MIN(_xlfn._xlws.FILTER(L2:L122, ISNUMBER(L2:L122)))</f>
        <v>-0.16479952</v>
      </c>
      <c r="M127" s="24" cm="1">
        <f t="array" ref="M127">MIN(_xlfn._xlws.FILTER(M2:M122, ISNUMBER(M2:M122)))</f>
        <v>-0.1712187</v>
      </c>
      <c r="N127" s="24" cm="1">
        <f t="array" ref="N127">MIN(_xlfn._xlws.FILTER(N2:N122, ISNUMBER(N2:N122)))</f>
        <v>-0.22847569000000001</v>
      </c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9" spans="1:17" x14ac:dyDescent="0.35">
      <c r="A129" t="s">
        <v>87</v>
      </c>
      <c r="B129">
        <f>COUNTIF(B2:B122, "&lt;"&amp;Assumption!$E$50)</f>
        <v>14</v>
      </c>
      <c r="C129">
        <f>COUNTIF(C2:C122, "&lt;"&amp;Assumption!$E$50)</f>
        <v>15</v>
      </c>
      <c r="D129">
        <f>COUNTIF(D2:D122, "&lt;"&amp;Assumption!$E$50)</f>
        <v>12</v>
      </c>
      <c r="E129">
        <f>COUNTIF(E2:E122, "&lt;"&amp;Assumption!$E$50)</f>
        <v>18</v>
      </c>
      <c r="F129">
        <f>COUNTIF(F2:F122, "&lt;"&amp;Assumption!$E$50)</f>
        <v>9</v>
      </c>
      <c r="G129">
        <f>COUNTIF(G2:G122, "&lt;"&amp;Assumption!$E$50)</f>
        <v>7</v>
      </c>
      <c r="H129">
        <f>COUNTIF(H2:H122, "&lt;"&amp;Assumption!$E$50)</f>
        <v>12</v>
      </c>
      <c r="I129">
        <f>COUNTIF(I2:I122, "&lt;"&amp;Assumption!$E$50)</f>
        <v>10</v>
      </c>
      <c r="J129">
        <f>COUNTIF(J2:J122, "&lt;"&amp;Assumption!$E$50)</f>
        <v>8</v>
      </c>
      <c r="K129">
        <f>COUNTIF(K2:K122, "&lt;"&amp;Assumption!$E$50)</f>
        <v>15</v>
      </c>
      <c r="L129">
        <f>COUNTIF(L2:L122, "&lt;"&amp;Assumption!$E$50)</f>
        <v>17</v>
      </c>
      <c r="M129">
        <f>COUNTIF(M2:M122, "&lt;"&amp;Assumption!$E$50)</f>
        <v>18</v>
      </c>
      <c r="N129">
        <f>COUNTIF(N2:N122, "&lt;"&amp;Assumption!$E$50)</f>
        <v>18</v>
      </c>
    </row>
    <row r="130" spans="1:17" x14ac:dyDescent="0.35">
      <c r="A130" t="s">
        <v>86</v>
      </c>
      <c r="B130">
        <f t="shared" ref="B130:J130" si="0">COUNT(B1:B122)</f>
        <v>121</v>
      </c>
      <c r="C130">
        <f t="shared" si="0"/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ref="K130:N130" si="1">COUNT(K1:K122)</f>
        <v>121</v>
      </c>
      <c r="L130">
        <f t="shared" si="1"/>
        <v>121</v>
      </c>
      <c r="M130">
        <f t="shared" si="1"/>
        <v>121</v>
      </c>
      <c r="N130">
        <f t="shared" si="1"/>
        <v>121</v>
      </c>
    </row>
    <row r="132" spans="1:17" x14ac:dyDescent="0.35">
      <c r="A132" t="s">
        <v>88</v>
      </c>
      <c r="B132" s="9">
        <f t="shared" ref="B132:J132" si="2">B129/B130</f>
        <v>0.11570247933884298</v>
      </c>
      <c r="C132" s="9">
        <f t="shared" si="2"/>
        <v>0.12396694214876033</v>
      </c>
      <c r="D132" s="9">
        <f t="shared" si="2"/>
        <v>9.9173553719008267E-2</v>
      </c>
      <c r="E132" s="9">
        <f t="shared" si="2"/>
        <v>0.1487603305785124</v>
      </c>
      <c r="F132" s="9">
        <f t="shared" si="2"/>
        <v>7.43801652892562E-2</v>
      </c>
      <c r="G132" s="9">
        <f t="shared" si="2"/>
        <v>5.7851239669421489E-2</v>
      </c>
      <c r="H132" s="9">
        <f t="shared" si="2"/>
        <v>9.9173553719008267E-2</v>
      </c>
      <c r="I132" s="9">
        <f t="shared" si="2"/>
        <v>8.2644628099173556E-2</v>
      </c>
      <c r="J132" s="9">
        <f t="shared" si="2"/>
        <v>6.6115702479338845E-2</v>
      </c>
      <c r="K132" s="9">
        <f t="shared" ref="K132:N132" si="3">K129/K130</f>
        <v>0.12396694214876033</v>
      </c>
      <c r="L132" s="9">
        <f t="shared" si="3"/>
        <v>0.14049586776859505</v>
      </c>
      <c r="M132" s="9">
        <f t="shared" si="3"/>
        <v>0.1487603305785124</v>
      </c>
      <c r="N132" s="9">
        <f t="shared" si="3"/>
        <v>0.1487603305785124</v>
      </c>
      <c r="O132" s="9"/>
      <c r="P132" s="9"/>
      <c r="Q132" s="9"/>
    </row>
    <row r="134" spans="1:17" x14ac:dyDescent="0.35">
      <c r="A134" t="s">
        <v>95</v>
      </c>
      <c r="B134" s="9" cm="1">
        <f t="array" ref="B134">_xlfn.PERCENTRANK.EXC(_xlfn._xlws.FILTER(B2:B122, ISNUMBER(B2:B122)),B122)</f>
        <v>0.36</v>
      </c>
      <c r="C134" s="9" cm="1">
        <f t="array" ref="C134">_xlfn.PERCENTRANK.EXC(_xlfn._xlws.FILTER(C2:C122, ISNUMBER(C2:C122)),C122)</f>
        <v>0.27800000000000002</v>
      </c>
      <c r="D134" s="9" cm="1">
        <f t="array" ref="D134">_xlfn.PERCENTRANK.EXC(_xlfn._xlws.FILTER(D2:D122, ISNUMBER(D2:D122)),D122)</f>
        <v>0.31900000000000001</v>
      </c>
      <c r="E134" s="9" cm="1">
        <f t="array" ref="E134">_xlfn.PERCENTRANK.EXC(_xlfn._xlws.FILTER(E2:E122, ISNUMBER(E2:E122)),E122)</f>
        <v>0.61399999999999999</v>
      </c>
      <c r="F134" s="9" cm="1">
        <f t="array" ref="F134">_xlfn.PERCENTRANK.EXC(_xlfn._xlws.FILTER(F2:F122, ISNUMBER(F2:F122)),F122)</f>
        <v>0.16300000000000001</v>
      </c>
      <c r="G134" s="9" cm="1">
        <f t="array" ref="G134">_xlfn.PERCENTRANK.EXC(_xlfn._xlws.FILTER(G2:G122, ISNUMBER(G2:G122)),G122)</f>
        <v>0.64700000000000002</v>
      </c>
      <c r="H134" s="9" cm="1">
        <f t="array" ref="H134">_xlfn.PERCENTRANK.EXC(_xlfn._xlws.FILTER(H2:H122, ISNUMBER(H2:H122)),H122)</f>
        <v>0.88500000000000001</v>
      </c>
      <c r="I134" s="9" cm="1">
        <f t="array" ref="I134">_xlfn.PERCENTRANK.EXC(_xlfn._xlws.FILTER(I2:I122, ISNUMBER(I2:I122)),I122)</f>
        <v>0.31900000000000001</v>
      </c>
      <c r="J134" s="9" cm="1">
        <f t="array" ref="J134">_xlfn.PERCENTRANK.EXC(_xlfn._xlws.FILTER(J2:J122, ISNUMBER(J2:J122)),J122)</f>
        <v>0.311</v>
      </c>
      <c r="K134" s="9" cm="1">
        <f t="array" ref="K134">_xlfn.PERCENTRANK.EXC(_xlfn._xlws.FILTER(K2:K122, ISNUMBER(K2:K122)),K122)</f>
        <v>0.67200000000000004</v>
      </c>
      <c r="L134" s="9" cm="1">
        <f t="array" ref="L134">_xlfn.PERCENTRANK.EXC(_xlfn._xlws.FILTER(L2:L122, ISNUMBER(L2:L122)),L122)</f>
        <v>0.45900000000000002</v>
      </c>
      <c r="M134" s="9" cm="1">
        <f t="array" ref="M134">_xlfn.PERCENTRANK.EXC(_xlfn._xlws.FILTER(M2:M122, ISNUMBER(M2:M122)),M122)</f>
        <v>0.38500000000000001</v>
      </c>
      <c r="N134" s="9" cm="1">
        <f t="array" ref="N134">_xlfn.PERCENTRANK.EXC(_xlfn._xlws.FILTER(N2:N122, ISNUMBER(N2:N122)),N122)</f>
        <v>0.55700000000000005</v>
      </c>
      <c r="O134" s="9"/>
      <c r="P134" s="9"/>
      <c r="Q134" s="9"/>
    </row>
    <row r="136" spans="1:17" x14ac:dyDescent="0.35">
      <c r="A136" s="9"/>
      <c r="B136" s="9" cm="1">
        <f t="array" ref="B136">_xlfn.PERCENTRANK.EXC(_xlfn._xlws.FILTER(B4:B125, ISNUMBER(B4:B125)),B113)</f>
        <v>0.183</v>
      </c>
      <c r="C136" s="9" cm="1">
        <f t="array" ref="C136">_xlfn.PERCENTRANK.EXC(_xlfn._xlws.FILTER(C4:C125, ISNUMBER(C4:C125)),C113)</f>
        <v>0.57499999999999996</v>
      </c>
      <c r="D136" s="9" cm="1">
        <f t="array" ref="D136">_xlfn.PERCENTRANK.EXC(_xlfn._xlws.FILTER(D4:D125, ISNUMBER(D4:D125)),D113)</f>
        <v>0.55800000000000005</v>
      </c>
      <c r="E136" s="9" cm="1">
        <f t="array" ref="E136">_xlfn.PERCENTRANK.EXC(_xlfn._xlws.FILTER(E4:E125, ISNUMBER(E4:E125)),E113)</f>
        <v>0.58299999999999996</v>
      </c>
      <c r="F136" s="9" cm="1">
        <f t="array" ref="F136">_xlfn.PERCENTRANK.EXC(_xlfn._xlws.FILTER(F4:F125, ISNUMBER(F4:F125)),F113)</f>
        <v>0.34100000000000003</v>
      </c>
      <c r="G136" s="9" cm="1">
        <f t="array" ref="G136">_xlfn.PERCENTRANK.EXC(_xlfn._xlws.FILTER(G4:G125, ISNUMBER(G4:G125)),G113)</f>
        <v>0.75800000000000001</v>
      </c>
      <c r="H136" s="9" cm="1">
        <f t="array" ref="H136">_xlfn.PERCENTRANK.EXC(_xlfn._xlws.FILTER(H4:H125, ISNUMBER(H4:H125)),H113)</f>
        <v>0.78300000000000003</v>
      </c>
      <c r="I136" s="9" cm="1">
        <f t="array" ref="I136">_xlfn.PERCENTRANK.EXC(_xlfn._xlws.FILTER(I4:I125, ISNUMBER(I4:I125)),I113)</f>
        <v>0.39100000000000001</v>
      </c>
      <c r="J136" s="9" cm="1">
        <f t="array" ref="J136">_xlfn.PERCENTRANK.EXC(_xlfn._xlws.FILTER(J4:J125, ISNUMBER(J4:J125)),J113)</f>
        <v>0.52500000000000002</v>
      </c>
      <c r="K136" s="9" cm="1">
        <f t="array" ref="K136">_xlfn.PERCENTRANK.EXC(_xlfn._xlws.FILTER(K4:K125, ISNUMBER(K4:K125)),K113)</f>
        <v>0.69099999999999995</v>
      </c>
      <c r="L136" s="9" cm="1">
        <f t="array" ref="L136">_xlfn.PERCENTRANK.EXC(_xlfn._xlws.FILTER(L4:L125, ISNUMBER(L4:L125)),L113)</f>
        <v>0.55000000000000004</v>
      </c>
      <c r="M136" s="9" cm="1">
        <f t="array" ref="M136">_xlfn.PERCENTRANK.EXC(_xlfn._xlws.FILTER(M4:M125, ISNUMBER(M4:M125)),M113)</f>
        <v>0.48299999999999998</v>
      </c>
      <c r="N136" s="9" cm="1">
        <f t="array" ref="N136">_xlfn.PERCENTRANK.EXC(_xlfn._xlws.FILTER(N4:N125, ISNUMBER(N4:N125)),N113)</f>
        <v>0.56599999999999995</v>
      </c>
    </row>
    <row r="138" spans="1:17" x14ac:dyDescent="0.35">
      <c r="A138" t="s">
        <v>829</v>
      </c>
      <c r="B138">
        <f t="shared" ref="B138:J138" si="4">STDEV(B40:B122)</f>
        <v>4.9747925758422802E-2</v>
      </c>
      <c r="C138">
        <f t="shared" si="4"/>
        <v>5.2594976552943949E-2</v>
      </c>
      <c r="D138">
        <f t="shared" si="4"/>
        <v>4.5760397050657223E-2</v>
      </c>
      <c r="E138">
        <f t="shared" si="4"/>
        <v>5.6769728733422023E-2</v>
      </c>
      <c r="F138">
        <f t="shared" si="4"/>
        <v>4.1038541251241421E-2</v>
      </c>
      <c r="G138">
        <f t="shared" si="4"/>
        <v>4.1234463337314994E-2</v>
      </c>
      <c r="H138">
        <f t="shared" si="4"/>
        <v>4.7211161039397785E-2</v>
      </c>
      <c r="I138">
        <f t="shared" si="4"/>
        <v>5.492621819646902E-2</v>
      </c>
      <c r="J138">
        <f t="shared" si="4"/>
        <v>4.2203307116283097E-2</v>
      </c>
      <c r="K138">
        <f t="shared" ref="K138:N138" si="5">STDEV(K40:K122)</f>
        <v>5.2894915740512152E-2</v>
      </c>
      <c r="L138">
        <f t="shared" si="5"/>
        <v>5.5739871514573054E-2</v>
      </c>
      <c r="M138">
        <f t="shared" si="5"/>
        <v>6.2181233001389648E-2</v>
      </c>
      <c r="N138">
        <f t="shared" si="5"/>
        <v>6.1661740130336651E-2</v>
      </c>
    </row>
    <row r="139" spans="1:17" x14ac:dyDescent="0.35">
      <c r="A139" t="s">
        <v>830</v>
      </c>
      <c r="B139" s="74">
        <f t="shared" ref="B139:J139" si="6">B138*SQRT(12)</f>
        <v>0.17233186996950553</v>
      </c>
      <c r="C139" s="74">
        <f t="shared" si="6"/>
        <v>0.18219434322518546</v>
      </c>
      <c r="D139" s="74">
        <f t="shared" si="6"/>
        <v>0.15851866533252662</v>
      </c>
      <c r="E139" s="74">
        <f t="shared" si="6"/>
        <v>0.19665610899637942</v>
      </c>
      <c r="F139" s="74">
        <f t="shared" si="6"/>
        <v>0.14216167703132276</v>
      </c>
      <c r="G139" s="74">
        <f t="shared" si="6"/>
        <v>0.1428403710461314</v>
      </c>
      <c r="H139" s="74">
        <f t="shared" si="6"/>
        <v>0.16354425920910648</v>
      </c>
      <c r="I139" s="74">
        <f t="shared" si="6"/>
        <v>0.19027000116779705</v>
      </c>
      <c r="J139" s="74">
        <f t="shared" si="6"/>
        <v>0.14619654434567095</v>
      </c>
      <c r="K139" s="74">
        <f t="shared" ref="K139:N139" si="7">K138*SQRT(12)</f>
        <v>0.18323336304928359</v>
      </c>
      <c r="L139" s="74">
        <f t="shared" si="7"/>
        <v>0.19308857894120343</v>
      </c>
      <c r="M139" s="74">
        <f t="shared" si="7"/>
        <v>0.21540210967137091</v>
      </c>
      <c r="N139" s="74">
        <f t="shared" si="7"/>
        <v>0.21360253357770367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613"/>
  <sheetViews>
    <sheetView zoomScaleNormal="100" workbookViewId="0">
      <pane ySplit="1" topLeftCell="A110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11" max="11" width="8.81640625" customWidth="1"/>
  </cols>
  <sheetData>
    <row r="1" spans="1:14" x14ac:dyDescent="0.35">
      <c r="A1" s="2" t="s">
        <v>388</v>
      </c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s="47" t="s">
        <v>865</v>
      </c>
      <c r="L1" s="47" t="s">
        <v>867</v>
      </c>
      <c r="M1" s="47" t="s">
        <v>864</v>
      </c>
      <c r="N1" s="47" t="s">
        <v>866</v>
      </c>
    </row>
    <row r="2" spans="1:14" x14ac:dyDescent="0.35">
      <c r="A2" s="2" cm="1">
        <f t="array" ref="A2:A122">_xll.FDS(B1,"JULIAN(P_PRICE_RETURNS_PR('52W',2,-10AY,0,AM).dates)")</f>
        <v>41768</v>
      </c>
      <c r="B2" s="7" cm="1">
        <f t="array" ref="B2:B122">_xll.FDS(B1,"P_PRICE_RETURNS_PR('52W',2,-10AY,0,AM)")</f>
        <v>13.666117</v>
      </c>
      <c r="C2" s="7" cm="1">
        <f t="array" ref="C2:C122">_xll.FDS(C1,"P_PRICE_RETURNS_PR('52W',2,-10AY,0,AM)")</f>
        <v>1.9170642</v>
      </c>
      <c r="D2" s="7" cm="1">
        <f t="array" ref="D2:D122">_xll.FDS(D1,"P_PRICE_RETURNS_PR('52W',2,-10AY,0,AM)")</f>
        <v>9.9290260000000004</v>
      </c>
      <c r="E2" s="7" cm="1">
        <f t="array" ref="E2:E122">_xll.FDS(E1,"P_PRICE_RETURNS_PR('52W',2,-10AY,0,AM)")</f>
        <v>21.998035000000002</v>
      </c>
      <c r="F2" s="7" cm="1">
        <f t="array" ref="F2:F122">_xll.FDS(F1,"P_PRICE_RETURNS_PR('52W',2,-10AY,0,AM)")</f>
        <v>-4.1669130000000001</v>
      </c>
      <c r="G2" s="7" cm="1">
        <f t="array" ref="G2:G122">_xll.FDS(G1,"P_PRICE_RETURNS_PR('52W',2,-10AY,0,AM)")</f>
        <v>15.822554</v>
      </c>
      <c r="H2" s="7" cm="1">
        <f t="array" ref="H2:H122">_xll.FDS(H1,"P_PRICE_RETURNS_PR('52W',2,-10AY,0,AM)")</f>
        <v>16.006029999999999</v>
      </c>
      <c r="I2" s="7" cm="1">
        <f t="array" ref="I2:I122">_xll.FDS(I1,"P_PRICE_RETURNS_PR('52W',2,-10AY,0,AM)")</f>
        <v>21.446228000000001</v>
      </c>
      <c r="J2" s="7" cm="1">
        <f t="array" ref="J2:J122">_xll.FDS(J1,"P_PRICE_RETURNS_PR('52W',2,-10AY,0,AM)")</f>
        <v>17.723714999999999</v>
      </c>
      <c r="K2" s="158" cm="1">
        <f t="array" ref="K2:K122">_xll.FDS(K1,"P_PRICE_RETURNS_PR('52W',2,-10AY,0,AM)")</f>
        <v>23.263300000000001</v>
      </c>
      <c r="L2" s="158" cm="1">
        <f t="array" ref="L2:L122">_xll.FDS(L1,"P_PRICE_RETURNS_PR('52W',2,-10AY,0,AM)")</f>
        <v>20.803106</v>
      </c>
      <c r="M2" s="158" cm="1">
        <f t="array" ref="M2:M122">_xll.FDS(M1,"P_PRICE_RETURNS_PR('52W',2,-10AY,0,AM)")</f>
        <v>13.59117</v>
      </c>
      <c r="N2" s="158" cm="1">
        <f t="array" ref="N2:N122">_xll.FDS(N1,"P_PRICE_RETURNS_PR('52W',2,-10AY,0,AM)")</f>
        <v>35.626483999999998</v>
      </c>
    </row>
    <row r="3" spans="1:14" x14ac:dyDescent="0.35">
      <c r="A3" s="2">
        <v>41799</v>
      </c>
      <c r="B3" s="40">
        <v>26.097048000000001</v>
      </c>
      <c r="C3" s="40">
        <v>17.519272000000001</v>
      </c>
      <c r="D3" s="40">
        <v>15.118240999999999</v>
      </c>
      <c r="E3" s="40">
        <v>23.843776999999999</v>
      </c>
      <c r="F3" s="40">
        <v>8.5242749999999994</v>
      </c>
      <c r="G3" s="40">
        <v>20.032226999999999</v>
      </c>
      <c r="H3" s="40">
        <v>19.043410000000002</v>
      </c>
      <c r="I3" s="40">
        <v>28.385746000000001</v>
      </c>
      <c r="J3" s="40">
        <v>21.069897000000001</v>
      </c>
      <c r="K3" s="47">
        <v>25.32959</v>
      </c>
      <c r="L3" s="47">
        <v>22.795390999999999</v>
      </c>
      <c r="M3" s="47">
        <v>17.539597000000001</v>
      </c>
      <c r="N3" s="47">
        <v>42.406654000000003</v>
      </c>
    </row>
    <row r="4" spans="1:14" x14ac:dyDescent="0.35">
      <c r="A4" s="2">
        <v>41829</v>
      </c>
      <c r="B4" s="40">
        <v>27.205096999999999</v>
      </c>
      <c r="C4" s="40">
        <v>19.192146000000001</v>
      </c>
      <c r="D4" s="40">
        <v>24.799751000000001</v>
      </c>
      <c r="E4" s="40">
        <v>28.34834</v>
      </c>
      <c r="F4" s="40">
        <v>6.245959</v>
      </c>
      <c r="G4" s="40">
        <v>21.018578000000002</v>
      </c>
      <c r="H4" s="40">
        <v>22.335529999999999</v>
      </c>
      <c r="I4" s="40">
        <v>31.919909000000001</v>
      </c>
      <c r="J4" s="40">
        <v>21.719432999999999</v>
      </c>
      <c r="K4" s="47">
        <v>23.994838999999999</v>
      </c>
      <c r="L4" s="47">
        <v>20.945131</v>
      </c>
      <c r="M4" s="47">
        <v>17.456959999999999</v>
      </c>
      <c r="N4" s="47">
        <v>45.142113000000002</v>
      </c>
    </row>
    <row r="5" spans="1:14" x14ac:dyDescent="0.35">
      <c r="A5" s="2">
        <v>41859</v>
      </c>
      <c r="B5" s="40">
        <v>17.166637000000001</v>
      </c>
      <c r="C5" s="40">
        <v>14.413225000000001</v>
      </c>
      <c r="D5" s="40">
        <v>16.791021000000001</v>
      </c>
      <c r="E5" s="40">
        <v>8.3957669999999993</v>
      </c>
      <c r="F5" s="40">
        <v>3.7708998</v>
      </c>
      <c r="G5" s="40">
        <v>8.6543449999999993</v>
      </c>
      <c r="H5" s="40">
        <v>11.453676</v>
      </c>
      <c r="I5" s="40">
        <v>25.467896</v>
      </c>
      <c r="J5" s="40">
        <v>16.041840000000001</v>
      </c>
      <c r="K5" s="47">
        <v>5.2509309999999996</v>
      </c>
      <c r="L5" s="47">
        <v>2.8314948000000002</v>
      </c>
      <c r="M5" s="47">
        <v>2.5545358999999999</v>
      </c>
      <c r="N5" s="47">
        <v>15.791214</v>
      </c>
    </row>
    <row r="6" spans="1:14" x14ac:dyDescent="0.35">
      <c r="A6" s="2">
        <v>41891</v>
      </c>
      <c r="B6" s="40">
        <v>17.090033999999999</v>
      </c>
      <c r="C6" s="40">
        <v>11.486685</v>
      </c>
      <c r="D6" s="40">
        <v>17.450344000000001</v>
      </c>
      <c r="E6" s="40">
        <v>12.468218999999999</v>
      </c>
      <c r="F6" s="40">
        <v>2.4768949</v>
      </c>
      <c r="G6" s="40">
        <v>13.239312</v>
      </c>
      <c r="H6" s="40">
        <v>9.3373059999999999</v>
      </c>
      <c r="I6" s="40">
        <v>29.482507999999999</v>
      </c>
      <c r="J6" s="40">
        <v>21.239460000000001</v>
      </c>
      <c r="K6" s="47">
        <v>9.5899819999999991</v>
      </c>
      <c r="L6" s="47">
        <v>8.6728939999999994</v>
      </c>
      <c r="M6" s="47">
        <v>2.7963041999999998</v>
      </c>
      <c r="N6" s="47">
        <v>21.646070000000002</v>
      </c>
    </row>
    <row r="7" spans="1:14" x14ac:dyDescent="0.35">
      <c r="A7" s="2">
        <v>41921</v>
      </c>
      <c r="B7" s="40">
        <v>5.0480247</v>
      </c>
      <c r="C7" s="40">
        <v>-1.0967374000000001</v>
      </c>
      <c r="D7" s="40">
        <v>8.434844</v>
      </c>
      <c r="E7" s="40">
        <v>-2.9726802999999999</v>
      </c>
      <c r="F7" s="40">
        <v>-3.491819</v>
      </c>
      <c r="G7" s="40">
        <v>5.1068664000000004</v>
      </c>
      <c r="H7" s="40">
        <v>3.8674355</v>
      </c>
      <c r="I7" s="40">
        <v>27.679407000000001</v>
      </c>
      <c r="J7" s="40">
        <v>18.650019</v>
      </c>
      <c r="K7" s="47">
        <v>-4.8003615999999996</v>
      </c>
      <c r="L7" s="47">
        <v>1.0451436000000001</v>
      </c>
      <c r="M7" s="47">
        <v>-3.711468</v>
      </c>
      <c r="N7" s="47">
        <v>-1.0115742999999999</v>
      </c>
    </row>
    <row r="8" spans="1:14" x14ac:dyDescent="0.35">
      <c r="A8" s="2">
        <v>41950</v>
      </c>
      <c r="B8" s="40">
        <v>3.1032324</v>
      </c>
      <c r="C8" s="40">
        <v>-2.400887</v>
      </c>
      <c r="D8" s="40">
        <v>4.6110990000000003</v>
      </c>
      <c r="E8" s="40">
        <v>-5.2746829999999996</v>
      </c>
      <c r="F8" s="40">
        <v>0.90526340000000005</v>
      </c>
      <c r="G8" s="40">
        <v>3.5873531999999999</v>
      </c>
      <c r="H8" s="40">
        <v>-1.0025500999999999E-2</v>
      </c>
      <c r="I8" s="40">
        <v>26.593160000000001</v>
      </c>
      <c r="J8" s="40">
        <v>18.499040000000001</v>
      </c>
      <c r="K8" s="47">
        <v>-5.5240749999999998</v>
      </c>
      <c r="L8" s="47">
        <v>-1.6838491</v>
      </c>
      <c r="M8" s="47">
        <v>0.5862117</v>
      </c>
      <c r="N8" s="47">
        <v>-2.5154947999999999</v>
      </c>
    </row>
    <row r="9" spans="1:14" x14ac:dyDescent="0.35">
      <c r="A9" s="2">
        <v>41982</v>
      </c>
      <c r="B9" s="40">
        <v>9.9535350000000005</v>
      </c>
      <c r="C9" s="40">
        <v>-2.5909721999999999</v>
      </c>
      <c r="D9" s="40">
        <v>1.7677784000000001</v>
      </c>
      <c r="E9" s="40">
        <v>-4.1625022999999999</v>
      </c>
      <c r="F9" s="40">
        <v>-1.2898027999999999</v>
      </c>
      <c r="G9" s="40">
        <v>4.3702601999999997</v>
      </c>
      <c r="H9" s="40">
        <v>-2.2665142999999999</v>
      </c>
      <c r="I9" s="40">
        <v>23.343360000000001</v>
      </c>
      <c r="J9" s="40">
        <v>16.031514999999999</v>
      </c>
      <c r="K9" s="47">
        <v>-3.4610151999999998</v>
      </c>
      <c r="L9" s="47">
        <v>1.2751341</v>
      </c>
      <c r="M9" s="47">
        <v>1.5498160999999999</v>
      </c>
      <c r="N9" s="47">
        <v>-0.68514942999999995</v>
      </c>
    </row>
    <row r="10" spans="1:14" x14ac:dyDescent="0.35">
      <c r="A10" s="2">
        <v>42013</v>
      </c>
      <c r="B10" s="40">
        <v>10.722600999999999</v>
      </c>
      <c r="C10" s="40">
        <v>-2.1942973000000001</v>
      </c>
      <c r="D10" s="40">
        <v>-1.0877728</v>
      </c>
      <c r="E10" s="40">
        <v>-11.25325</v>
      </c>
      <c r="F10" s="40">
        <v>-6.0656489999999996</v>
      </c>
      <c r="G10" s="40">
        <v>-1.1441171000000001</v>
      </c>
      <c r="H10" s="40">
        <v>-8.5992990000000002</v>
      </c>
      <c r="I10" s="40">
        <v>19.731676</v>
      </c>
      <c r="J10" s="40">
        <v>13.394690000000001</v>
      </c>
      <c r="K10" s="47">
        <v>-11.251509</v>
      </c>
      <c r="L10" s="47">
        <v>-8.2076370000000001</v>
      </c>
      <c r="M10" s="47">
        <v>-8.9448450000000008</v>
      </c>
      <c r="N10" s="47">
        <v>-16.682983</v>
      </c>
    </row>
    <row r="11" spans="1:14" x14ac:dyDescent="0.35">
      <c r="A11" s="2">
        <v>42044</v>
      </c>
      <c r="B11" s="40">
        <v>7.5363635999999996</v>
      </c>
      <c r="C11" s="40">
        <v>1.0628104</v>
      </c>
      <c r="D11" s="40">
        <v>0.15153885</v>
      </c>
      <c r="E11" s="40">
        <v>-5.8224559999999999</v>
      </c>
      <c r="F11" s="40">
        <v>2.1622180000000002</v>
      </c>
      <c r="G11" s="40">
        <v>1.1845349999999999</v>
      </c>
      <c r="H11" s="40">
        <v>-2.0588220000000002</v>
      </c>
      <c r="I11" s="40">
        <v>19.556988</v>
      </c>
      <c r="J11" s="40">
        <v>16.10943</v>
      </c>
      <c r="K11" s="47">
        <v>-6.2252163999999999</v>
      </c>
      <c r="L11" s="47">
        <v>-2.8761505999999999</v>
      </c>
      <c r="M11" s="47">
        <v>-3.5755037999999999</v>
      </c>
      <c r="N11" s="47">
        <v>-13.016563</v>
      </c>
    </row>
    <row r="12" spans="1:14" x14ac:dyDescent="0.35">
      <c r="A12" s="2">
        <v>42072</v>
      </c>
      <c r="B12" s="40">
        <v>1.9028068</v>
      </c>
      <c r="C12" s="40">
        <v>-5.2280129999999998</v>
      </c>
      <c r="D12" s="40">
        <v>-5.2619040000000004</v>
      </c>
      <c r="E12" s="40">
        <v>-3.9490104000000001</v>
      </c>
      <c r="F12" s="40">
        <v>6.7584156999999996</v>
      </c>
      <c r="G12" s="40">
        <v>-2.7631700000000001</v>
      </c>
      <c r="H12" s="40">
        <v>-5.1755849999999999</v>
      </c>
      <c r="I12" s="40">
        <v>20.312798000000001</v>
      </c>
      <c r="J12" s="40">
        <v>12.8377075</v>
      </c>
      <c r="K12" s="47">
        <v>-9.0779779999999999</v>
      </c>
      <c r="L12" s="47">
        <v>-0.1003623</v>
      </c>
      <c r="M12" s="47">
        <v>-5.4113626000000004</v>
      </c>
      <c r="N12" s="47">
        <v>-13.010210000000001</v>
      </c>
    </row>
    <row r="13" spans="1:14" x14ac:dyDescent="0.35">
      <c r="A13" s="2">
        <v>42103</v>
      </c>
      <c r="B13" s="40">
        <v>0.32093525000000001</v>
      </c>
      <c r="C13" s="40">
        <v>-8.1007540000000002</v>
      </c>
      <c r="D13" s="40">
        <v>-4.9013556999999999</v>
      </c>
      <c r="E13" s="40">
        <v>-1.8440485</v>
      </c>
      <c r="F13" s="40">
        <v>17.248905000000001</v>
      </c>
      <c r="G13" s="40">
        <v>1.2048483000000001</v>
      </c>
      <c r="H13" s="40">
        <v>-4.887086</v>
      </c>
      <c r="I13" s="40">
        <v>23.549769999999999</v>
      </c>
      <c r="J13" s="40">
        <v>13.837051000000001</v>
      </c>
      <c r="K13" s="47">
        <v>-7.4484643999999998</v>
      </c>
      <c r="L13" s="47">
        <v>1.0577202000000001</v>
      </c>
      <c r="M13" s="47">
        <v>-5.2149415000000001</v>
      </c>
      <c r="N13" s="47">
        <v>-13.716907000000001</v>
      </c>
    </row>
    <row r="14" spans="1:14" x14ac:dyDescent="0.35">
      <c r="A14" s="2">
        <v>42132</v>
      </c>
      <c r="B14" s="40">
        <v>-3.2344341000000001</v>
      </c>
      <c r="C14" s="40">
        <v>-9.5481820000000006</v>
      </c>
      <c r="D14" s="40">
        <v>-3.4409641999999998</v>
      </c>
      <c r="E14" s="40">
        <v>-1.3280689999999999</v>
      </c>
      <c r="F14" s="40">
        <v>20.432459999999999</v>
      </c>
      <c r="G14" s="40">
        <v>3.1496643999999998</v>
      </c>
      <c r="H14" s="40">
        <v>-3.4295738</v>
      </c>
      <c r="I14" s="40">
        <v>27.077627</v>
      </c>
      <c r="J14" s="40">
        <v>14.959823999999999</v>
      </c>
      <c r="K14" s="47">
        <v>-5.5715857</v>
      </c>
      <c r="L14" s="47">
        <v>5.2827596999999997</v>
      </c>
      <c r="M14" s="47">
        <v>-2.3932338</v>
      </c>
      <c r="N14" s="47">
        <v>-9.9374529999999996</v>
      </c>
    </row>
    <row r="15" spans="1:14" x14ac:dyDescent="0.35">
      <c r="A15" s="2">
        <v>42164</v>
      </c>
      <c r="B15" s="40">
        <v>-3.8022459</v>
      </c>
      <c r="C15" s="40">
        <v>-15.740990999999999</v>
      </c>
      <c r="D15" s="40">
        <v>-9.1493549999999999</v>
      </c>
      <c r="E15" s="40">
        <v>-9.3460979999999996</v>
      </c>
      <c r="F15" s="40">
        <v>9.5164059999999999</v>
      </c>
      <c r="G15" s="40">
        <v>0.29855967</v>
      </c>
      <c r="H15" s="40">
        <v>-8.1618670000000009</v>
      </c>
      <c r="I15" s="40">
        <v>17.745757999999999</v>
      </c>
      <c r="J15" s="40">
        <v>8.6608889999999992</v>
      </c>
      <c r="K15" s="47">
        <v>-10.333472</v>
      </c>
      <c r="L15" s="47">
        <v>1.409626</v>
      </c>
      <c r="M15" s="47">
        <v>-5.5677649999999996</v>
      </c>
      <c r="N15" s="47">
        <v>-15.447372</v>
      </c>
    </row>
    <row r="16" spans="1:14" x14ac:dyDescent="0.35">
      <c r="A16" s="2">
        <v>42194</v>
      </c>
      <c r="B16" s="40">
        <v>-14.161438</v>
      </c>
      <c r="C16" s="40">
        <v>-18.184608000000001</v>
      </c>
      <c r="D16" s="40">
        <v>-18.919044</v>
      </c>
      <c r="E16" s="40">
        <v>-9.7650640000000006</v>
      </c>
      <c r="F16" s="40">
        <v>3.8463115999999999</v>
      </c>
      <c r="G16" s="40">
        <v>-1.4026582000000001</v>
      </c>
      <c r="H16" s="40">
        <v>-10.993833</v>
      </c>
      <c r="I16" s="40">
        <v>12.855314999999999</v>
      </c>
      <c r="J16" s="40">
        <v>5.9870479999999997</v>
      </c>
      <c r="K16" s="47">
        <v>-10.130655000000001</v>
      </c>
      <c r="L16" s="47">
        <v>6.6578390000000001E-2</v>
      </c>
      <c r="M16" s="47">
        <v>-7.0768414000000002</v>
      </c>
      <c r="N16" s="47">
        <v>-13.009334000000001</v>
      </c>
    </row>
    <row r="17" spans="1:14" x14ac:dyDescent="0.35">
      <c r="A17" s="2">
        <v>42223</v>
      </c>
      <c r="B17" s="40">
        <v>-8.8734149999999996</v>
      </c>
      <c r="C17" s="40">
        <v>-17.523485000000001</v>
      </c>
      <c r="D17" s="40">
        <v>-18.658852</v>
      </c>
      <c r="E17" s="40">
        <v>4.4968485999999999</v>
      </c>
      <c r="F17" s="40">
        <v>11.619604000000001</v>
      </c>
      <c r="G17" s="40">
        <v>5.8972360000000004</v>
      </c>
      <c r="H17" s="40">
        <v>-3.7475049999999999</v>
      </c>
      <c r="I17" s="40">
        <v>18.332947000000001</v>
      </c>
      <c r="J17" s="40">
        <v>10.993838</v>
      </c>
      <c r="K17" s="47">
        <v>5.0729394000000001</v>
      </c>
      <c r="L17" s="47">
        <v>13.843667999999999</v>
      </c>
      <c r="M17" s="47">
        <v>-0.68373680000000003</v>
      </c>
      <c r="N17" s="47">
        <v>5.6521176999999998</v>
      </c>
    </row>
    <row r="18" spans="1:14" x14ac:dyDescent="0.35">
      <c r="A18" s="2">
        <v>42256</v>
      </c>
      <c r="B18" s="40">
        <v>-16.186046999999999</v>
      </c>
      <c r="C18" s="40">
        <v>-27.461939999999998</v>
      </c>
      <c r="D18" s="40">
        <v>-25.918071999999999</v>
      </c>
      <c r="E18" s="40">
        <v>-8.714188</v>
      </c>
      <c r="F18" s="40">
        <v>1.1821508000000001</v>
      </c>
      <c r="G18" s="40">
        <v>-3.4921288000000001</v>
      </c>
      <c r="H18" s="40">
        <v>-12.258106</v>
      </c>
      <c r="I18" s="40">
        <v>5.7673810000000003</v>
      </c>
      <c r="J18" s="40">
        <v>-0.35459995</v>
      </c>
      <c r="K18" s="47">
        <v>-7.8691664000000001</v>
      </c>
      <c r="L18" s="47">
        <v>-0.29182434000000002</v>
      </c>
      <c r="M18" s="47">
        <v>-4.8680963999999998</v>
      </c>
      <c r="N18" s="47">
        <v>-7.6895533</v>
      </c>
    </row>
    <row r="19" spans="1:14" x14ac:dyDescent="0.35">
      <c r="A19" s="2">
        <v>42286</v>
      </c>
      <c r="B19" s="40">
        <v>-7.4837565000000001</v>
      </c>
      <c r="C19" s="40">
        <v>-12.988638999999999</v>
      </c>
      <c r="D19" s="40">
        <v>-14.33844</v>
      </c>
      <c r="E19" s="40">
        <v>1.7742157000000001</v>
      </c>
      <c r="F19" s="40">
        <v>9.4151380000000007</v>
      </c>
      <c r="G19" s="40">
        <v>5.1244617000000003</v>
      </c>
      <c r="H19" s="40">
        <v>-1.8617809000000001</v>
      </c>
      <c r="I19" s="40">
        <v>11.173237</v>
      </c>
      <c r="J19" s="40">
        <v>6.5714600000000001</v>
      </c>
      <c r="K19" s="47">
        <v>6.0603740000000004</v>
      </c>
      <c r="L19" s="47">
        <v>7.2202563</v>
      </c>
      <c r="M19" s="47">
        <v>4.783976</v>
      </c>
      <c r="N19" s="47">
        <v>7.5536130000000004</v>
      </c>
    </row>
    <row r="20" spans="1:14" x14ac:dyDescent="0.35">
      <c r="A20" s="2">
        <v>42317</v>
      </c>
      <c r="B20" s="40">
        <v>-5.9601603000000001</v>
      </c>
      <c r="C20" s="40">
        <v>-23.120539999999998</v>
      </c>
      <c r="D20" s="40">
        <v>-19.879473000000001</v>
      </c>
      <c r="E20" s="40">
        <v>0.1842618</v>
      </c>
      <c r="F20" s="40">
        <v>7.9114319999999996</v>
      </c>
      <c r="G20" s="40">
        <v>-0.28759836999999999</v>
      </c>
      <c r="H20" s="40">
        <v>-6.7315936000000001</v>
      </c>
      <c r="I20" s="40">
        <v>12.990713</v>
      </c>
      <c r="J20" s="40">
        <v>4.4027089999999998</v>
      </c>
      <c r="K20" s="47">
        <v>3.8184762000000001</v>
      </c>
      <c r="L20" s="47">
        <v>6.5530660000000003</v>
      </c>
      <c r="M20" s="47">
        <v>-4.326308</v>
      </c>
      <c r="N20" s="47">
        <v>3.1148194999999999</v>
      </c>
    </row>
    <row r="21" spans="1:14" x14ac:dyDescent="0.35">
      <c r="A21" s="2">
        <v>42347</v>
      </c>
      <c r="B21" s="40">
        <v>-3.9931774</v>
      </c>
      <c r="C21" s="40">
        <v>-14.180642000000001</v>
      </c>
      <c r="D21" s="40">
        <v>-21.293676000000001</v>
      </c>
      <c r="E21" s="40">
        <v>-5.3623620000000001</v>
      </c>
      <c r="F21" s="40">
        <v>5.1850440000000004</v>
      </c>
      <c r="G21" s="40">
        <v>-3.2407819999999998</v>
      </c>
      <c r="H21" s="40">
        <v>-8.1184630000000002</v>
      </c>
      <c r="I21" s="40">
        <v>8.7187529999999995</v>
      </c>
      <c r="J21" s="40">
        <v>1.4660716</v>
      </c>
      <c r="K21" s="47">
        <v>-2.0755111999999998</v>
      </c>
      <c r="L21" s="47">
        <v>-0.53526163000000004</v>
      </c>
      <c r="M21" s="47">
        <v>-7.8417120000000002</v>
      </c>
      <c r="N21" s="47">
        <v>-0.36162734000000002</v>
      </c>
    </row>
    <row r="22" spans="1:14" x14ac:dyDescent="0.35">
      <c r="A22" s="2">
        <v>42377</v>
      </c>
      <c r="B22" s="40">
        <v>-9.5982260000000004</v>
      </c>
      <c r="C22" s="40">
        <v>-20.269691000000002</v>
      </c>
      <c r="D22" s="40">
        <v>-26.546794999999999</v>
      </c>
      <c r="E22" s="40">
        <v>-8.2719269999999998</v>
      </c>
      <c r="F22" s="40">
        <v>2.991736</v>
      </c>
      <c r="G22" s="40">
        <v>-4.7481593999999996</v>
      </c>
      <c r="H22" s="40">
        <v>-11.719709</v>
      </c>
      <c r="I22" s="40">
        <v>1.7165661000000001</v>
      </c>
      <c r="J22" s="40">
        <v>-4.8481044999999998</v>
      </c>
      <c r="K22" s="47">
        <v>-3.585267</v>
      </c>
      <c r="L22" s="47">
        <v>-2.1757126000000002</v>
      </c>
      <c r="M22" s="47">
        <v>-8.7138360000000006</v>
      </c>
      <c r="N22" s="47">
        <v>0.51095486000000001</v>
      </c>
    </row>
    <row r="23" spans="1:14" x14ac:dyDescent="0.35">
      <c r="A23" s="2">
        <v>42409</v>
      </c>
      <c r="B23" s="40">
        <v>-6.5704940000000001</v>
      </c>
      <c r="C23" s="40">
        <v>-22.779734000000001</v>
      </c>
      <c r="D23" s="40">
        <v>-25.784302</v>
      </c>
      <c r="E23" s="40">
        <v>-16.867190999999998</v>
      </c>
      <c r="F23" s="40">
        <v>-5.9573593000000002</v>
      </c>
      <c r="G23" s="40">
        <v>-12.417394</v>
      </c>
      <c r="H23" s="40">
        <v>-19.204640000000001</v>
      </c>
      <c r="I23" s="40">
        <v>-5.3457080000000001</v>
      </c>
      <c r="J23" s="40">
        <v>-7.4966609999999996</v>
      </c>
      <c r="K23" s="47">
        <v>-11.245851999999999</v>
      </c>
      <c r="L23" s="47">
        <v>-6.0306189999999997</v>
      </c>
      <c r="M23" s="47">
        <v>-17.099035000000001</v>
      </c>
      <c r="N23" s="47">
        <v>-19.626975999999999</v>
      </c>
    </row>
    <row r="24" spans="1:14" x14ac:dyDescent="0.35">
      <c r="A24" s="2">
        <v>42438</v>
      </c>
      <c r="B24" s="40">
        <v>-1.3141214999999999</v>
      </c>
      <c r="C24" s="40">
        <v>-11.342454</v>
      </c>
      <c r="D24" s="40">
        <v>-13.129687000000001</v>
      </c>
      <c r="E24" s="40">
        <v>-15.486651</v>
      </c>
      <c r="F24" s="40">
        <v>-6.9320145000000002</v>
      </c>
      <c r="G24" s="40">
        <v>-8.5526890000000009</v>
      </c>
      <c r="H24" s="40">
        <v>-13.648688999999999</v>
      </c>
      <c r="I24" s="40">
        <v>-1.6974568000000001</v>
      </c>
      <c r="J24" s="40">
        <v>-2.3181259999999999</v>
      </c>
      <c r="K24" s="47">
        <v>-6.9511595000000002</v>
      </c>
      <c r="L24" s="47">
        <v>-5.3507446999999999</v>
      </c>
      <c r="M24" s="47">
        <v>-11.937422</v>
      </c>
      <c r="N24" s="47">
        <v>-16.718208000000001</v>
      </c>
    </row>
    <row r="25" spans="1:14" x14ac:dyDescent="0.35">
      <c r="A25" s="2">
        <v>42468</v>
      </c>
      <c r="B25" s="40">
        <v>3.5089492999999998</v>
      </c>
      <c r="C25" s="40">
        <v>-16.884882000000001</v>
      </c>
      <c r="D25" s="40">
        <v>-14.276671</v>
      </c>
      <c r="E25" s="40">
        <v>-15.909445</v>
      </c>
      <c r="F25" s="40">
        <v>-11.222434</v>
      </c>
      <c r="G25" s="40">
        <v>-9.7456455000000002</v>
      </c>
      <c r="H25" s="40">
        <v>-13.239426</v>
      </c>
      <c r="I25" s="40">
        <v>3.3273578000000001</v>
      </c>
      <c r="J25" s="40">
        <v>0.44652224000000001</v>
      </c>
      <c r="K25" s="47">
        <v>-9.2491990000000008</v>
      </c>
      <c r="L25" s="47">
        <v>-4.9656510000000003</v>
      </c>
      <c r="M25" s="47">
        <v>-9.5553039999999996</v>
      </c>
      <c r="N25" s="47">
        <v>-21.030611</v>
      </c>
    </row>
    <row r="26" spans="1:14" x14ac:dyDescent="0.35">
      <c r="A26" s="2">
        <v>42499</v>
      </c>
      <c r="B26" s="40">
        <v>7.9134820000000001</v>
      </c>
      <c r="C26" s="40">
        <v>-11.100918</v>
      </c>
      <c r="D26" s="40">
        <v>-15.973228000000001</v>
      </c>
      <c r="E26" s="40">
        <v>-13.534903999999999</v>
      </c>
      <c r="F26" s="40">
        <v>-11.167937</v>
      </c>
      <c r="G26" s="40">
        <v>-12.767315</v>
      </c>
      <c r="H26" s="40">
        <v>-16.91544</v>
      </c>
      <c r="I26" s="40">
        <v>-1.5233397</v>
      </c>
      <c r="J26" s="40">
        <v>-0.61261653999999999</v>
      </c>
      <c r="K26" s="47">
        <v>-10.390705000000001</v>
      </c>
      <c r="L26" s="47">
        <v>-6.4528521999999997</v>
      </c>
      <c r="M26" s="47">
        <v>-12.132918999999999</v>
      </c>
      <c r="N26" s="47">
        <v>-21.701176</v>
      </c>
    </row>
    <row r="27" spans="1:14" x14ac:dyDescent="0.35">
      <c r="A27" s="2">
        <v>42530</v>
      </c>
      <c r="B27" s="40">
        <v>18.846464000000001</v>
      </c>
      <c r="C27" s="40">
        <v>-2.3590564999999999</v>
      </c>
      <c r="D27" s="40">
        <v>-5.7752730000000003</v>
      </c>
      <c r="E27" s="40">
        <v>-7.6068696999999998</v>
      </c>
      <c r="F27" s="40">
        <v>-5.904293</v>
      </c>
      <c r="G27" s="40">
        <v>-8.3504140000000007</v>
      </c>
      <c r="H27" s="40">
        <v>-10.061961</v>
      </c>
      <c r="I27" s="40">
        <v>3.1305193999999998</v>
      </c>
      <c r="J27" s="40">
        <v>3.9327025</v>
      </c>
      <c r="K27" s="47">
        <v>-5.2589892999999996</v>
      </c>
      <c r="L27" s="47">
        <v>-2.7190864000000001</v>
      </c>
      <c r="M27" s="47">
        <v>-9.1342029999999994</v>
      </c>
      <c r="N27" s="47">
        <v>-18.585217</v>
      </c>
    </row>
    <row r="28" spans="1:14" x14ac:dyDescent="0.35">
      <c r="A28" s="2">
        <v>42559</v>
      </c>
      <c r="B28" s="40">
        <v>34.62715</v>
      </c>
      <c r="C28" s="40">
        <v>1.4700413000000001</v>
      </c>
      <c r="D28" s="40">
        <v>-2.807051</v>
      </c>
      <c r="E28" s="40">
        <v>-10.312151999999999</v>
      </c>
      <c r="F28" s="40">
        <v>-4.5759080000000001</v>
      </c>
      <c r="G28" s="40">
        <v>-7.3606369999999997</v>
      </c>
      <c r="H28" s="40">
        <v>-11.255246</v>
      </c>
      <c r="I28" s="40">
        <v>5.1415205000000004</v>
      </c>
      <c r="J28" s="40">
        <v>6.2448379999999997</v>
      </c>
      <c r="K28" s="47">
        <v>-6.3892245000000001</v>
      </c>
      <c r="L28" s="47">
        <v>-5.3663254</v>
      </c>
      <c r="M28" s="47">
        <v>-8.9423239999999993</v>
      </c>
      <c r="N28" s="47">
        <v>-22.648357000000001</v>
      </c>
    </row>
    <row r="29" spans="1:14" x14ac:dyDescent="0.35">
      <c r="A29" s="2">
        <v>42591</v>
      </c>
      <c r="B29" s="40">
        <v>37.625458000000002</v>
      </c>
      <c r="C29" s="40">
        <v>7.7865599999999997</v>
      </c>
      <c r="D29" s="40">
        <v>3.4624100000000002</v>
      </c>
      <c r="E29" s="40">
        <v>-6.4382669999999997</v>
      </c>
      <c r="F29" s="40">
        <v>-3.8079917000000001</v>
      </c>
      <c r="G29" s="40">
        <v>-7.4814980000000002</v>
      </c>
      <c r="H29" s="40">
        <v>-11.946946000000001</v>
      </c>
      <c r="I29" s="40">
        <v>7.1882130000000002</v>
      </c>
      <c r="J29" s="40">
        <v>7.2149754000000001</v>
      </c>
      <c r="K29" s="47">
        <v>-9.5670760000000001</v>
      </c>
      <c r="L29" s="47">
        <v>-6.0842457000000003</v>
      </c>
      <c r="M29" s="47">
        <v>-5.5195689999999997</v>
      </c>
      <c r="N29" s="47">
        <v>-26.663858000000001</v>
      </c>
    </row>
    <row r="30" spans="1:14" x14ac:dyDescent="0.35">
      <c r="A30" s="2">
        <v>42622</v>
      </c>
      <c r="B30" s="40">
        <v>53.034652999999999</v>
      </c>
      <c r="C30" s="40">
        <v>12.747455</v>
      </c>
      <c r="D30" s="40">
        <v>9.9250080000000001</v>
      </c>
      <c r="E30" s="40">
        <v>2.2338866999999998</v>
      </c>
      <c r="F30" s="40">
        <v>6.6295979999999997</v>
      </c>
      <c r="G30" s="40">
        <v>-0.85659622999999996</v>
      </c>
      <c r="H30" s="40">
        <v>-1.9370139</v>
      </c>
      <c r="I30" s="40">
        <v>11.274349000000001</v>
      </c>
      <c r="J30" s="40">
        <v>11.88786</v>
      </c>
      <c r="K30" s="47">
        <v>0.49573182999999998</v>
      </c>
      <c r="L30" s="47">
        <v>3.6751627999999998</v>
      </c>
      <c r="M30" s="47">
        <v>-1.2248933</v>
      </c>
      <c r="N30" s="47">
        <v>-19.545109</v>
      </c>
    </row>
    <row r="31" spans="1:14" x14ac:dyDescent="0.35">
      <c r="A31" s="2">
        <v>42650</v>
      </c>
      <c r="B31" s="40">
        <v>37.584625000000003</v>
      </c>
      <c r="C31" s="40">
        <v>13.218379000000001</v>
      </c>
      <c r="D31" s="40">
        <v>4.8745989999999999</v>
      </c>
      <c r="E31" s="40">
        <v>3.5014987</v>
      </c>
      <c r="F31" s="40">
        <v>5.0718664999999996</v>
      </c>
      <c r="G31" s="40">
        <v>-1.6426384000000001</v>
      </c>
      <c r="H31" s="40">
        <v>-7.0258675000000004</v>
      </c>
      <c r="I31" s="40">
        <v>13.425433999999999</v>
      </c>
      <c r="J31" s="40">
        <v>10.173821</v>
      </c>
      <c r="K31" s="47">
        <v>-2.8719187000000002</v>
      </c>
      <c r="L31" s="47">
        <v>4.0776969999999997</v>
      </c>
      <c r="M31" s="47">
        <v>-0.71697235000000004</v>
      </c>
      <c r="N31" s="47">
        <v>-24.518782000000002</v>
      </c>
    </row>
    <row r="32" spans="1:14" x14ac:dyDescent="0.35">
      <c r="A32" s="2">
        <v>42683</v>
      </c>
      <c r="B32" s="40">
        <v>25.046562000000002</v>
      </c>
      <c r="C32" s="40">
        <v>17.855381000000001</v>
      </c>
      <c r="D32" s="40">
        <v>11.065758000000001</v>
      </c>
      <c r="E32" s="40">
        <v>-0.78063610000000005</v>
      </c>
      <c r="F32" s="40">
        <v>1.5067339</v>
      </c>
      <c r="G32" s="40">
        <v>-3.3073603999999999</v>
      </c>
      <c r="H32" s="40">
        <v>-6.8025054999999996</v>
      </c>
      <c r="I32" s="40">
        <v>4.7653436999999998</v>
      </c>
      <c r="J32" s="40">
        <v>6.2407849999999998</v>
      </c>
      <c r="K32" s="47">
        <v>-2.6697397</v>
      </c>
      <c r="L32" s="47">
        <v>-0.11810660000000001</v>
      </c>
      <c r="M32" s="47">
        <v>-4.0246009999999997</v>
      </c>
      <c r="N32" s="47">
        <v>-20.530224</v>
      </c>
    </row>
    <row r="33" spans="1:14" x14ac:dyDescent="0.35">
      <c r="A33" s="2">
        <v>42713</v>
      </c>
      <c r="B33" s="40">
        <v>20.644928</v>
      </c>
      <c r="C33" s="40">
        <v>18.542384999999999</v>
      </c>
      <c r="D33" s="40">
        <v>24.650023999999998</v>
      </c>
      <c r="E33" s="40">
        <v>1.2271881</v>
      </c>
      <c r="F33" s="40">
        <v>7.5945615999999996</v>
      </c>
      <c r="G33" s="40">
        <v>-3.3436477</v>
      </c>
      <c r="H33" s="40">
        <v>-1.4296293</v>
      </c>
      <c r="I33" s="40">
        <v>7.0537330000000003</v>
      </c>
      <c r="J33" s="40">
        <v>12.698973000000001</v>
      </c>
      <c r="K33" s="47">
        <v>2.5731921</v>
      </c>
      <c r="L33" s="47">
        <v>1.5625954</v>
      </c>
      <c r="M33" s="47">
        <v>2.0305753000000002</v>
      </c>
      <c r="N33" s="47">
        <v>-13.947892</v>
      </c>
    </row>
    <row r="34" spans="1:14" x14ac:dyDescent="0.35">
      <c r="A34" s="2">
        <v>42744</v>
      </c>
      <c r="B34" s="40">
        <v>23.482489999999999</v>
      </c>
      <c r="C34" s="40">
        <v>30.593883999999999</v>
      </c>
      <c r="D34" s="40">
        <v>35.565722999999998</v>
      </c>
      <c r="E34" s="40">
        <v>13.179921999999999</v>
      </c>
      <c r="F34" s="40">
        <v>12.560999000000001</v>
      </c>
      <c r="G34" s="40">
        <v>6.1702966999999997</v>
      </c>
      <c r="H34" s="40">
        <v>6.7569137000000001</v>
      </c>
      <c r="I34" s="40">
        <v>18.927596999999999</v>
      </c>
      <c r="J34" s="40">
        <v>20.532762999999999</v>
      </c>
      <c r="K34" s="47">
        <v>13.010490000000001</v>
      </c>
      <c r="L34" s="47">
        <v>11.885667</v>
      </c>
      <c r="M34" s="47">
        <v>10.842109000000001</v>
      </c>
      <c r="N34" s="47">
        <v>-1.6733347999999999</v>
      </c>
    </row>
    <row r="35" spans="1:14" x14ac:dyDescent="0.35">
      <c r="A35" s="2">
        <v>42775</v>
      </c>
      <c r="B35" s="40">
        <v>28.258275999999999</v>
      </c>
      <c r="C35" s="40">
        <v>33.315635999999998</v>
      </c>
      <c r="D35" s="40">
        <v>37.532425000000003</v>
      </c>
      <c r="E35" s="40">
        <v>21.735942999999999</v>
      </c>
      <c r="F35" s="40">
        <v>21.333932999999998</v>
      </c>
      <c r="G35" s="40">
        <v>13.152991999999999</v>
      </c>
      <c r="H35" s="40">
        <v>14.491630000000001</v>
      </c>
      <c r="I35" s="40">
        <v>33.283140000000003</v>
      </c>
      <c r="J35" s="40">
        <v>27.033996999999999</v>
      </c>
      <c r="K35" s="47">
        <v>16.604649999999999</v>
      </c>
      <c r="L35" s="47">
        <v>17.492258</v>
      </c>
      <c r="M35" s="47">
        <v>21.572255999999999</v>
      </c>
      <c r="N35" s="47">
        <v>14.582407</v>
      </c>
    </row>
    <row r="36" spans="1:14" x14ac:dyDescent="0.35">
      <c r="A36" s="2">
        <v>42803</v>
      </c>
      <c r="B36" s="40">
        <v>12.981771999999999</v>
      </c>
      <c r="C36" s="40">
        <v>17.273282999999999</v>
      </c>
      <c r="D36" s="40">
        <v>16.784942999999998</v>
      </c>
      <c r="E36" s="40">
        <v>16.988776999999999</v>
      </c>
      <c r="F36" s="40">
        <v>15.197277</v>
      </c>
      <c r="G36" s="40">
        <v>10.332917999999999</v>
      </c>
      <c r="H36" s="40">
        <v>5.6302905000000001</v>
      </c>
      <c r="I36" s="40">
        <v>26.217949000000001</v>
      </c>
      <c r="J36" s="40">
        <v>21.353054</v>
      </c>
      <c r="K36" s="47">
        <v>11.431146</v>
      </c>
      <c r="L36" s="47">
        <v>14.267015000000001</v>
      </c>
      <c r="M36" s="47">
        <v>11.859904999999999</v>
      </c>
      <c r="N36" s="47">
        <v>6.8562029999999998</v>
      </c>
    </row>
    <row r="37" spans="1:14" x14ac:dyDescent="0.35">
      <c r="A37" s="2">
        <v>42832</v>
      </c>
      <c r="B37" s="40">
        <v>9.6108674999999995</v>
      </c>
      <c r="C37" s="40">
        <v>26.188623</v>
      </c>
      <c r="D37" s="40">
        <v>18.827044999999998</v>
      </c>
      <c r="E37" s="40">
        <v>18.418085000000001</v>
      </c>
      <c r="F37" s="40">
        <v>18.253814999999999</v>
      </c>
      <c r="G37" s="40">
        <v>10.058821</v>
      </c>
      <c r="H37" s="40">
        <v>9.9454639999999994</v>
      </c>
      <c r="I37" s="40">
        <v>22.229051999999999</v>
      </c>
      <c r="J37" s="40">
        <v>17.711352999999999</v>
      </c>
      <c r="K37" s="47">
        <v>16.426563000000002</v>
      </c>
      <c r="L37" s="47">
        <v>14.474297</v>
      </c>
      <c r="M37" s="47">
        <v>12.216877999999999</v>
      </c>
      <c r="N37" s="47">
        <v>16.772960000000001</v>
      </c>
    </row>
    <row r="38" spans="1:14" x14ac:dyDescent="0.35">
      <c r="A38" s="2">
        <v>42864</v>
      </c>
      <c r="B38" s="40">
        <v>9.732723</v>
      </c>
      <c r="C38" s="40">
        <v>16.601562999999999</v>
      </c>
      <c r="D38" s="40">
        <v>11.767459000000001</v>
      </c>
      <c r="E38" s="40">
        <v>20.481895000000002</v>
      </c>
      <c r="F38" s="40">
        <v>16.347812999999999</v>
      </c>
      <c r="G38" s="40">
        <v>16.798258000000001</v>
      </c>
      <c r="H38" s="40">
        <v>11.5194435</v>
      </c>
      <c r="I38" s="40">
        <v>31.982230999999999</v>
      </c>
      <c r="J38" s="40">
        <v>18.704688999999998</v>
      </c>
      <c r="K38" s="47">
        <v>22.446465</v>
      </c>
      <c r="L38" s="47">
        <v>21.684598999999999</v>
      </c>
      <c r="M38" s="47">
        <v>20.006107</v>
      </c>
      <c r="N38" s="47">
        <v>19.337617999999999</v>
      </c>
    </row>
    <row r="39" spans="1:14" x14ac:dyDescent="0.35">
      <c r="A39" s="2">
        <v>42895</v>
      </c>
      <c r="B39" s="40">
        <v>7.8054309999999996</v>
      </c>
      <c r="C39" s="40">
        <v>12.69828</v>
      </c>
      <c r="D39" s="40">
        <v>5.9164165999999998</v>
      </c>
      <c r="E39" s="40">
        <v>23.226082000000002</v>
      </c>
      <c r="F39" s="40">
        <v>16.270340000000001</v>
      </c>
      <c r="G39" s="40">
        <v>14.132822000000001</v>
      </c>
      <c r="H39" s="40">
        <v>9.4907760000000003</v>
      </c>
      <c r="I39" s="40">
        <v>28.341818</v>
      </c>
      <c r="J39" s="40">
        <v>17.150317999999999</v>
      </c>
      <c r="K39" s="47">
        <v>22.353660000000001</v>
      </c>
      <c r="L39" s="47">
        <v>21.517765000000001</v>
      </c>
      <c r="M39" s="47">
        <v>20.242892999999999</v>
      </c>
      <c r="N39" s="47">
        <v>20.288288000000001</v>
      </c>
    </row>
    <row r="40" spans="1:14" x14ac:dyDescent="0.35">
      <c r="A40" s="2">
        <v>42923</v>
      </c>
      <c r="B40" s="40">
        <v>10.106623000000001</v>
      </c>
      <c r="C40" s="40">
        <v>17.147970000000001</v>
      </c>
      <c r="D40" s="40">
        <v>11.271084</v>
      </c>
      <c r="E40" s="40">
        <v>33.683979999999998</v>
      </c>
      <c r="F40" s="40">
        <v>17.377472000000001</v>
      </c>
      <c r="G40" s="40">
        <v>19.786442000000001</v>
      </c>
      <c r="H40" s="40">
        <v>16.230988</v>
      </c>
      <c r="I40" s="40">
        <v>28.138076999999999</v>
      </c>
      <c r="J40" s="40">
        <v>17.904413000000002</v>
      </c>
      <c r="K40" s="47">
        <v>33.536850000000001</v>
      </c>
      <c r="L40" s="47">
        <v>33.349240000000002</v>
      </c>
      <c r="M40" s="47">
        <v>32.81962</v>
      </c>
      <c r="N40" s="47">
        <v>43.060459999999999</v>
      </c>
    </row>
    <row r="41" spans="1:14" x14ac:dyDescent="0.35">
      <c r="A41" s="2">
        <v>42956</v>
      </c>
      <c r="B41" s="40">
        <v>7.2088599999999996</v>
      </c>
      <c r="C41" s="40">
        <v>11.966764</v>
      </c>
      <c r="D41" s="40">
        <v>10.105014000000001</v>
      </c>
      <c r="E41" s="40">
        <v>19.296645999999999</v>
      </c>
      <c r="F41" s="40">
        <v>13.61835</v>
      </c>
      <c r="G41" s="40">
        <v>17.063224999999999</v>
      </c>
      <c r="H41" s="40">
        <v>13.646459999999999</v>
      </c>
      <c r="I41" s="40">
        <v>24.537552000000002</v>
      </c>
      <c r="J41" s="40">
        <v>15.631617</v>
      </c>
      <c r="K41" s="47">
        <v>27.061451000000002</v>
      </c>
      <c r="L41" s="47">
        <v>29.678153999999999</v>
      </c>
      <c r="M41" s="47">
        <v>22.796524000000002</v>
      </c>
      <c r="N41" s="47">
        <v>39.591811999999997</v>
      </c>
    </row>
    <row r="42" spans="1:14" x14ac:dyDescent="0.35">
      <c r="A42" s="2">
        <v>42986</v>
      </c>
      <c r="B42" s="40">
        <v>1.6491652000000001</v>
      </c>
      <c r="C42" s="40">
        <v>17.212809</v>
      </c>
      <c r="D42" s="40">
        <v>10.676920000000001</v>
      </c>
      <c r="E42" s="40">
        <v>20.886612</v>
      </c>
      <c r="F42" s="40">
        <v>11.677968999999999</v>
      </c>
      <c r="G42" s="40">
        <v>14.52285</v>
      </c>
      <c r="H42" s="40">
        <v>10.157633000000001</v>
      </c>
      <c r="I42" s="40">
        <v>24.285793000000002</v>
      </c>
      <c r="J42" s="40">
        <v>15.144121</v>
      </c>
      <c r="K42" s="47">
        <v>24.966372</v>
      </c>
      <c r="L42" s="47">
        <v>26.156734</v>
      </c>
      <c r="M42" s="47">
        <v>21.659327000000001</v>
      </c>
      <c r="N42" s="47">
        <v>34.482562999999999</v>
      </c>
    </row>
    <row r="43" spans="1:14" x14ac:dyDescent="0.35">
      <c r="A43" s="2">
        <v>43017</v>
      </c>
      <c r="B43" s="40">
        <v>9.7196459999999991</v>
      </c>
      <c r="C43" s="40">
        <v>11.983931</v>
      </c>
      <c r="D43" s="40">
        <v>17.305458000000002</v>
      </c>
      <c r="E43" s="40">
        <v>26.930713999999998</v>
      </c>
      <c r="F43" s="40">
        <v>14.624262</v>
      </c>
      <c r="G43" s="40">
        <v>18.365704999999998</v>
      </c>
      <c r="H43" s="40">
        <v>15.757930999999999</v>
      </c>
      <c r="I43" s="40">
        <v>25.743126</v>
      </c>
      <c r="J43" s="40">
        <v>20.485188000000001</v>
      </c>
      <c r="K43" s="47">
        <v>31.124759999999998</v>
      </c>
      <c r="L43" s="47">
        <v>29.110765000000001</v>
      </c>
      <c r="M43" s="47">
        <v>26.290476000000002</v>
      </c>
      <c r="N43" s="47">
        <v>43.713833000000001</v>
      </c>
    </row>
    <row r="44" spans="1:14" x14ac:dyDescent="0.35">
      <c r="A44" s="2">
        <v>43048</v>
      </c>
      <c r="B44" s="40">
        <v>11.471486000000001</v>
      </c>
      <c r="C44" s="40">
        <v>18.424786000000001</v>
      </c>
      <c r="D44" s="40">
        <v>17.677153000000001</v>
      </c>
      <c r="E44" s="40">
        <v>30.489933000000001</v>
      </c>
      <c r="F44" s="40">
        <v>22.709084000000001</v>
      </c>
      <c r="G44" s="40">
        <v>18.98123</v>
      </c>
      <c r="H44" s="40">
        <v>18.394161</v>
      </c>
      <c r="I44" s="40">
        <v>31.942188000000002</v>
      </c>
      <c r="J44" s="40">
        <v>21.729267</v>
      </c>
      <c r="K44" s="47">
        <v>30.597888999999999</v>
      </c>
      <c r="L44" s="47">
        <v>31.927168000000002</v>
      </c>
      <c r="M44" s="47">
        <v>29.255272000000001</v>
      </c>
      <c r="N44" s="47">
        <v>43.046546999999997</v>
      </c>
    </row>
    <row r="45" spans="1:14" x14ac:dyDescent="0.35">
      <c r="A45" s="2">
        <v>43077</v>
      </c>
      <c r="B45" s="40">
        <v>13.02309</v>
      </c>
      <c r="C45" s="40">
        <v>12.689375999999999</v>
      </c>
      <c r="D45" s="40">
        <v>10.476136</v>
      </c>
      <c r="E45" s="40">
        <v>29.639471</v>
      </c>
      <c r="F45" s="40">
        <v>18.762184000000001</v>
      </c>
      <c r="G45" s="40">
        <v>23.937056999999999</v>
      </c>
      <c r="H45" s="40">
        <v>17.088055000000001</v>
      </c>
      <c r="I45" s="40">
        <v>31.778790000000001</v>
      </c>
      <c r="J45" s="40">
        <v>20.313310000000001</v>
      </c>
      <c r="K45" s="47">
        <v>31.001068</v>
      </c>
      <c r="L45" s="47">
        <v>35.278320000000001</v>
      </c>
      <c r="M45" s="47">
        <v>21.465492000000001</v>
      </c>
      <c r="N45" s="47">
        <v>35.814213000000002</v>
      </c>
    </row>
    <row r="46" spans="1:14" x14ac:dyDescent="0.35">
      <c r="A46" s="2">
        <v>43109</v>
      </c>
      <c r="B46" s="40">
        <v>21.902716000000002</v>
      </c>
      <c r="C46" s="40">
        <v>16.734885999999999</v>
      </c>
      <c r="D46" s="40">
        <v>15.349066000000001</v>
      </c>
      <c r="E46" s="40">
        <v>30.355906999999998</v>
      </c>
      <c r="F46" s="40">
        <v>25.249063</v>
      </c>
      <c r="G46" s="40">
        <v>22.525143</v>
      </c>
      <c r="H46" s="40">
        <v>22.769176000000002</v>
      </c>
      <c r="I46" s="40">
        <v>34.098731999999998</v>
      </c>
      <c r="J46" s="40">
        <v>23.582851000000002</v>
      </c>
      <c r="K46" s="47">
        <v>32.244373000000003</v>
      </c>
      <c r="L46" s="47">
        <v>35.536945000000003</v>
      </c>
      <c r="M46" s="47">
        <v>25.419294000000001</v>
      </c>
      <c r="N46" s="47">
        <v>33.800159999999998</v>
      </c>
    </row>
    <row r="47" spans="1:14" x14ac:dyDescent="0.35">
      <c r="A47" s="2">
        <v>43140</v>
      </c>
      <c r="B47" s="40">
        <v>12.236046999999999</v>
      </c>
      <c r="C47" s="40">
        <v>7.4350357000000002</v>
      </c>
      <c r="D47" s="40">
        <v>2.7895808</v>
      </c>
      <c r="E47" s="40">
        <v>20.144033</v>
      </c>
      <c r="F47" s="40">
        <v>17.304718000000001</v>
      </c>
      <c r="G47" s="40">
        <v>14.797651</v>
      </c>
      <c r="H47" s="40">
        <v>12.511563000000001</v>
      </c>
      <c r="I47" s="40">
        <v>24.073768999999999</v>
      </c>
      <c r="J47" s="40">
        <v>15.599644</v>
      </c>
      <c r="K47" s="47">
        <v>25.613748999999999</v>
      </c>
      <c r="L47" s="47">
        <v>26.326252</v>
      </c>
      <c r="M47" s="47">
        <v>13.227748999999999</v>
      </c>
      <c r="N47" s="47">
        <v>36.365734000000003</v>
      </c>
    </row>
    <row r="48" spans="1:14" x14ac:dyDescent="0.35">
      <c r="A48" s="2">
        <v>43168</v>
      </c>
      <c r="B48" s="40">
        <v>25.490283999999999</v>
      </c>
      <c r="C48" s="40">
        <v>11.661028999999999</v>
      </c>
      <c r="D48" s="40">
        <v>7.9732656000000004</v>
      </c>
      <c r="E48" s="40">
        <v>20.593606999999999</v>
      </c>
      <c r="F48" s="40">
        <v>20.500886999999999</v>
      </c>
      <c r="G48" s="40">
        <v>14.363372999999999</v>
      </c>
      <c r="H48" s="40">
        <v>15.981436</v>
      </c>
      <c r="I48" s="40">
        <v>33.552193000000003</v>
      </c>
      <c r="J48" s="40">
        <v>20.020163</v>
      </c>
      <c r="K48" s="47">
        <v>28.068280000000001</v>
      </c>
      <c r="L48" s="47">
        <v>26.626895999999999</v>
      </c>
      <c r="M48" s="47">
        <v>16.135131999999999</v>
      </c>
      <c r="N48" s="47">
        <v>36.285876999999999</v>
      </c>
    </row>
    <row r="49" spans="1:14" x14ac:dyDescent="0.35">
      <c r="A49" s="2">
        <v>43199</v>
      </c>
      <c r="B49" s="40">
        <v>23.702466999999999</v>
      </c>
      <c r="C49" s="40">
        <v>3.5417437999999999</v>
      </c>
      <c r="D49" s="40">
        <v>5.2323579999999996</v>
      </c>
      <c r="E49" s="40">
        <v>16.153276000000002</v>
      </c>
      <c r="F49" s="40">
        <v>19.332515999999998</v>
      </c>
      <c r="G49" s="40">
        <v>9.809685</v>
      </c>
      <c r="H49" s="40">
        <v>14.560186</v>
      </c>
      <c r="I49" s="40">
        <v>20.558537000000001</v>
      </c>
      <c r="J49" s="40">
        <v>13.081657</v>
      </c>
      <c r="K49" s="47">
        <v>23.271965000000002</v>
      </c>
      <c r="L49" s="47">
        <v>22.569476999999999</v>
      </c>
      <c r="M49" s="47">
        <v>9.2829940000000004</v>
      </c>
      <c r="N49" s="47">
        <v>32.878554999999999</v>
      </c>
    </row>
    <row r="50" spans="1:14" x14ac:dyDescent="0.35">
      <c r="A50" s="2">
        <v>43229</v>
      </c>
      <c r="B50" s="40">
        <v>17.682098</v>
      </c>
      <c r="C50" s="40">
        <v>9.1567279999999993</v>
      </c>
      <c r="D50" s="40">
        <v>12.00329</v>
      </c>
      <c r="E50" s="40">
        <v>10.755563</v>
      </c>
      <c r="F50" s="40">
        <v>16.433537000000001</v>
      </c>
      <c r="G50" s="40">
        <v>3.0685425</v>
      </c>
      <c r="H50" s="40">
        <v>13.1262665</v>
      </c>
      <c r="I50" s="40">
        <v>22.425782999999999</v>
      </c>
      <c r="J50" s="40">
        <v>14.696740999999999</v>
      </c>
      <c r="K50" s="47">
        <v>15.307366999999999</v>
      </c>
      <c r="L50" s="47">
        <v>12.592495</v>
      </c>
      <c r="M50" s="47">
        <v>4.7359346999999996</v>
      </c>
      <c r="N50" s="47">
        <v>24.477291000000001</v>
      </c>
    </row>
    <row r="51" spans="1:14" x14ac:dyDescent="0.35">
      <c r="A51" s="2">
        <v>43259</v>
      </c>
      <c r="B51" s="40">
        <v>15.865601</v>
      </c>
      <c r="C51" s="40">
        <v>11.020374</v>
      </c>
      <c r="D51" s="40">
        <v>12.793577000000001</v>
      </c>
      <c r="E51" s="40">
        <v>5.4806112999999996</v>
      </c>
      <c r="F51" s="40">
        <v>12.939178</v>
      </c>
      <c r="G51" s="40">
        <v>-0.35451650000000001</v>
      </c>
      <c r="H51" s="40">
        <v>9.8753089999999997</v>
      </c>
      <c r="I51" s="40">
        <v>22.55789</v>
      </c>
      <c r="J51" s="40">
        <v>16.287337999999998</v>
      </c>
      <c r="K51" s="47">
        <v>12.005782</v>
      </c>
      <c r="L51" s="47">
        <v>10.677873999999999</v>
      </c>
      <c r="M51" s="47">
        <v>-0.2399087</v>
      </c>
      <c r="N51" s="47">
        <v>6.8599104999999998</v>
      </c>
    </row>
    <row r="52" spans="1:14" x14ac:dyDescent="0.35">
      <c r="A52" s="2">
        <v>43290</v>
      </c>
      <c r="B52" s="40">
        <v>10.704219999999999</v>
      </c>
      <c r="C52" s="40">
        <v>12.685561</v>
      </c>
      <c r="D52" s="40">
        <v>10.363054</v>
      </c>
      <c r="E52" s="40">
        <v>4.3661117999999997</v>
      </c>
      <c r="F52" s="40">
        <v>11.052763000000001</v>
      </c>
      <c r="G52" s="40">
        <v>0.37078856999999998</v>
      </c>
      <c r="H52" s="40">
        <v>10.787451000000001</v>
      </c>
      <c r="I52" s="40">
        <v>29.663277000000001</v>
      </c>
      <c r="J52" s="40">
        <v>16.922974</v>
      </c>
      <c r="K52" s="47">
        <v>11.779700999999999</v>
      </c>
      <c r="L52" s="47">
        <v>9.322775</v>
      </c>
      <c r="M52" s="47">
        <v>-3.3621310000000002</v>
      </c>
      <c r="N52" s="47">
        <v>8.9876539999999991</v>
      </c>
    </row>
    <row r="53" spans="1:14" x14ac:dyDescent="0.35">
      <c r="A53" s="2">
        <v>43321</v>
      </c>
      <c r="B53" s="40">
        <v>3.1962036999999999</v>
      </c>
      <c r="C53" s="40">
        <v>6.3750743999999999</v>
      </c>
      <c r="D53" s="40">
        <v>7.9024076000000001</v>
      </c>
      <c r="E53" s="40">
        <v>2.4056673000000002</v>
      </c>
      <c r="F53" s="40">
        <v>8.1704249999999998</v>
      </c>
      <c r="G53" s="40">
        <v>2.5965690000000001</v>
      </c>
      <c r="H53" s="40">
        <v>5.1049232</v>
      </c>
      <c r="I53" s="40">
        <v>27.242827999999999</v>
      </c>
      <c r="J53" s="40">
        <v>17.446304000000001</v>
      </c>
      <c r="K53" s="47">
        <v>7.9904080000000004</v>
      </c>
      <c r="L53" s="47">
        <v>4.6561599999999999</v>
      </c>
      <c r="M53" s="47">
        <v>-1.6381562000000001</v>
      </c>
      <c r="N53" s="47">
        <v>-1.3651252</v>
      </c>
    </row>
    <row r="54" spans="1:14" x14ac:dyDescent="0.35">
      <c r="A54" s="2">
        <v>43350</v>
      </c>
      <c r="B54" s="40">
        <v>4.8740506000000003</v>
      </c>
      <c r="C54" s="40">
        <v>-2.0599126999999999</v>
      </c>
      <c r="D54" s="40">
        <v>1.2935042000000001</v>
      </c>
      <c r="E54" s="40">
        <v>-5.442202</v>
      </c>
      <c r="F54" s="40">
        <v>4.9206257000000004</v>
      </c>
      <c r="G54" s="40">
        <v>1.3222217999999999</v>
      </c>
      <c r="H54" s="40">
        <v>0.15885830000000001</v>
      </c>
      <c r="I54" s="40">
        <v>25.507567999999999</v>
      </c>
      <c r="J54" s="40">
        <v>18.671036000000001</v>
      </c>
      <c r="K54" s="47">
        <v>1.9240140999999999</v>
      </c>
      <c r="L54" s="47">
        <v>-1.3943970000000001</v>
      </c>
      <c r="M54" s="47">
        <v>-5.5451750000000004</v>
      </c>
      <c r="N54" s="47">
        <v>-8.5578859999999999</v>
      </c>
    </row>
    <row r="55" spans="1:14" x14ac:dyDescent="0.35">
      <c r="A55" s="2">
        <v>43382</v>
      </c>
      <c r="B55" s="40">
        <v>3.7931085000000002</v>
      </c>
      <c r="C55" s="40">
        <v>-9.1981889999999997E-2</v>
      </c>
      <c r="D55" s="40">
        <v>4.0340424E-2</v>
      </c>
      <c r="E55" s="40">
        <v>-8.9987390000000005</v>
      </c>
      <c r="F55" s="40">
        <v>6.9422006999999999</v>
      </c>
      <c r="G55" s="40">
        <v>-1.2193917999999999</v>
      </c>
      <c r="H55" s="40">
        <v>-0.16222</v>
      </c>
      <c r="I55" s="40">
        <v>22.727919</v>
      </c>
      <c r="J55" s="40">
        <v>15.233575999999999</v>
      </c>
      <c r="K55" s="47">
        <v>0.10905266</v>
      </c>
      <c r="L55" s="47">
        <v>-5.0403833000000002</v>
      </c>
      <c r="M55" s="47">
        <v>-7.9796849999999999</v>
      </c>
      <c r="N55" s="47">
        <v>-10.182333</v>
      </c>
    </row>
    <row r="56" spans="1:14" x14ac:dyDescent="0.35">
      <c r="A56" s="2">
        <v>43413</v>
      </c>
      <c r="B56" s="40">
        <v>8.7897540000000003</v>
      </c>
      <c r="C56" s="40">
        <v>-4.4157386000000001</v>
      </c>
      <c r="D56" s="40">
        <v>-7.0441064999999998</v>
      </c>
      <c r="E56" s="40">
        <v>-14.032518</v>
      </c>
      <c r="F56" s="40">
        <v>-6.0759486999999996</v>
      </c>
      <c r="G56" s="40">
        <v>-0.27011633000000002</v>
      </c>
      <c r="H56" s="40">
        <v>-2.6892304</v>
      </c>
      <c r="I56" s="40">
        <v>12.459528000000001</v>
      </c>
      <c r="J56" s="40">
        <v>9.5479965</v>
      </c>
      <c r="K56" s="47">
        <v>-4.5847119999999997</v>
      </c>
      <c r="L56" s="47">
        <v>-5.8034540000000003</v>
      </c>
      <c r="M56" s="47">
        <v>-10.334550999999999</v>
      </c>
      <c r="N56" s="47">
        <v>-14.641463999999999</v>
      </c>
    </row>
    <row r="57" spans="1:14" x14ac:dyDescent="0.35">
      <c r="A57" s="2">
        <v>43441</v>
      </c>
      <c r="B57" s="40">
        <v>8.0803159999999998</v>
      </c>
      <c r="C57" s="40">
        <v>-6.0773669999999997</v>
      </c>
      <c r="D57" s="40">
        <v>-9.3047799999999992</v>
      </c>
      <c r="E57" s="40">
        <v>-20.212357999999998</v>
      </c>
      <c r="F57" s="40">
        <v>-8.4274179999999994</v>
      </c>
      <c r="G57" s="40">
        <v>-4.6220420000000004</v>
      </c>
      <c r="H57" s="40">
        <v>-9.1757059999999999</v>
      </c>
      <c r="I57" s="40">
        <v>5.584371</v>
      </c>
      <c r="J57" s="40">
        <v>1.6289473000000001</v>
      </c>
      <c r="K57" s="47">
        <v>-11.225455999999999</v>
      </c>
      <c r="L57" s="47">
        <v>-11.102295</v>
      </c>
      <c r="M57" s="47">
        <v>-11.595928000000001</v>
      </c>
      <c r="N57" s="47">
        <v>-17.337924999999998</v>
      </c>
    </row>
    <row r="58" spans="1:14" x14ac:dyDescent="0.35">
      <c r="A58" s="2">
        <v>43474</v>
      </c>
      <c r="B58" s="40">
        <v>1.3681889</v>
      </c>
      <c r="C58" s="40">
        <v>-9.7235980000000009</v>
      </c>
      <c r="D58" s="40">
        <v>-12.80908</v>
      </c>
      <c r="E58" s="40">
        <v>-20.989439999999998</v>
      </c>
      <c r="F58" s="40">
        <v>-13.562548</v>
      </c>
      <c r="G58" s="40">
        <v>-7.5904074000000001</v>
      </c>
      <c r="H58" s="40">
        <v>-12.493525999999999</v>
      </c>
      <c r="I58" s="40">
        <v>-0.22454262</v>
      </c>
      <c r="J58" s="40">
        <v>-4.2387543000000001</v>
      </c>
      <c r="K58" s="47">
        <v>-13.122058000000001</v>
      </c>
      <c r="L58" s="47">
        <v>-14.494586</v>
      </c>
      <c r="M58" s="47">
        <v>-12.229085</v>
      </c>
      <c r="N58" s="47">
        <v>-16.811646</v>
      </c>
    </row>
    <row r="59" spans="1:14" x14ac:dyDescent="0.35">
      <c r="A59" s="2">
        <v>43504</v>
      </c>
      <c r="B59" s="40">
        <v>7.8752994999999997</v>
      </c>
      <c r="C59" s="40">
        <v>0.75141190000000002</v>
      </c>
      <c r="D59" s="40">
        <v>0.72500706000000004</v>
      </c>
      <c r="E59" s="40">
        <v>-16.685766000000001</v>
      </c>
      <c r="F59" s="40">
        <v>-8.4214629999999993</v>
      </c>
      <c r="G59" s="40">
        <v>-1.4669179999999999</v>
      </c>
      <c r="H59" s="40">
        <v>-3.3157646999999999</v>
      </c>
      <c r="I59" s="40">
        <v>10.786009</v>
      </c>
      <c r="J59" s="40">
        <v>6.9914103000000001</v>
      </c>
      <c r="K59" s="47">
        <v>-7.1420726999999999</v>
      </c>
      <c r="L59" s="47">
        <v>-6.1896979999999999</v>
      </c>
      <c r="M59" s="47">
        <v>-7.2045383000000003</v>
      </c>
      <c r="N59" s="47">
        <v>-15.391427</v>
      </c>
    </row>
    <row r="60" spans="1:14" x14ac:dyDescent="0.35">
      <c r="A60" s="2">
        <v>43532</v>
      </c>
      <c r="B60" s="40">
        <v>5.685854</v>
      </c>
      <c r="C60" s="40">
        <v>-1.6926289000000001</v>
      </c>
      <c r="D60" s="40">
        <v>0.92998742999999995</v>
      </c>
      <c r="E60" s="40">
        <v>-15.730589999999999</v>
      </c>
      <c r="F60" s="40">
        <v>-10.393876000000001</v>
      </c>
      <c r="G60" s="40">
        <v>0.97546580000000005</v>
      </c>
      <c r="H60" s="40">
        <v>-2.9847085</v>
      </c>
      <c r="I60" s="40">
        <v>1.6327977</v>
      </c>
      <c r="J60" s="40">
        <v>2.0460606000000001</v>
      </c>
      <c r="K60" s="47">
        <v>-6.4367175000000003</v>
      </c>
      <c r="L60" s="47">
        <v>-8.7757699999999996</v>
      </c>
      <c r="M60" s="47">
        <v>-9.7338380000000004</v>
      </c>
      <c r="N60" s="47">
        <v>-14.065165</v>
      </c>
    </row>
    <row r="61" spans="1:14" x14ac:dyDescent="0.35">
      <c r="A61" s="2">
        <v>43564</v>
      </c>
      <c r="B61" s="40">
        <v>5.1405190000000003</v>
      </c>
      <c r="C61" s="40">
        <v>3.4907460000000001</v>
      </c>
      <c r="D61" s="40">
        <v>4.3321370000000003</v>
      </c>
      <c r="E61" s="40">
        <v>-12.356562</v>
      </c>
      <c r="F61" s="40">
        <v>-7.2324095000000002</v>
      </c>
      <c r="G61" s="40">
        <v>7.0022700000000002</v>
      </c>
      <c r="H61" s="40">
        <v>-0.83212255999999996</v>
      </c>
      <c r="I61" s="40">
        <v>17.978394000000002</v>
      </c>
      <c r="J61" s="40">
        <v>12.228298000000001</v>
      </c>
      <c r="K61" s="47">
        <v>-3.4800171999999998</v>
      </c>
      <c r="L61" s="47">
        <v>-2.9235064999999998</v>
      </c>
      <c r="M61" s="47">
        <v>0.96054079999999997</v>
      </c>
      <c r="N61" s="47">
        <v>-10.897838999999999</v>
      </c>
    </row>
    <row r="62" spans="1:14" x14ac:dyDescent="0.35">
      <c r="A62" s="2">
        <v>43594</v>
      </c>
      <c r="B62" s="40">
        <v>10.383224500000001</v>
      </c>
      <c r="C62" s="40">
        <v>0.45810938000000001</v>
      </c>
      <c r="D62" s="40">
        <v>0.12161732</v>
      </c>
      <c r="E62" s="40">
        <v>-12.402964000000001</v>
      </c>
      <c r="F62" s="40">
        <v>-9.8060130000000001</v>
      </c>
      <c r="G62" s="40">
        <v>5.6121109999999996</v>
      </c>
      <c r="H62" s="40">
        <v>-6.1447086000000004</v>
      </c>
      <c r="I62" s="40">
        <v>11.019683000000001</v>
      </c>
      <c r="J62" s="40">
        <v>8.442736</v>
      </c>
      <c r="K62" s="47">
        <v>-6.0879649999999996</v>
      </c>
      <c r="L62" s="47">
        <v>-1.9151509</v>
      </c>
      <c r="M62" s="47">
        <v>-6.7125854</v>
      </c>
      <c r="N62" s="47">
        <v>-15.235054</v>
      </c>
    </row>
    <row r="63" spans="1:14" x14ac:dyDescent="0.35">
      <c r="A63" s="2">
        <v>43623</v>
      </c>
      <c r="B63" s="40">
        <v>6.5197229999999999</v>
      </c>
      <c r="C63" s="40">
        <v>3.3475876000000002</v>
      </c>
      <c r="D63" s="40">
        <v>-0.24697184999999999</v>
      </c>
      <c r="E63" s="40">
        <v>-11.053573999999999</v>
      </c>
      <c r="F63" s="40">
        <v>-8.9499654999999994</v>
      </c>
      <c r="G63" s="40">
        <v>14.022933999999999</v>
      </c>
      <c r="H63" s="40">
        <v>-5.8219909999999997</v>
      </c>
      <c r="I63" s="40">
        <v>4.6937704</v>
      </c>
      <c r="J63" s="40">
        <v>5.7296990000000001</v>
      </c>
      <c r="K63" s="47">
        <v>-3.1906544999999999</v>
      </c>
      <c r="L63" s="47">
        <v>-2.0542085000000001</v>
      </c>
      <c r="M63" s="47">
        <v>-2.7100681999999998</v>
      </c>
      <c r="N63" s="47">
        <v>-5.1970479999999997</v>
      </c>
    </row>
    <row r="64" spans="1:14" x14ac:dyDescent="0.35">
      <c r="A64" s="2">
        <v>43655</v>
      </c>
      <c r="B64" s="40">
        <v>11.463939999999999</v>
      </c>
      <c r="C64" s="40">
        <v>2.5047779999999999</v>
      </c>
      <c r="D64" s="40">
        <v>2.4563193000000001</v>
      </c>
      <c r="E64" s="40">
        <v>-7.3600054000000004</v>
      </c>
      <c r="F64" s="40">
        <v>-4.1839599999999999</v>
      </c>
      <c r="G64" s="40">
        <v>13.530434</v>
      </c>
      <c r="H64" s="40">
        <v>-4.3789983000000001</v>
      </c>
      <c r="I64" s="40">
        <v>8.5465549999999997</v>
      </c>
      <c r="J64" s="40">
        <v>9.0686319999999991</v>
      </c>
      <c r="K64" s="47">
        <v>0.19148588</v>
      </c>
      <c r="L64" s="47">
        <v>1.8587828</v>
      </c>
      <c r="M64" s="47">
        <v>1.2786508000000001</v>
      </c>
      <c r="N64" s="47">
        <v>-0.95342994000000003</v>
      </c>
    </row>
    <row r="65" spans="1:14" x14ac:dyDescent="0.35">
      <c r="A65" s="2">
        <v>43686</v>
      </c>
      <c r="B65" s="40">
        <v>18.065548</v>
      </c>
      <c r="C65" s="40">
        <v>-0.32679439999999998</v>
      </c>
      <c r="D65" s="40">
        <v>-0.74894430000000001</v>
      </c>
      <c r="E65" s="40">
        <v>-11.941314</v>
      </c>
      <c r="F65" s="40">
        <v>-6.6238640000000002</v>
      </c>
      <c r="G65" s="40">
        <v>10.281897000000001</v>
      </c>
      <c r="H65" s="40">
        <v>-8.6152730000000002</v>
      </c>
      <c r="I65" s="40">
        <v>3.4176470000000001</v>
      </c>
      <c r="J65" s="40">
        <v>4.3325899999999997</v>
      </c>
      <c r="K65" s="47">
        <v>-3.6295771999999999</v>
      </c>
      <c r="L65" s="47">
        <v>-1.4509380000000001</v>
      </c>
      <c r="M65" s="47">
        <v>-8.0124855000000004</v>
      </c>
      <c r="N65" s="47">
        <v>-5.4775057</v>
      </c>
    </row>
    <row r="66" spans="1:14" x14ac:dyDescent="0.35">
      <c r="A66" s="2">
        <v>43717</v>
      </c>
      <c r="B66" s="40">
        <v>20.309781999999998</v>
      </c>
      <c r="C66" s="40">
        <v>10.129428000000001</v>
      </c>
      <c r="D66" s="40">
        <v>4.3470143999999999</v>
      </c>
      <c r="E66" s="40">
        <v>-4.630649</v>
      </c>
      <c r="F66" s="40">
        <v>-0.96518992999999997</v>
      </c>
      <c r="G66" s="40">
        <v>13.278340999999999</v>
      </c>
      <c r="H66" s="40">
        <v>-1.2326539000000001</v>
      </c>
      <c r="I66" s="40">
        <v>6.4923406000000004</v>
      </c>
      <c r="J66" s="40">
        <v>5.7482004</v>
      </c>
      <c r="K66" s="47">
        <v>3.2252192000000002</v>
      </c>
      <c r="L66" s="47">
        <v>8.0177189999999996</v>
      </c>
      <c r="M66" s="47">
        <v>-3.2340347999999999</v>
      </c>
      <c r="N66" s="47">
        <v>6.9260716000000002</v>
      </c>
    </row>
    <row r="67" spans="1:14" x14ac:dyDescent="0.35">
      <c r="A67" s="2">
        <v>43747</v>
      </c>
      <c r="B67" s="40">
        <v>16.586089999999999</v>
      </c>
      <c r="C67" s="40">
        <v>8.1744669999999999</v>
      </c>
      <c r="D67" s="40">
        <v>1.7305493000000001</v>
      </c>
      <c r="E67" s="40">
        <v>-5.6870880000000001</v>
      </c>
      <c r="F67" s="40">
        <v>-2.732259</v>
      </c>
      <c r="G67" s="40">
        <v>12.06038</v>
      </c>
      <c r="H67" s="40">
        <v>-4.4931409999999996</v>
      </c>
      <c r="I67" s="40">
        <v>5.1692963000000001</v>
      </c>
      <c r="J67" s="40">
        <v>3.3737539999999999</v>
      </c>
      <c r="K67" s="47">
        <v>0.59554576999999997</v>
      </c>
      <c r="L67" s="47">
        <v>9.2144010000000005</v>
      </c>
      <c r="M67" s="47">
        <v>-5.6689204999999996</v>
      </c>
      <c r="N67" s="47">
        <v>5.8616279999999996</v>
      </c>
    </row>
    <row r="68" spans="1:14" x14ac:dyDescent="0.35">
      <c r="A68" s="2">
        <v>43777</v>
      </c>
      <c r="B68" s="40">
        <v>14.683866500000001</v>
      </c>
      <c r="C68" s="40">
        <v>12.871325000000001</v>
      </c>
      <c r="D68" s="40">
        <v>11.904562</v>
      </c>
      <c r="E68" s="40">
        <v>8.4589239999999997</v>
      </c>
      <c r="F68" s="40">
        <v>9.4918370000000003</v>
      </c>
      <c r="G68" s="40">
        <v>17.979096999999999</v>
      </c>
      <c r="H68" s="40">
        <v>4.6800255999999996</v>
      </c>
      <c r="I68" s="40">
        <v>16.382921</v>
      </c>
      <c r="J68" s="40">
        <v>12.342119</v>
      </c>
      <c r="K68" s="47">
        <v>13.088882</v>
      </c>
      <c r="L68" s="47">
        <v>17.135238999999999</v>
      </c>
      <c r="M68" s="47">
        <v>11.129545999999999</v>
      </c>
      <c r="N68" s="47">
        <v>20.438862</v>
      </c>
    </row>
    <row r="69" spans="1:14" x14ac:dyDescent="0.35">
      <c r="A69" s="2">
        <v>43808</v>
      </c>
      <c r="B69" s="40">
        <v>22.379864000000001</v>
      </c>
      <c r="C69" s="40">
        <v>17.669750000000001</v>
      </c>
      <c r="D69" s="40">
        <v>17.232346</v>
      </c>
      <c r="E69" s="40">
        <v>15.152894999999999</v>
      </c>
      <c r="F69" s="40">
        <v>14.568079000000001</v>
      </c>
      <c r="G69" s="40">
        <v>23.896753</v>
      </c>
      <c r="H69" s="40">
        <v>13.871098</v>
      </c>
      <c r="I69" s="40">
        <v>27.591536999999999</v>
      </c>
      <c r="J69" s="40">
        <v>21.469985999999999</v>
      </c>
      <c r="K69" s="47">
        <v>19.779347999999999</v>
      </c>
      <c r="L69" s="47">
        <v>24.257242000000002</v>
      </c>
      <c r="M69" s="47">
        <v>17.889095000000001</v>
      </c>
      <c r="N69" s="47">
        <v>20.723687999999999</v>
      </c>
    </row>
    <row r="70" spans="1:14" x14ac:dyDescent="0.35">
      <c r="A70" s="2">
        <v>43839</v>
      </c>
      <c r="B70" s="40">
        <v>25.225508000000001</v>
      </c>
      <c r="C70" s="40">
        <v>17.584693999999999</v>
      </c>
      <c r="D70" s="40">
        <v>19.670105</v>
      </c>
      <c r="E70" s="40">
        <v>16.128159</v>
      </c>
      <c r="F70" s="40">
        <v>15.172219</v>
      </c>
      <c r="G70" s="40">
        <v>26.983011000000001</v>
      </c>
      <c r="H70" s="40">
        <v>16.194020999999999</v>
      </c>
      <c r="I70" s="40">
        <v>37.291263999999998</v>
      </c>
      <c r="J70" s="40">
        <v>29.018902000000001</v>
      </c>
      <c r="K70" s="47">
        <v>22.622012999999999</v>
      </c>
      <c r="L70" s="47">
        <v>28.356338999999998</v>
      </c>
      <c r="M70" s="47">
        <v>17.179596</v>
      </c>
      <c r="N70" s="47">
        <v>21.716808</v>
      </c>
    </row>
    <row r="71" spans="1:14" x14ac:dyDescent="0.35">
      <c r="A71" s="2">
        <v>43868</v>
      </c>
      <c r="B71" s="40">
        <v>21.756304</v>
      </c>
      <c r="C71" s="40">
        <v>12.931442000000001</v>
      </c>
      <c r="D71" s="40">
        <v>14.067399999999999</v>
      </c>
      <c r="E71" s="40">
        <v>14.793217</v>
      </c>
      <c r="F71" s="40">
        <v>14.140248</v>
      </c>
      <c r="G71" s="40">
        <v>28.107631999999999</v>
      </c>
      <c r="H71" s="40">
        <v>7.3898434999999996</v>
      </c>
      <c r="I71" s="40">
        <v>37.363030000000002</v>
      </c>
      <c r="J71" s="40">
        <v>25.299847</v>
      </c>
      <c r="K71" s="47">
        <v>18.636203999999999</v>
      </c>
      <c r="L71" s="47">
        <v>21.721436000000001</v>
      </c>
      <c r="M71" s="47">
        <v>18.325984999999999</v>
      </c>
      <c r="N71" s="47">
        <v>20.979427000000001</v>
      </c>
    </row>
    <row r="72" spans="1:14" x14ac:dyDescent="0.35">
      <c r="A72" s="2">
        <v>43899</v>
      </c>
      <c r="B72" s="40">
        <v>4.9172997000000001</v>
      </c>
      <c r="C72" s="40">
        <v>-14.618736</v>
      </c>
      <c r="D72" s="40">
        <v>-10.507649000000001</v>
      </c>
      <c r="E72" s="40">
        <v>-9.2183109999999999</v>
      </c>
      <c r="F72" s="40">
        <v>-4.4583560000000002</v>
      </c>
      <c r="G72" s="40">
        <v>7.4153184999999997</v>
      </c>
      <c r="H72" s="40">
        <v>-15.288710999999999</v>
      </c>
      <c r="I72" s="40">
        <v>14.016867</v>
      </c>
      <c r="J72" s="40">
        <v>1.8065690999999999</v>
      </c>
      <c r="K72" s="47">
        <v>-8.3788394999999998</v>
      </c>
      <c r="L72" s="47">
        <v>0.57433844000000001</v>
      </c>
      <c r="M72" s="47">
        <v>-1.7936945</v>
      </c>
      <c r="N72" s="47">
        <v>-10.4576645</v>
      </c>
    </row>
    <row r="73" spans="1:14" x14ac:dyDescent="0.35">
      <c r="A73" s="2">
        <v>43930</v>
      </c>
      <c r="B73" s="40">
        <v>-5.511469</v>
      </c>
      <c r="C73" s="40">
        <v>-19.717137999999998</v>
      </c>
      <c r="D73" s="40">
        <v>-16.062646999999998</v>
      </c>
      <c r="E73" s="40">
        <v>-14.388919</v>
      </c>
      <c r="F73" s="40">
        <v>-6.3684820000000002</v>
      </c>
      <c r="G73" s="40">
        <v>3.6839724</v>
      </c>
      <c r="H73" s="40">
        <v>-22.542137</v>
      </c>
      <c r="I73" s="40">
        <v>9.8089220000000008</v>
      </c>
      <c r="J73" s="40">
        <v>-1.1659801000000001</v>
      </c>
      <c r="K73" s="47">
        <v>-16.645605</v>
      </c>
      <c r="L73" s="47">
        <v>-7.4298023999999998</v>
      </c>
      <c r="M73" s="47">
        <v>-12.200265999999999</v>
      </c>
      <c r="N73" s="47">
        <v>-20.528275000000001</v>
      </c>
    </row>
    <row r="74" spans="1:14" x14ac:dyDescent="0.35">
      <c r="A74" s="2">
        <v>43959</v>
      </c>
      <c r="B74" s="40">
        <v>1.3747811000000001</v>
      </c>
      <c r="C74" s="40">
        <v>-17.706410999999999</v>
      </c>
      <c r="D74" s="40">
        <v>-10.530925</v>
      </c>
      <c r="E74" s="40">
        <v>-14.485491</v>
      </c>
      <c r="F74" s="40">
        <v>-1.1240779999999999</v>
      </c>
      <c r="G74" s="40">
        <v>6.4263104999999996</v>
      </c>
      <c r="H74" s="40">
        <v>-19.709365999999999</v>
      </c>
      <c r="I74" s="40">
        <v>22.075939999999999</v>
      </c>
      <c r="J74" s="40">
        <v>3.8134575000000002</v>
      </c>
      <c r="K74" s="47">
        <v>-16.311406999999999</v>
      </c>
      <c r="L74" s="47">
        <v>-3.877008</v>
      </c>
      <c r="M74" s="47">
        <v>-5.6687713000000004</v>
      </c>
      <c r="N74" s="47">
        <v>-21.05227</v>
      </c>
    </row>
    <row r="75" spans="1:14" x14ac:dyDescent="0.35">
      <c r="A75" s="2">
        <v>43991</v>
      </c>
      <c r="B75" s="40">
        <v>11.554586</v>
      </c>
      <c r="C75" s="40">
        <v>-5.4638624</v>
      </c>
      <c r="D75" s="40">
        <v>-1.8855035</v>
      </c>
      <c r="E75" s="40">
        <v>4.1046977</v>
      </c>
      <c r="F75" s="40">
        <v>8.1523059999999994</v>
      </c>
      <c r="G75" s="40">
        <v>8.9989659999999994</v>
      </c>
      <c r="H75" s="40">
        <v>-12.335926000000001</v>
      </c>
      <c r="I75" s="40">
        <v>35.537982999999997</v>
      </c>
      <c r="J75" s="40">
        <v>13.8299465</v>
      </c>
      <c r="K75" s="47">
        <v>-3.1299709999999998</v>
      </c>
      <c r="L75" s="47">
        <v>9.2346909999999998</v>
      </c>
      <c r="M75" s="47">
        <v>10.182487500000001</v>
      </c>
      <c r="N75" s="47">
        <v>-3.9654493</v>
      </c>
    </row>
    <row r="76" spans="1:14" x14ac:dyDescent="0.35">
      <c r="A76" s="2">
        <v>44021</v>
      </c>
      <c r="B76" s="40">
        <v>10.358905999999999</v>
      </c>
      <c r="C76" s="40">
        <v>-10.345596</v>
      </c>
      <c r="D76" s="40">
        <v>-8.2384699999999995</v>
      </c>
      <c r="E76" s="40">
        <v>0.97013709999999997</v>
      </c>
      <c r="F76" s="40">
        <v>2.8015256000000002</v>
      </c>
      <c r="G76" s="40">
        <v>9.1315860000000004</v>
      </c>
      <c r="H76" s="40">
        <v>-17.294824999999999</v>
      </c>
      <c r="I76" s="40">
        <v>38.618552999999999</v>
      </c>
      <c r="J76" s="40">
        <v>7.9268216999999996</v>
      </c>
      <c r="K76" s="47">
        <v>-8.822203</v>
      </c>
      <c r="L76" s="47">
        <v>11.187696000000001</v>
      </c>
      <c r="M76" s="47">
        <v>6.4481140000000003</v>
      </c>
      <c r="N76" s="47">
        <v>-11.454177</v>
      </c>
    </row>
    <row r="77" spans="1:14" x14ac:dyDescent="0.35">
      <c r="A77" s="2">
        <v>44050</v>
      </c>
      <c r="B77" s="40">
        <v>13.852083</v>
      </c>
      <c r="C77" s="40">
        <v>-0.67781806</v>
      </c>
      <c r="D77" s="40">
        <v>2.7961969999999998</v>
      </c>
      <c r="E77" s="40">
        <v>12.526762</v>
      </c>
      <c r="F77" s="40">
        <v>6.2487839999999997</v>
      </c>
      <c r="G77" s="40">
        <v>13.717138</v>
      </c>
      <c r="H77" s="40">
        <v>-8.9054699999999993</v>
      </c>
      <c r="I77" s="40">
        <v>48.523724000000001</v>
      </c>
      <c r="J77" s="40">
        <v>18.535481999999998</v>
      </c>
      <c r="K77" s="47">
        <v>-0.27852653999999999</v>
      </c>
      <c r="L77" s="47">
        <v>17.095683999999999</v>
      </c>
      <c r="M77" s="47">
        <v>25.693846000000001</v>
      </c>
      <c r="N77" s="47">
        <v>-2.1341622</v>
      </c>
    </row>
    <row r="78" spans="1:14" x14ac:dyDescent="0.35">
      <c r="A78" s="2">
        <v>44083</v>
      </c>
      <c r="B78" s="40">
        <v>10.822988</v>
      </c>
      <c r="C78" s="40">
        <v>-4.8902454000000004</v>
      </c>
      <c r="D78" s="40">
        <v>0.96105339999999995</v>
      </c>
      <c r="E78" s="40">
        <v>13.673209999999999</v>
      </c>
      <c r="F78" s="40">
        <v>6.7670225999999998</v>
      </c>
      <c r="G78" s="40">
        <v>12.712515</v>
      </c>
      <c r="H78" s="40">
        <v>-11.849826999999999</v>
      </c>
      <c r="I78" s="40">
        <v>46.512115000000001</v>
      </c>
      <c r="J78" s="40">
        <v>16.254985999999999</v>
      </c>
      <c r="K78" s="47">
        <v>-1.3104856</v>
      </c>
      <c r="L78" s="47">
        <v>12.964164999999999</v>
      </c>
      <c r="M78" s="47">
        <v>24.55883</v>
      </c>
      <c r="N78" s="47">
        <v>-5.5259999999999998</v>
      </c>
    </row>
    <row r="79" spans="1:14" x14ac:dyDescent="0.35">
      <c r="A79" s="2">
        <v>44113</v>
      </c>
      <c r="B79" s="40">
        <v>20.517624000000001</v>
      </c>
      <c r="C79" s="40">
        <v>-0.68635345000000003</v>
      </c>
      <c r="D79" s="40">
        <v>4.0280339999999999</v>
      </c>
      <c r="E79" s="40">
        <v>15.543151</v>
      </c>
      <c r="F79" s="40">
        <v>7.3044896000000001</v>
      </c>
      <c r="G79" s="40">
        <v>16.144062000000002</v>
      </c>
      <c r="H79" s="40">
        <v>-10.074597000000001</v>
      </c>
      <c r="I79" s="40">
        <v>53.739834000000002</v>
      </c>
      <c r="J79" s="40">
        <v>21.422768000000001</v>
      </c>
      <c r="K79" s="47">
        <v>-0.43291449999999998</v>
      </c>
      <c r="L79" s="47">
        <v>20.052123999999999</v>
      </c>
      <c r="M79" s="47">
        <v>29.537845999999998</v>
      </c>
      <c r="N79" s="47">
        <v>-4.81236</v>
      </c>
    </row>
    <row r="80" spans="1:14" x14ac:dyDescent="0.35">
      <c r="A80" s="2">
        <v>44144</v>
      </c>
      <c r="B80" s="40">
        <v>27.395226000000001</v>
      </c>
      <c r="C80" s="40">
        <v>0.37463902999999998</v>
      </c>
      <c r="D80" s="40">
        <v>-0.45937896</v>
      </c>
      <c r="E80" s="40">
        <v>2.5052310000000002</v>
      </c>
      <c r="F80" s="40">
        <v>7.7855109999999996</v>
      </c>
      <c r="G80" s="40">
        <v>10.867177999999999</v>
      </c>
      <c r="H80" s="40">
        <v>-13.404858000000001</v>
      </c>
      <c r="I80" s="40">
        <v>44.485737</v>
      </c>
      <c r="J80" s="40">
        <v>17.02261</v>
      </c>
      <c r="K80" s="47">
        <v>-1.7431258999999999</v>
      </c>
      <c r="L80" s="47">
        <v>16.176760000000002</v>
      </c>
      <c r="M80" s="47">
        <v>20.082497</v>
      </c>
      <c r="N80" s="47">
        <v>-8.4252599999999997</v>
      </c>
    </row>
    <row r="81" spans="1:14" x14ac:dyDescent="0.35">
      <c r="A81" s="2">
        <v>44174</v>
      </c>
      <c r="B81" s="40">
        <v>21.715534000000002</v>
      </c>
      <c r="C81" s="40">
        <v>8.8360900000000004</v>
      </c>
      <c r="D81" s="40">
        <v>8.8475110000000008</v>
      </c>
      <c r="E81" s="40">
        <v>9.4396710000000006</v>
      </c>
      <c r="F81" s="40">
        <v>11.096190999999999</v>
      </c>
      <c r="G81" s="40">
        <v>13.102472000000001</v>
      </c>
      <c r="H81" s="40">
        <v>-6.4964713999999999</v>
      </c>
      <c r="I81" s="40">
        <v>48.754725999999998</v>
      </c>
      <c r="J81" s="40">
        <v>19.173324999999998</v>
      </c>
      <c r="K81" s="47">
        <v>6.4465522999999996</v>
      </c>
      <c r="L81" s="47">
        <v>23.69107</v>
      </c>
      <c r="M81" s="47">
        <v>25.983309999999999</v>
      </c>
      <c r="N81" s="47">
        <v>3.8553715</v>
      </c>
    </row>
    <row r="82" spans="1:14" x14ac:dyDescent="0.35">
      <c r="A82" s="2">
        <v>44204</v>
      </c>
      <c r="B82" s="40">
        <v>24.285077999999999</v>
      </c>
      <c r="C82" s="40">
        <v>11.848295</v>
      </c>
      <c r="D82" s="40">
        <v>9.5367549999999994</v>
      </c>
      <c r="E82" s="40">
        <v>13.907289499999999</v>
      </c>
      <c r="F82" s="40">
        <v>17.807805999999999</v>
      </c>
      <c r="G82" s="40">
        <v>13.487207</v>
      </c>
      <c r="H82" s="40">
        <v>-5.2054461999999999</v>
      </c>
      <c r="I82" s="40">
        <v>47.965049999999998</v>
      </c>
      <c r="J82" s="40">
        <v>19.746172000000001</v>
      </c>
      <c r="K82" s="47">
        <v>6.7900539999999996</v>
      </c>
      <c r="L82" s="47">
        <v>28.189968</v>
      </c>
      <c r="M82" s="47">
        <v>27.832961999999998</v>
      </c>
      <c r="N82" s="47">
        <v>4.4243573999999999</v>
      </c>
    </row>
    <row r="83" spans="1:14" x14ac:dyDescent="0.35">
      <c r="A83" s="2">
        <v>44236</v>
      </c>
      <c r="B83" s="40">
        <v>21.582066999999999</v>
      </c>
      <c r="C83" s="40">
        <v>13.126219000000001</v>
      </c>
      <c r="D83" s="40">
        <v>10.926187499999999</v>
      </c>
      <c r="E83" s="40">
        <v>14.563000000000001</v>
      </c>
      <c r="F83" s="40">
        <v>20.595444000000001</v>
      </c>
      <c r="G83" s="40">
        <v>10.233891</v>
      </c>
      <c r="H83" s="40">
        <v>-5.0621150000000004</v>
      </c>
      <c r="I83" s="40">
        <v>46.548606999999997</v>
      </c>
      <c r="J83" s="40">
        <v>19.710266000000001</v>
      </c>
      <c r="K83" s="47">
        <v>6.9576979999999997</v>
      </c>
      <c r="L83" s="47">
        <v>32.291412000000001</v>
      </c>
      <c r="M83" s="47">
        <v>28.63946</v>
      </c>
      <c r="N83" s="47">
        <v>4.7136426</v>
      </c>
    </row>
    <row r="84" spans="1:14" x14ac:dyDescent="0.35">
      <c r="A84" s="2">
        <v>44264</v>
      </c>
      <c r="B84" s="40">
        <v>24.789391999999999</v>
      </c>
      <c r="C84" s="40">
        <v>47.881912</v>
      </c>
      <c r="D84" s="40">
        <v>43.290173000000003</v>
      </c>
      <c r="E84" s="40">
        <v>41.114952000000002</v>
      </c>
      <c r="F84" s="40">
        <v>38.131905000000003</v>
      </c>
      <c r="G84" s="40">
        <v>23.525928</v>
      </c>
      <c r="H84" s="40">
        <v>23.167717</v>
      </c>
      <c r="I84" s="40">
        <v>62.212265000000002</v>
      </c>
      <c r="J84" s="40">
        <v>43.871532000000002</v>
      </c>
      <c r="K84" s="47">
        <v>35.298549999999999</v>
      </c>
      <c r="L84" s="47">
        <v>58.252290000000002</v>
      </c>
      <c r="M84" s="47">
        <v>60.738956000000002</v>
      </c>
      <c r="N84" s="47">
        <v>36.519359999999999</v>
      </c>
    </row>
    <row r="85" spans="1:14" x14ac:dyDescent="0.35">
      <c r="A85" s="2">
        <v>44295</v>
      </c>
      <c r="B85" s="40">
        <v>38.204967000000003</v>
      </c>
      <c r="C85" s="40">
        <v>57.05415</v>
      </c>
      <c r="D85" s="40">
        <v>54.997109999999999</v>
      </c>
      <c r="E85" s="40">
        <v>53.651429999999998</v>
      </c>
      <c r="F85" s="40">
        <v>39.943919999999999</v>
      </c>
      <c r="G85" s="40">
        <v>29.537223999999998</v>
      </c>
      <c r="H85" s="40">
        <v>31.933605</v>
      </c>
      <c r="I85" s="40">
        <v>68.880775</v>
      </c>
      <c r="J85" s="40">
        <v>50.297927999999999</v>
      </c>
      <c r="K85" s="47">
        <v>49.798920000000003</v>
      </c>
      <c r="L85" s="47">
        <v>75.711039999999997</v>
      </c>
      <c r="M85" s="47">
        <v>78.848519999999994</v>
      </c>
      <c r="N85" s="47">
        <v>50.167538</v>
      </c>
    </row>
    <row r="86" spans="1:14" x14ac:dyDescent="0.35">
      <c r="A86" s="2">
        <v>44323</v>
      </c>
      <c r="B86" s="40">
        <v>35.013843999999999</v>
      </c>
      <c r="C86" s="40">
        <v>64.191630000000004</v>
      </c>
      <c r="D86" s="40">
        <v>55.947969999999998</v>
      </c>
      <c r="E86" s="40">
        <v>56.946266000000001</v>
      </c>
      <c r="F86" s="40">
        <v>35.807322999999997</v>
      </c>
      <c r="G86" s="40">
        <v>31.894600000000001</v>
      </c>
      <c r="H86" s="40">
        <v>39.694465999999998</v>
      </c>
      <c r="I86" s="40">
        <v>51.602997000000002</v>
      </c>
      <c r="J86" s="40">
        <v>49.09984</v>
      </c>
      <c r="K86" s="47">
        <v>61.429169999999999</v>
      </c>
      <c r="L86" s="47">
        <v>75.459816000000004</v>
      </c>
      <c r="M86" s="47">
        <v>81.326099999999997</v>
      </c>
      <c r="N86" s="47">
        <v>64.183070000000001</v>
      </c>
    </row>
    <row r="87" spans="1:14" x14ac:dyDescent="0.35">
      <c r="A87" s="2">
        <v>44356</v>
      </c>
      <c r="B87" s="40">
        <v>14.946353999999999</v>
      </c>
      <c r="C87" s="40">
        <v>36.676693</v>
      </c>
      <c r="D87" s="40">
        <v>43.883229999999998</v>
      </c>
      <c r="E87" s="40">
        <v>30.793296999999999</v>
      </c>
      <c r="F87" s="40">
        <v>21.207666</v>
      </c>
      <c r="G87" s="40">
        <v>28.431463000000001</v>
      </c>
      <c r="H87" s="40">
        <v>26.715744000000001</v>
      </c>
      <c r="I87" s="40">
        <v>39.310420000000001</v>
      </c>
      <c r="J87" s="40">
        <v>33.561768000000001</v>
      </c>
      <c r="K87" s="47">
        <v>39.715862000000001</v>
      </c>
      <c r="L87" s="47">
        <v>53.664909999999999</v>
      </c>
      <c r="M87" s="47">
        <v>54.897464999999997</v>
      </c>
      <c r="N87" s="47">
        <v>39.298070000000003</v>
      </c>
    </row>
    <row r="88" spans="1:14" x14ac:dyDescent="0.35">
      <c r="A88" s="2">
        <v>44386</v>
      </c>
      <c r="B88" s="40">
        <v>10.754860000000001</v>
      </c>
      <c r="C88" s="40">
        <v>37.603316999999997</v>
      </c>
      <c r="D88" s="40">
        <v>46.558059999999998</v>
      </c>
      <c r="E88" s="40">
        <v>29.494976000000001</v>
      </c>
      <c r="F88" s="40">
        <v>25.662600999999999</v>
      </c>
      <c r="G88" s="40">
        <v>26.042128000000002</v>
      </c>
      <c r="H88" s="40">
        <v>32.492935000000003</v>
      </c>
      <c r="I88" s="40">
        <v>38.476405999999997</v>
      </c>
      <c r="J88" s="40">
        <v>40.612377000000002</v>
      </c>
      <c r="K88" s="47">
        <v>39.728749999999998</v>
      </c>
      <c r="L88" s="47">
        <v>44.115270000000002</v>
      </c>
      <c r="M88" s="47">
        <v>51.862845999999998</v>
      </c>
      <c r="N88" s="47">
        <v>34.666156999999998</v>
      </c>
    </row>
    <row r="89" spans="1:14" x14ac:dyDescent="0.35">
      <c r="A89" s="2">
        <v>44417</v>
      </c>
      <c r="B89" s="40">
        <v>6.2233090000000004</v>
      </c>
      <c r="C89" s="40">
        <v>31.59151</v>
      </c>
      <c r="D89" s="40">
        <v>36.209656000000003</v>
      </c>
      <c r="E89" s="40">
        <v>22.201060999999999</v>
      </c>
      <c r="F89" s="40">
        <v>22.401904999999999</v>
      </c>
      <c r="G89" s="40">
        <v>24.310244000000001</v>
      </c>
      <c r="H89" s="40">
        <v>28.849769999999999</v>
      </c>
      <c r="I89" s="40">
        <v>36.597490000000001</v>
      </c>
      <c r="J89" s="40">
        <v>34.132313000000003</v>
      </c>
      <c r="K89" s="47">
        <v>37.896895999999998</v>
      </c>
      <c r="L89" s="47">
        <v>46.329093999999998</v>
      </c>
      <c r="M89" s="47">
        <v>42.309497999999998</v>
      </c>
      <c r="N89" s="47">
        <v>32.651829999999997</v>
      </c>
    </row>
    <row r="90" spans="1:14" x14ac:dyDescent="0.35">
      <c r="A90" s="2">
        <v>44448</v>
      </c>
      <c r="B90" s="40">
        <v>10.086155</v>
      </c>
      <c r="C90" s="40">
        <v>29.701674000000001</v>
      </c>
      <c r="D90" s="40">
        <v>35.231994999999998</v>
      </c>
      <c r="E90" s="40">
        <v>16.893923000000001</v>
      </c>
      <c r="F90" s="40">
        <v>27.596927999999998</v>
      </c>
      <c r="G90" s="40">
        <v>20.200061999999999</v>
      </c>
      <c r="H90" s="40">
        <v>27.622627000000001</v>
      </c>
      <c r="I90" s="40">
        <v>37.333416</v>
      </c>
      <c r="J90" s="40">
        <v>34.117924000000002</v>
      </c>
      <c r="K90" s="47">
        <v>33.879829999999998</v>
      </c>
      <c r="L90" s="47">
        <v>52.566920000000003</v>
      </c>
      <c r="M90" s="47">
        <v>36.762154000000002</v>
      </c>
      <c r="N90" s="47">
        <v>29.643177000000001</v>
      </c>
    </row>
    <row r="91" spans="1:14" x14ac:dyDescent="0.35">
      <c r="A91" s="2">
        <v>44477</v>
      </c>
      <c r="B91" s="40">
        <v>4.4959188000000001</v>
      </c>
      <c r="C91" s="40">
        <v>25.877953000000002</v>
      </c>
      <c r="D91" s="40">
        <v>34.985849999999999</v>
      </c>
      <c r="E91" s="40">
        <v>12.202013000000001</v>
      </c>
      <c r="F91" s="40">
        <v>15.395951</v>
      </c>
      <c r="G91" s="40">
        <v>16.3324</v>
      </c>
      <c r="H91" s="40">
        <v>29.070377000000001</v>
      </c>
      <c r="I91" s="40">
        <v>29.026115000000001</v>
      </c>
      <c r="J91" s="40">
        <v>29.173220000000001</v>
      </c>
      <c r="K91" s="47">
        <v>32.328487000000003</v>
      </c>
      <c r="L91" s="47">
        <v>38.260615999999999</v>
      </c>
      <c r="M91" s="47">
        <v>27.569199000000001</v>
      </c>
      <c r="N91" s="47">
        <v>30.912852999999998</v>
      </c>
    </row>
    <row r="92" spans="1:14" x14ac:dyDescent="0.35">
      <c r="A92" s="2">
        <v>44509</v>
      </c>
      <c r="B92" s="40">
        <v>-0.48459172</v>
      </c>
      <c r="C92" s="40">
        <v>21.704758000000002</v>
      </c>
      <c r="D92" s="40">
        <v>41.735720000000001</v>
      </c>
      <c r="E92" s="40">
        <v>20.50526</v>
      </c>
      <c r="F92" s="40">
        <v>11.4124775</v>
      </c>
      <c r="G92" s="40">
        <v>23.893654000000002</v>
      </c>
      <c r="H92" s="40">
        <v>26.188110000000002</v>
      </c>
      <c r="I92" s="40">
        <v>37.716197999999999</v>
      </c>
      <c r="J92" s="40">
        <v>33.689774</v>
      </c>
      <c r="K92" s="47">
        <v>33.163116000000002</v>
      </c>
      <c r="L92" s="47">
        <v>42.359699999999997</v>
      </c>
      <c r="M92" s="47">
        <v>32.333530000000003</v>
      </c>
      <c r="N92" s="47">
        <v>30.807579</v>
      </c>
    </row>
    <row r="93" spans="1:14" x14ac:dyDescent="0.35">
      <c r="A93" s="2">
        <v>44539</v>
      </c>
      <c r="B93" s="40">
        <v>-9.8882969999999997</v>
      </c>
      <c r="C93" s="40">
        <v>8.6801639999999995</v>
      </c>
      <c r="D93" s="40">
        <v>23.712026999999999</v>
      </c>
      <c r="E93" s="40">
        <v>7.5095533999999997</v>
      </c>
      <c r="F93" s="40">
        <v>5.1769853000000001</v>
      </c>
      <c r="G93" s="40">
        <v>19.231532999999999</v>
      </c>
      <c r="H93" s="40">
        <v>13.968635000000001</v>
      </c>
      <c r="I93" s="40">
        <v>31.371901999999999</v>
      </c>
      <c r="J93" s="40">
        <v>28.92624</v>
      </c>
      <c r="K93" s="47">
        <v>19.063949999999998</v>
      </c>
      <c r="L93" s="47">
        <v>22.894895999999999</v>
      </c>
      <c r="M93" s="47">
        <v>19.884003</v>
      </c>
      <c r="N93" s="47">
        <v>13.768840000000001</v>
      </c>
    </row>
    <row r="94" spans="1:14" x14ac:dyDescent="0.35">
      <c r="A94" s="2">
        <v>44568</v>
      </c>
      <c r="B94" s="40">
        <v>-17.040735000000002</v>
      </c>
      <c r="C94" s="40">
        <v>4.7062993000000004</v>
      </c>
      <c r="D94" s="40">
        <v>21.44556</v>
      </c>
      <c r="E94" s="40">
        <v>3.6432981</v>
      </c>
      <c r="F94" s="40">
        <v>1.6283988999999999E-2</v>
      </c>
      <c r="G94" s="40">
        <v>16.900919999999999</v>
      </c>
      <c r="H94" s="40">
        <v>14.349102999999999</v>
      </c>
      <c r="I94" s="40">
        <v>21.179698999999999</v>
      </c>
      <c r="J94" s="40">
        <v>24.601078000000001</v>
      </c>
      <c r="K94" s="47">
        <v>19.343817000000001</v>
      </c>
      <c r="L94" s="47">
        <v>17.723633</v>
      </c>
      <c r="M94" s="47">
        <v>16.171492000000001</v>
      </c>
      <c r="N94" s="47">
        <v>12.073064</v>
      </c>
    </row>
    <row r="95" spans="1:14" x14ac:dyDescent="0.35">
      <c r="A95" s="2">
        <v>44601</v>
      </c>
      <c r="B95" s="40">
        <v>-15.895492000000001</v>
      </c>
      <c r="C95" s="40">
        <v>1.5117407</v>
      </c>
      <c r="D95" s="40">
        <v>22.501076000000001</v>
      </c>
      <c r="E95" s="40">
        <v>2.2030115000000001</v>
      </c>
      <c r="F95" s="40">
        <v>-5.6339082999999999</v>
      </c>
      <c r="G95" s="40">
        <v>12.277328499999999</v>
      </c>
      <c r="H95" s="40">
        <v>20.385849</v>
      </c>
      <c r="I95" s="40">
        <v>10.491001000000001</v>
      </c>
      <c r="J95" s="40">
        <v>18.820656</v>
      </c>
      <c r="K95" s="47">
        <v>19.2819</v>
      </c>
      <c r="L95" s="47">
        <v>7.7637076</v>
      </c>
      <c r="M95" s="47">
        <v>8.5609319999999993</v>
      </c>
      <c r="N95" s="47">
        <v>11.059416000000001</v>
      </c>
    </row>
    <row r="96" spans="1:14" x14ac:dyDescent="0.35">
      <c r="A96" s="2">
        <v>44629</v>
      </c>
      <c r="B96" s="40">
        <v>-10.566157</v>
      </c>
      <c r="C96" s="40">
        <v>1.8362999</v>
      </c>
      <c r="D96" s="40">
        <v>16.977405999999998</v>
      </c>
      <c r="E96" s="40">
        <v>-13.322782500000001</v>
      </c>
      <c r="F96" s="40">
        <v>-10.496437</v>
      </c>
      <c r="G96" s="40">
        <v>7.8872679999999997</v>
      </c>
      <c r="H96" s="40">
        <v>6.815493</v>
      </c>
      <c r="I96" s="40">
        <v>7.9659700000000004</v>
      </c>
      <c r="J96" s="40">
        <v>11.879039000000001</v>
      </c>
      <c r="K96" s="47">
        <v>1.3637066</v>
      </c>
      <c r="L96" s="47">
        <v>-8.266038</v>
      </c>
      <c r="M96" s="47">
        <v>-13.301462000000001</v>
      </c>
      <c r="N96" s="47">
        <v>-5.6893706000000002</v>
      </c>
    </row>
    <row r="97" spans="1:14" x14ac:dyDescent="0.35">
      <c r="A97" s="2">
        <v>44659</v>
      </c>
      <c r="B97" s="40">
        <v>-11.181438</v>
      </c>
      <c r="C97" s="40">
        <v>9.4609020000000008</v>
      </c>
      <c r="D97" s="40">
        <v>16.290188000000001</v>
      </c>
      <c r="E97" s="40">
        <v>-17.716902000000001</v>
      </c>
      <c r="F97" s="40">
        <v>-12.326789</v>
      </c>
      <c r="G97" s="40">
        <v>10.346270000000001</v>
      </c>
      <c r="H97" s="40">
        <v>10.944664</v>
      </c>
      <c r="I97" s="40">
        <v>4.7014950000000004</v>
      </c>
      <c r="J97" s="40">
        <v>11.010349</v>
      </c>
      <c r="K97" s="47">
        <v>-1.3968765999999999</v>
      </c>
      <c r="L97" s="47">
        <v>-13.505405</v>
      </c>
      <c r="M97" s="47">
        <v>-11.348539000000001</v>
      </c>
      <c r="N97" s="47">
        <v>-5.9240874999999997</v>
      </c>
    </row>
    <row r="98" spans="1:14" x14ac:dyDescent="0.35">
      <c r="A98" s="2">
        <v>44690</v>
      </c>
      <c r="B98" s="40">
        <v>-27.182013000000001</v>
      </c>
      <c r="C98" s="40">
        <v>-8.5379660000000008</v>
      </c>
      <c r="D98" s="40">
        <v>-2.0137429999999998</v>
      </c>
      <c r="E98" s="40">
        <v>-27.980757000000001</v>
      </c>
      <c r="F98" s="40">
        <v>-18.576312999999999</v>
      </c>
      <c r="G98" s="40">
        <v>-7.7021119999999996</v>
      </c>
      <c r="H98" s="40">
        <v>-5.3154287</v>
      </c>
      <c r="I98" s="40">
        <v>-10.657394</v>
      </c>
      <c r="J98" s="40">
        <v>-4.4240893999999997</v>
      </c>
      <c r="K98" s="47">
        <v>-14.549702999999999</v>
      </c>
      <c r="L98" s="47">
        <v>-26.658422000000002</v>
      </c>
      <c r="M98" s="47">
        <v>-28.626823000000002</v>
      </c>
      <c r="N98" s="47">
        <v>-17.821390000000001</v>
      </c>
    </row>
    <row r="99" spans="1:14" x14ac:dyDescent="0.35">
      <c r="A99" s="2">
        <v>44721</v>
      </c>
      <c r="B99" s="40">
        <v>-23.135334</v>
      </c>
      <c r="C99" s="40">
        <v>-7.9225244999999997</v>
      </c>
      <c r="D99" s="40">
        <v>2.9623508E-2</v>
      </c>
      <c r="E99" s="40">
        <v>-24.978463999999999</v>
      </c>
      <c r="F99" s="40">
        <v>-16.635586</v>
      </c>
      <c r="G99" s="40">
        <v>-13.28795</v>
      </c>
      <c r="H99" s="40">
        <v>-0.92664959999999996</v>
      </c>
      <c r="I99" s="40">
        <v>-10.686415999999999</v>
      </c>
      <c r="J99" s="40">
        <v>-3.5317539999999998</v>
      </c>
      <c r="K99" s="47">
        <v>-12.90484</v>
      </c>
      <c r="L99" s="47">
        <v>-22.664290999999999</v>
      </c>
      <c r="M99" s="47">
        <v>-24.448512999999998</v>
      </c>
      <c r="N99" s="47">
        <v>-17.853086000000001</v>
      </c>
    </row>
    <row r="100" spans="1:14" x14ac:dyDescent="0.35">
      <c r="A100" s="2">
        <v>44750</v>
      </c>
      <c r="B100" s="40">
        <v>-23.475193000000001</v>
      </c>
      <c r="C100" s="40">
        <v>-11.172563</v>
      </c>
      <c r="D100" s="40">
        <v>-6.1022400000000001</v>
      </c>
      <c r="E100" s="40">
        <v>-31.294143999999999</v>
      </c>
      <c r="F100" s="40">
        <v>-17.518312000000002</v>
      </c>
      <c r="G100" s="40">
        <v>-13.926906000000001</v>
      </c>
      <c r="H100" s="40">
        <v>-5.1102040000000004</v>
      </c>
      <c r="I100" s="40">
        <v>-17.220234000000001</v>
      </c>
      <c r="J100" s="40">
        <v>-8.5191359999999996</v>
      </c>
      <c r="K100" s="47">
        <v>-15.783858</v>
      </c>
      <c r="L100" s="47">
        <v>-25.740265000000001</v>
      </c>
      <c r="M100" s="47">
        <v>-29.345364</v>
      </c>
      <c r="N100" s="47">
        <v>-21.646791</v>
      </c>
    </row>
    <row r="101" spans="1:14" x14ac:dyDescent="0.35">
      <c r="A101" s="2">
        <v>44782</v>
      </c>
      <c r="B101" s="40">
        <v>-17.878782000000001</v>
      </c>
      <c r="C101" s="40">
        <v>-8.6238270000000004</v>
      </c>
      <c r="D101" s="40">
        <v>-4.9140269999999999</v>
      </c>
      <c r="E101" s="40">
        <v>-29.657024</v>
      </c>
      <c r="F101" s="40">
        <v>-17.365814</v>
      </c>
      <c r="G101" s="40">
        <v>-12.653195999999999</v>
      </c>
      <c r="H101" s="40">
        <v>-3.0486404999999999</v>
      </c>
      <c r="I101" s="40">
        <v>-13.530360999999999</v>
      </c>
      <c r="J101" s="40">
        <v>-5.6357739999999996</v>
      </c>
      <c r="K101" s="47">
        <v>-13.482761</v>
      </c>
      <c r="L101" s="47">
        <v>-25.662977000000001</v>
      </c>
      <c r="M101" s="47">
        <v>-27.791231</v>
      </c>
      <c r="N101" s="47">
        <v>-22.355640000000001</v>
      </c>
    </row>
    <row r="102" spans="1:14" x14ac:dyDescent="0.35">
      <c r="A102" s="2">
        <v>44813</v>
      </c>
      <c r="B102" s="40">
        <v>-22.733889999999999</v>
      </c>
      <c r="C102" s="40">
        <v>-7.9918680000000002</v>
      </c>
      <c r="D102" s="40">
        <v>-5.0531683000000003</v>
      </c>
      <c r="E102" s="40">
        <v>-32.484200000000001</v>
      </c>
      <c r="F102" s="40">
        <v>-25.503195000000002</v>
      </c>
      <c r="G102" s="40">
        <v>-14.36016</v>
      </c>
      <c r="H102" s="40">
        <v>-6.2338829999999996</v>
      </c>
      <c r="I102" s="40">
        <v>-18.6249</v>
      </c>
      <c r="J102" s="40">
        <v>-8.1485029999999998</v>
      </c>
      <c r="K102" s="47">
        <v>-17.543310000000002</v>
      </c>
      <c r="L102" s="47">
        <v>-32.938479999999998</v>
      </c>
      <c r="M102" s="47">
        <v>-31.514894000000002</v>
      </c>
      <c r="N102" s="47">
        <v>-23.757719999999999</v>
      </c>
    </row>
    <row r="103" spans="1:14" x14ac:dyDescent="0.35">
      <c r="A103" s="2">
        <v>44841</v>
      </c>
      <c r="B103" s="40">
        <v>-31.843626</v>
      </c>
      <c r="C103" s="40">
        <v>-15.330577</v>
      </c>
      <c r="D103" s="40">
        <v>-15.063226999999999</v>
      </c>
      <c r="E103" s="40">
        <v>-36.433050000000001</v>
      </c>
      <c r="F103" s="40">
        <v>-25.238192000000002</v>
      </c>
      <c r="G103" s="40">
        <v>-19.168769999999999</v>
      </c>
      <c r="H103" s="40">
        <v>-14.595777</v>
      </c>
      <c r="I103" s="40">
        <v>-25.401848000000001</v>
      </c>
      <c r="J103" s="40">
        <v>-16.041481000000001</v>
      </c>
      <c r="K103" s="47">
        <v>-23.097169999999998</v>
      </c>
      <c r="L103" s="47">
        <v>-36.635010000000001</v>
      </c>
      <c r="M103" s="47">
        <v>-36.15728</v>
      </c>
      <c r="N103" s="47">
        <v>-29.157240000000002</v>
      </c>
    </row>
    <row r="104" spans="1:14" x14ac:dyDescent="0.35">
      <c r="A104" s="2">
        <v>44874</v>
      </c>
      <c r="B104" s="40">
        <v>-30.040323000000001</v>
      </c>
      <c r="C104" s="40">
        <v>-14.299833</v>
      </c>
      <c r="D104" s="40">
        <v>-15.462279000000001</v>
      </c>
      <c r="E104" s="40">
        <v>-31.874662000000001</v>
      </c>
      <c r="F104" s="40">
        <v>-25.178177000000002</v>
      </c>
      <c r="G104" s="40">
        <v>-20.500260999999998</v>
      </c>
      <c r="H104" s="40">
        <v>-11.463756</v>
      </c>
      <c r="I104" s="40">
        <v>-32.977561999999999</v>
      </c>
      <c r="J104" s="40">
        <v>-18.737555</v>
      </c>
      <c r="K104" s="47">
        <v>-19.736135000000001</v>
      </c>
      <c r="L104" s="47">
        <v>-35.130153999999997</v>
      </c>
      <c r="M104" s="47">
        <v>-33.473545000000001</v>
      </c>
      <c r="N104" s="47">
        <v>-21.727758000000001</v>
      </c>
    </row>
    <row r="105" spans="1:14" x14ac:dyDescent="0.35">
      <c r="A105" s="2">
        <v>44904</v>
      </c>
      <c r="B105" s="40">
        <v>-13.236737</v>
      </c>
      <c r="C105" s="40">
        <v>-1.6259729999999999</v>
      </c>
      <c r="D105" s="40">
        <v>-9.262556</v>
      </c>
      <c r="E105" s="40">
        <v>-19.230174999999999</v>
      </c>
      <c r="F105" s="40">
        <v>-17.252289999999999</v>
      </c>
      <c r="G105" s="40">
        <v>-14.3558445</v>
      </c>
      <c r="H105" s="40">
        <v>-0.14573336000000001</v>
      </c>
      <c r="I105" s="40">
        <v>-27.922893999999999</v>
      </c>
      <c r="J105" s="40">
        <v>-14.389431</v>
      </c>
      <c r="K105" s="47">
        <v>-8.5081939999999996</v>
      </c>
      <c r="L105" s="47">
        <v>-19.519901000000001</v>
      </c>
      <c r="M105" s="47">
        <v>-22.220504999999999</v>
      </c>
      <c r="N105" s="47">
        <v>-11.833095999999999</v>
      </c>
    </row>
    <row r="106" spans="1:14" x14ac:dyDescent="0.35">
      <c r="A106" s="2">
        <v>44935</v>
      </c>
      <c r="B106" s="40">
        <v>-13.615030000000001</v>
      </c>
      <c r="C106" s="40">
        <v>-1.7233729</v>
      </c>
      <c r="D106" s="40">
        <v>-9.4193160000000002</v>
      </c>
      <c r="E106" s="40">
        <v>-16.807210000000001</v>
      </c>
      <c r="F106" s="40">
        <v>-16.678888000000001</v>
      </c>
      <c r="G106" s="40">
        <v>-13.80912</v>
      </c>
      <c r="H106" s="40">
        <v>-3.3017813999999999</v>
      </c>
      <c r="I106" s="40">
        <v>-28.255807999999998</v>
      </c>
      <c r="J106" s="40">
        <v>-15.430474</v>
      </c>
      <c r="K106" s="47">
        <v>-7.7538133</v>
      </c>
      <c r="L106" s="47">
        <v>-16.625969999999999</v>
      </c>
      <c r="M106" s="47">
        <v>-22.410435</v>
      </c>
      <c r="N106" s="47">
        <v>-9.7414489999999994</v>
      </c>
    </row>
    <row r="107" spans="1:14" x14ac:dyDescent="0.35">
      <c r="A107" s="2">
        <v>44966</v>
      </c>
      <c r="B107" s="40">
        <v>-5.5139303000000002</v>
      </c>
      <c r="C107" s="40">
        <v>5.8505297000000001</v>
      </c>
      <c r="D107" s="40">
        <v>-8.7156950000000002</v>
      </c>
      <c r="E107" s="40">
        <v>-11.068249</v>
      </c>
      <c r="F107" s="40">
        <v>-10.737074</v>
      </c>
      <c r="G107" s="40">
        <v>-8.6727319999999999</v>
      </c>
      <c r="H107" s="40">
        <v>-3.3901810000000001</v>
      </c>
      <c r="I107" s="40">
        <v>-17.133521999999999</v>
      </c>
      <c r="J107" s="40">
        <v>-9.5788480000000007</v>
      </c>
      <c r="K107" s="47">
        <v>-3.1233727999999998</v>
      </c>
      <c r="L107" s="47">
        <v>-9.4765720000000009</v>
      </c>
      <c r="M107" s="47">
        <v>-15.351694999999999</v>
      </c>
      <c r="N107" s="47">
        <v>-3.8914620000000002</v>
      </c>
    </row>
    <row r="108" spans="1:14" x14ac:dyDescent="0.35">
      <c r="A108" s="2">
        <v>44994</v>
      </c>
      <c r="B108" s="40">
        <v>-10.507274000000001</v>
      </c>
      <c r="C108" s="40">
        <v>-2.4686515</v>
      </c>
      <c r="D108" s="40">
        <v>-11.264383</v>
      </c>
      <c r="E108" s="40">
        <v>2.5307894000000002</v>
      </c>
      <c r="F108" s="40">
        <v>-2.6590585999999998</v>
      </c>
      <c r="G108" s="40">
        <v>-5.6314229999999998</v>
      </c>
      <c r="H108" s="40">
        <v>2.2341489999999999</v>
      </c>
      <c r="I108" s="40">
        <v>-11.994386</v>
      </c>
      <c r="J108" s="40">
        <v>-6.8972882999999996</v>
      </c>
      <c r="K108" s="47">
        <v>11.181687999999999</v>
      </c>
      <c r="L108" s="47">
        <v>1.6349553999999999</v>
      </c>
      <c r="M108" s="47">
        <v>-1.9621611000000001</v>
      </c>
      <c r="N108" s="47">
        <v>10.560632</v>
      </c>
    </row>
    <row r="109" spans="1:14" x14ac:dyDescent="0.35">
      <c r="A109" s="2">
        <v>45022</v>
      </c>
      <c r="B109" s="40">
        <v>-8.2172929999999997</v>
      </c>
      <c r="C109" s="40">
        <v>-8.5849820000000001</v>
      </c>
      <c r="D109" s="40">
        <v>-11.619967000000001</v>
      </c>
      <c r="E109" s="40">
        <v>6.8271280000000001</v>
      </c>
      <c r="F109" s="40">
        <v>-2.3120582000000001</v>
      </c>
      <c r="G109" s="40">
        <v>-4.1439830000000004</v>
      </c>
      <c r="H109" s="40">
        <v>0.53168534999999995</v>
      </c>
      <c r="I109" s="40">
        <v>-9.2781725000000002</v>
      </c>
      <c r="J109" s="40">
        <v>-6.7960500000000001</v>
      </c>
      <c r="K109" s="47">
        <v>15.747368</v>
      </c>
      <c r="L109" s="47">
        <v>3.8663029999999998</v>
      </c>
      <c r="M109" s="47">
        <v>-6.3638089999999998</v>
      </c>
      <c r="N109" s="47">
        <v>11.941921000000001</v>
      </c>
    </row>
    <row r="110" spans="1:14" x14ac:dyDescent="0.35">
      <c r="A110" s="2">
        <v>45055</v>
      </c>
      <c r="B110" s="40">
        <v>9.8727699999999992</v>
      </c>
      <c r="C110" s="40">
        <v>4.6112060000000001</v>
      </c>
      <c r="D110" s="40">
        <v>2.5600076</v>
      </c>
      <c r="E110" s="40">
        <v>21.052741999999999</v>
      </c>
      <c r="F110" s="40">
        <v>10.296106</v>
      </c>
      <c r="G110" s="40">
        <v>15.221261999999999</v>
      </c>
      <c r="H110" s="40">
        <v>13.221121</v>
      </c>
      <c r="I110" s="40">
        <v>9.069979</v>
      </c>
      <c r="J110" s="40">
        <v>4.9662113000000003</v>
      </c>
      <c r="K110" s="47">
        <v>28.043163</v>
      </c>
      <c r="L110" s="47">
        <v>18.861462</v>
      </c>
      <c r="M110" s="47">
        <v>15.545786</v>
      </c>
      <c r="N110" s="47">
        <v>26.621282999999998</v>
      </c>
    </row>
    <row r="111" spans="1:14" x14ac:dyDescent="0.35">
      <c r="A111" s="2">
        <v>45086</v>
      </c>
      <c r="B111" s="40">
        <v>3.7522196999999999</v>
      </c>
      <c r="C111" s="40">
        <v>0.85567236000000002</v>
      </c>
      <c r="D111" s="40">
        <v>-5.5985569999999996</v>
      </c>
      <c r="E111" s="40">
        <v>11.408984999999999</v>
      </c>
      <c r="F111" s="40">
        <v>12.542152</v>
      </c>
      <c r="G111" s="40">
        <v>11.12628</v>
      </c>
      <c r="H111" s="40">
        <v>5.2681922999999999</v>
      </c>
      <c r="I111" s="40">
        <v>19.309593</v>
      </c>
      <c r="J111" s="40">
        <v>8.917332</v>
      </c>
      <c r="K111" s="47">
        <v>17.667925</v>
      </c>
      <c r="L111" s="47">
        <v>13.539516000000001</v>
      </c>
      <c r="M111" s="47">
        <v>3.5046816000000001</v>
      </c>
      <c r="N111" s="47">
        <v>18.269575</v>
      </c>
    </row>
    <row r="112" spans="1:14" x14ac:dyDescent="0.35">
      <c r="A112" s="2">
        <v>45114</v>
      </c>
      <c r="B112" s="40">
        <v>10.407114</v>
      </c>
      <c r="C112" s="40">
        <v>7.1323752000000002</v>
      </c>
      <c r="D112" s="40">
        <v>4.2154550000000004</v>
      </c>
      <c r="E112" s="40">
        <v>26.837349</v>
      </c>
      <c r="F112" s="40">
        <v>16.394997</v>
      </c>
      <c r="G112" s="40">
        <v>10.85999</v>
      </c>
      <c r="H112" s="40">
        <v>9.8996879999999994</v>
      </c>
      <c r="I112" s="40">
        <v>25.044917999999999</v>
      </c>
      <c r="J112" s="40">
        <v>14.598572000000001</v>
      </c>
      <c r="K112" s="47">
        <v>29.053843000000001</v>
      </c>
      <c r="L112" s="47">
        <v>24.961292</v>
      </c>
      <c r="M112" s="47">
        <v>11.684953999999999</v>
      </c>
      <c r="N112" s="47">
        <v>38.086475</v>
      </c>
    </row>
    <row r="113" spans="1:14" x14ac:dyDescent="0.35">
      <c r="A113" s="2">
        <v>45147</v>
      </c>
      <c r="B113" s="40">
        <v>-0.83522200000000002</v>
      </c>
      <c r="C113" s="40">
        <v>3.9727687999999999</v>
      </c>
      <c r="D113" s="40">
        <v>2.4556637000000001</v>
      </c>
      <c r="E113" s="40">
        <v>23.564492999999999</v>
      </c>
      <c r="F113" s="40">
        <v>12.859201000000001</v>
      </c>
      <c r="G113" s="40">
        <v>10.535086</v>
      </c>
      <c r="H113" s="40">
        <v>9.7896210000000004</v>
      </c>
      <c r="I113" s="40">
        <v>16.859936000000001</v>
      </c>
      <c r="J113" s="40">
        <v>10.148429999999999</v>
      </c>
      <c r="K113" s="47">
        <v>23.118818000000001</v>
      </c>
      <c r="L113" s="47">
        <v>18.788815</v>
      </c>
      <c r="M113" s="47">
        <v>6.4081669999999997</v>
      </c>
      <c r="N113" s="47">
        <v>35.484659999999998</v>
      </c>
    </row>
    <row r="114" spans="1:14" x14ac:dyDescent="0.35">
      <c r="A114" s="2">
        <v>45177</v>
      </c>
      <c r="B114" s="40">
        <v>-3.9458752000000001</v>
      </c>
      <c r="C114" s="40">
        <v>3.9791941999999998</v>
      </c>
      <c r="D114" s="40">
        <v>2.3947596999999998</v>
      </c>
      <c r="E114" s="40">
        <v>27.932822999999999</v>
      </c>
      <c r="F114" s="40">
        <v>19.375778</v>
      </c>
      <c r="G114" s="40">
        <v>13.431919000000001</v>
      </c>
      <c r="H114" s="40">
        <v>14.823687</v>
      </c>
      <c r="I114" s="40">
        <v>24.864505999999999</v>
      </c>
      <c r="J114" s="40">
        <v>13.108003999999999</v>
      </c>
      <c r="K114" s="47">
        <v>27.994287</v>
      </c>
      <c r="L114" s="47">
        <v>19.212364000000001</v>
      </c>
      <c r="M114" s="47">
        <v>10.318588999999999</v>
      </c>
      <c r="N114" s="47">
        <v>39.978504000000001</v>
      </c>
    </row>
    <row r="115" spans="1:14" x14ac:dyDescent="0.35">
      <c r="A115" s="2">
        <v>45208</v>
      </c>
      <c r="B115" s="40">
        <v>10.513247</v>
      </c>
      <c r="C115" s="40">
        <v>10.589874</v>
      </c>
      <c r="D115" s="40">
        <v>8.9623340000000002</v>
      </c>
      <c r="E115" s="40">
        <v>33.218635999999996</v>
      </c>
      <c r="F115" s="40">
        <v>20.66592</v>
      </c>
      <c r="G115" s="40">
        <v>18.913532</v>
      </c>
      <c r="H115" s="40">
        <v>22.421478</v>
      </c>
      <c r="I115" s="40">
        <v>37.144435999999999</v>
      </c>
      <c r="J115" s="40">
        <v>21.05199</v>
      </c>
      <c r="K115" s="47">
        <v>32.080649999999999</v>
      </c>
      <c r="L115" s="47">
        <v>23.888897</v>
      </c>
      <c r="M115" s="47">
        <v>21.762276</v>
      </c>
      <c r="N115" s="47">
        <v>42.980229999999999</v>
      </c>
    </row>
    <row r="116" spans="1:14" x14ac:dyDescent="0.35">
      <c r="A116" s="2">
        <v>45239</v>
      </c>
      <c r="B116" s="40">
        <v>2.6408434000000001</v>
      </c>
      <c r="C116" s="40">
        <v>5.513191</v>
      </c>
      <c r="D116" s="40">
        <v>2.9816984999999998</v>
      </c>
      <c r="E116" s="40">
        <v>19.493044000000001</v>
      </c>
      <c r="F116" s="40">
        <v>18.476783999999999</v>
      </c>
      <c r="G116" s="40">
        <v>10.344576999999999</v>
      </c>
      <c r="H116" s="40">
        <v>13.497389</v>
      </c>
      <c r="I116" s="40">
        <v>41.496872000000003</v>
      </c>
      <c r="J116" s="40">
        <v>17.803740999999999</v>
      </c>
      <c r="K116" s="47">
        <v>19.025112</v>
      </c>
      <c r="L116" s="47">
        <v>18.921911000000001</v>
      </c>
      <c r="M116" s="47">
        <v>7.6616169999999997</v>
      </c>
      <c r="N116" s="47">
        <v>26.360440000000001</v>
      </c>
    </row>
    <row r="117" spans="1:14" x14ac:dyDescent="0.35">
      <c r="A117" s="2">
        <v>45268</v>
      </c>
      <c r="B117" s="40">
        <v>-4.2146682999999996</v>
      </c>
      <c r="C117" s="40">
        <v>2.0875454000000002</v>
      </c>
      <c r="D117" s="40">
        <v>5.4012180000000001</v>
      </c>
      <c r="E117" s="40">
        <v>18.044816999999998</v>
      </c>
      <c r="F117" s="40">
        <v>15.018558499999999</v>
      </c>
      <c r="G117" s="40">
        <v>10.207712000000001</v>
      </c>
      <c r="H117" s="40">
        <v>6.8457723000000001</v>
      </c>
      <c r="I117" s="40">
        <v>39.101660000000003</v>
      </c>
      <c r="J117" s="40">
        <v>17.988693000000001</v>
      </c>
      <c r="K117" s="47">
        <v>16.570996999999998</v>
      </c>
      <c r="L117" s="47">
        <v>12.038064</v>
      </c>
      <c r="M117" s="47">
        <v>11.825943000000001</v>
      </c>
      <c r="N117" s="47">
        <v>26.146495999999999</v>
      </c>
    </row>
    <row r="118" spans="1:14" x14ac:dyDescent="0.35">
      <c r="A118" s="2">
        <v>45300</v>
      </c>
      <c r="B118" s="40">
        <v>0.34397840000000002</v>
      </c>
      <c r="C118" s="40">
        <v>7.1981669999999998</v>
      </c>
      <c r="D118" s="40">
        <v>9.6276519999999994</v>
      </c>
      <c r="E118" s="40">
        <v>12.176216</v>
      </c>
      <c r="F118" s="40">
        <v>19.205248000000001</v>
      </c>
      <c r="G118" s="40">
        <v>11.319947000000001</v>
      </c>
      <c r="H118" s="40">
        <v>7.602811</v>
      </c>
      <c r="I118" s="40">
        <v>51.011158000000002</v>
      </c>
      <c r="J118" s="40">
        <v>24.048591999999999</v>
      </c>
      <c r="K118" s="47">
        <v>11.508346</v>
      </c>
      <c r="L118" s="47">
        <v>8.8401910000000008</v>
      </c>
      <c r="M118" s="47">
        <v>12.082445</v>
      </c>
      <c r="N118" s="47">
        <v>21.737183000000002</v>
      </c>
    </row>
    <row r="119" spans="1:14" x14ac:dyDescent="0.35">
      <c r="A119" s="2">
        <v>45331</v>
      </c>
      <c r="B119" s="40">
        <v>-6.625718</v>
      </c>
      <c r="C119" s="40">
        <v>1.2912034999999999</v>
      </c>
      <c r="D119" s="40">
        <v>6.0671210000000002</v>
      </c>
      <c r="E119" s="40">
        <v>6.9153665999999996</v>
      </c>
      <c r="F119" s="40">
        <v>17.747295000000001</v>
      </c>
      <c r="G119" s="40">
        <v>6.5644980000000004</v>
      </c>
      <c r="H119" s="40">
        <v>3.5190462999999998</v>
      </c>
      <c r="I119" s="40">
        <v>45.870220000000003</v>
      </c>
      <c r="J119" s="40">
        <v>25.002611000000002</v>
      </c>
      <c r="K119" s="47">
        <v>8.9891799999999993</v>
      </c>
      <c r="L119" s="47">
        <v>14.585436</v>
      </c>
      <c r="M119" s="47">
        <v>8.2196829999999999</v>
      </c>
      <c r="N119" s="47">
        <v>15.485358</v>
      </c>
    </row>
    <row r="120" spans="1:14" x14ac:dyDescent="0.35">
      <c r="A120" s="2">
        <v>45359</v>
      </c>
      <c r="B120" s="40">
        <v>-1.481849</v>
      </c>
      <c r="C120" s="40">
        <v>12.38302</v>
      </c>
      <c r="D120" s="40">
        <v>13.561476000000001</v>
      </c>
      <c r="E120" s="40">
        <v>14.86361</v>
      </c>
      <c r="F120" s="40">
        <v>26.268673</v>
      </c>
      <c r="G120" s="40">
        <v>14.364445</v>
      </c>
      <c r="H120" s="40">
        <v>8.4545019999999997</v>
      </c>
      <c r="I120" s="40">
        <v>48.426839999999999</v>
      </c>
      <c r="J120" s="40">
        <v>30.240176999999999</v>
      </c>
      <c r="K120" s="47">
        <v>14.646471</v>
      </c>
      <c r="L120" s="47">
        <v>22.209942000000002</v>
      </c>
      <c r="M120" s="47">
        <v>19.631077000000001</v>
      </c>
      <c r="N120" s="47">
        <v>24.856449999999999</v>
      </c>
    </row>
    <row r="121" spans="1:14" x14ac:dyDescent="0.35">
      <c r="A121" s="2">
        <v>45391</v>
      </c>
      <c r="B121" s="40">
        <v>-5.7638170000000004</v>
      </c>
      <c r="C121" s="40">
        <v>11.915898</v>
      </c>
      <c r="D121" s="40">
        <v>14.320124</v>
      </c>
      <c r="E121" s="40">
        <v>12.745953</v>
      </c>
      <c r="F121" s="40">
        <v>24.507881000000001</v>
      </c>
      <c r="G121" s="40">
        <v>3.3517241000000002</v>
      </c>
      <c r="H121" s="40">
        <v>8.3272460000000006</v>
      </c>
      <c r="I121" s="40">
        <v>39.969695999999999</v>
      </c>
      <c r="J121" s="40">
        <v>28.762936</v>
      </c>
      <c r="K121" s="47">
        <v>10.230446000000001</v>
      </c>
      <c r="L121" s="47">
        <v>20.819711999999999</v>
      </c>
      <c r="M121" s="47">
        <v>18.121635000000001</v>
      </c>
      <c r="N121" s="47">
        <v>24.710560000000001</v>
      </c>
    </row>
    <row r="122" spans="1:14" x14ac:dyDescent="0.35">
      <c r="A122" s="2">
        <v>45421</v>
      </c>
      <c r="B122">
        <v>-7.4812174000000002</v>
      </c>
      <c r="C122">
        <v>9.9137540000000008</v>
      </c>
      <c r="D122">
        <v>10.376537000000001</v>
      </c>
      <c r="E122">
        <v>12.660933</v>
      </c>
      <c r="F122">
        <v>16.243351000000001</v>
      </c>
      <c r="G122">
        <v>-1.9609928000000002E-3</v>
      </c>
      <c r="H122">
        <v>11.791824999999999</v>
      </c>
      <c r="I122">
        <v>38.028717</v>
      </c>
      <c r="J122">
        <v>28.427578</v>
      </c>
      <c r="K122" s="47">
        <v>10.737848</v>
      </c>
      <c r="L122" s="47">
        <v>23.110485000000001</v>
      </c>
      <c r="M122" s="47">
        <v>13.19524</v>
      </c>
      <c r="N122" s="47">
        <v>23.965527000000002</v>
      </c>
    </row>
    <row r="123" spans="1:14" x14ac:dyDescent="0.35">
      <c r="A123" s="2"/>
    </row>
    <row r="124" spans="1:14" x14ac:dyDescent="0.35">
      <c r="A124" s="2"/>
    </row>
    <row r="125" spans="1:14" x14ac:dyDescent="0.35">
      <c r="A125" s="2"/>
    </row>
    <row r="126" spans="1:14" x14ac:dyDescent="0.35">
      <c r="A126" s="2" t="s">
        <v>85</v>
      </c>
      <c r="B126" s="40" cm="1">
        <f t="array" ref="B126">MIN(_xlfn._xlws.FILTER(B2:B122, ISNUMBER(B2:B122)))</f>
        <v>-31.843626</v>
      </c>
      <c r="C126" s="40" cm="1">
        <f t="array" ref="C126">MIN(_xlfn._xlws.FILTER(C2:C122, ISNUMBER(C2:C122)))</f>
        <v>-27.461939999999998</v>
      </c>
      <c r="D126" s="40" cm="1">
        <f t="array" ref="D126">MIN(_xlfn._xlws.FILTER(D2:D122, ISNUMBER(D2:D122)))</f>
        <v>-26.546794999999999</v>
      </c>
      <c r="E126" s="40" cm="1">
        <f t="array" ref="E126">MIN(_xlfn._xlws.FILTER(E2:E122, ISNUMBER(E2:E122)))</f>
        <v>-36.433050000000001</v>
      </c>
      <c r="F126" s="40" cm="1">
        <f t="array" ref="F126">MIN(_xlfn._xlws.FILTER(F2:F122, ISNUMBER(F2:F122)))</f>
        <v>-25.503195000000002</v>
      </c>
      <c r="G126" s="40" cm="1">
        <f t="array" ref="G126">MIN(_xlfn._xlws.FILTER(G2:G122, ISNUMBER(G2:G122)))</f>
        <v>-20.500260999999998</v>
      </c>
      <c r="H126" s="40" cm="1">
        <f t="array" ref="H126">MIN(_xlfn._xlws.FILTER(H2:H122, ISNUMBER(H2:H122)))</f>
        <v>-22.542137</v>
      </c>
      <c r="I126" s="40" cm="1">
        <f t="array" ref="I126">MIN(_xlfn._xlws.FILTER(I2:I122, ISNUMBER(I2:I122)))</f>
        <v>-32.977561999999999</v>
      </c>
      <c r="J126" s="40" cm="1">
        <f t="array" ref="J126">MIN(_xlfn._xlws.FILTER(J2:J122, ISNUMBER(J2:J122)))</f>
        <v>-18.737555</v>
      </c>
      <c r="K126" s="40" cm="1">
        <f t="array" ref="K126">MIN(_xlfn._xlws.FILTER(K2:K122, ISNUMBER(K2:K122)))</f>
        <v>-23.097169999999998</v>
      </c>
      <c r="L126" s="40" cm="1">
        <f t="array" ref="L126">MIN(_xlfn._xlws.FILTER(L2:L122, ISNUMBER(L2:L122)))</f>
        <v>-36.635010000000001</v>
      </c>
      <c r="M126" s="40" cm="1">
        <f t="array" ref="M126">MIN(_xlfn._xlws.FILTER(M2:M122, ISNUMBER(M2:M122)))</f>
        <v>-36.15728</v>
      </c>
      <c r="N126" s="40" cm="1">
        <f t="array" ref="N126">MIN(_xlfn._xlws.FILTER(N2:N122, ISNUMBER(N2:N122)))</f>
        <v>-29.157240000000002</v>
      </c>
    </row>
    <row r="127" spans="1:14" x14ac:dyDescent="0.35">
      <c r="A127" s="2" t="s">
        <v>393</v>
      </c>
      <c r="B127" s="42" cm="1">
        <f t="array" ref="B127">MAX(_xlfn._xlws.FILTER(B1:B122, ISNUMBER(B1:B122)))</f>
        <v>53.034652999999999</v>
      </c>
      <c r="C127" s="42" cm="1">
        <f t="array" ref="C127">MAX(_xlfn._xlws.FILTER(C1:C122, ISNUMBER(C1:C122)))</f>
        <v>64.191630000000004</v>
      </c>
      <c r="D127" s="42" cm="1">
        <f t="array" ref="D127">MAX(_xlfn._xlws.FILTER(D1:D122, ISNUMBER(D1:D122)))</f>
        <v>55.947969999999998</v>
      </c>
      <c r="E127" s="42" cm="1">
        <f t="array" ref="E127">MAX(_xlfn._xlws.FILTER(E1:E122, ISNUMBER(E1:E122)))</f>
        <v>56.946266000000001</v>
      </c>
      <c r="F127" s="42" cm="1">
        <f t="array" ref="F127">MAX(_xlfn._xlws.FILTER(F1:F122, ISNUMBER(F1:F122)))</f>
        <v>39.943919999999999</v>
      </c>
      <c r="G127" s="42" cm="1">
        <f t="array" ref="G127">MAX(_xlfn._xlws.FILTER(G1:G122, ISNUMBER(G1:G122)))</f>
        <v>31.894600000000001</v>
      </c>
      <c r="H127" s="42" cm="1">
        <f t="array" ref="H127">MAX(_xlfn._xlws.FILTER(H1:H122, ISNUMBER(H1:H122)))</f>
        <v>39.694465999999998</v>
      </c>
      <c r="I127" s="42" cm="1">
        <f t="array" ref="I127">MAX(_xlfn._xlws.FILTER(I1:I122, ISNUMBER(I1:I122)))</f>
        <v>68.880775</v>
      </c>
      <c r="J127" s="42" cm="1">
        <f t="array" ref="J127">MAX(_xlfn._xlws.FILTER(J1:J122, ISNUMBER(J1:J122)))</f>
        <v>50.297927999999999</v>
      </c>
      <c r="K127" s="42" cm="1">
        <f t="array" ref="K127">MAX(_xlfn._xlws.FILTER(K1:K122, ISNUMBER(K1:K122)))</f>
        <v>61.429169999999999</v>
      </c>
      <c r="L127" s="42" cm="1">
        <f t="array" ref="L127">MAX(_xlfn._xlws.FILTER(L1:L122, ISNUMBER(L1:L122)))</f>
        <v>75.711039999999997</v>
      </c>
      <c r="M127" s="42" cm="1">
        <f t="array" ref="M127">MAX(_xlfn._xlws.FILTER(M1:M122, ISNUMBER(M1:M122)))</f>
        <v>81.326099999999997</v>
      </c>
      <c r="N127" s="42" cm="1">
        <f t="array" ref="N127">MAX(_xlfn._xlws.FILTER(N1:N122, ISNUMBER(N1:N122)))</f>
        <v>64.183070000000001</v>
      </c>
    </row>
    <row r="128" spans="1:14" x14ac:dyDescent="0.35">
      <c r="A128" s="2" t="s">
        <v>394</v>
      </c>
      <c r="B128" s="40" cm="1">
        <f t="array" ref="B128">MEDIAN(_xlfn._xlws.FILTER(B1:B122, ISNUMBER(B1:B122)))</f>
        <v>7.8752994999999997</v>
      </c>
      <c r="C128" s="40" cm="1">
        <f t="array" ref="C128">MEDIAN(_xlfn._xlws.FILTER(C1:C122, ISNUMBER(C1:C122)))</f>
        <v>3.5417437999999999</v>
      </c>
      <c r="D128" s="40" cm="1">
        <f t="array" ref="D128">MEDIAN(_xlfn._xlws.FILTER(D1:D122, ISNUMBER(D1:D122)))</f>
        <v>4.2154550000000004</v>
      </c>
      <c r="E128" s="40" cm="1">
        <f t="array" ref="E128">MEDIAN(_xlfn._xlws.FILTER(E1:E122, ISNUMBER(E1:E122)))</f>
        <v>3.6432981</v>
      </c>
      <c r="F128" s="40" cm="1">
        <f t="array" ref="F128">MEDIAN(_xlfn._xlws.FILTER(F1:F122, ISNUMBER(F1:F122)))</f>
        <v>6.9422006999999999</v>
      </c>
      <c r="G128" s="40" cm="1">
        <f t="array" ref="G128">MEDIAN(_xlfn._xlws.FILTER(G1:G122, ISNUMBER(G1:G122)))</f>
        <v>8.6543449999999993</v>
      </c>
      <c r="H128" s="40" cm="1">
        <f t="array" ref="H128">MEDIAN(_xlfn._xlws.FILTER(H1:H122, ISNUMBER(H1:H122)))</f>
        <v>-1.0025500999999999E-2</v>
      </c>
      <c r="I128" s="40" cm="1">
        <f t="array" ref="I128">MEDIAN(_xlfn._xlws.FILTER(I1:I122, ISNUMBER(I1:I122)))</f>
        <v>22.229051999999999</v>
      </c>
      <c r="J128" s="40" cm="1">
        <f t="array" ref="J128">MEDIAN(_xlfn._xlws.FILTER(J1:J122, ISNUMBER(J1:J122)))</f>
        <v>14.696740999999999</v>
      </c>
      <c r="K128" s="40" cm="1">
        <f t="array" ref="K128">MEDIAN(_xlfn._xlws.FILTER(K1:K122, ISNUMBER(K1:K122)))</f>
        <v>5.0729394000000001</v>
      </c>
      <c r="L128" s="40" cm="1">
        <f t="array" ref="L128">MEDIAN(_xlfn._xlws.FILTER(L1:L122, ISNUMBER(L1:L122)))</f>
        <v>8.8401910000000008</v>
      </c>
      <c r="M128" s="40" cm="1">
        <f t="array" ref="M128">MEDIAN(_xlfn._xlws.FILTER(M1:M122, ISNUMBER(M1:M122)))</f>
        <v>2.5545358999999999</v>
      </c>
      <c r="N128" s="40" cm="1">
        <f t="array" ref="N128">MEDIAN(_xlfn._xlws.FILTER(N1:N122, ISNUMBER(N1:N122)))</f>
        <v>3.8553715</v>
      </c>
    </row>
    <row r="129" spans="1:14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</row>
    <row r="130" spans="1:14" x14ac:dyDescent="0.35">
      <c r="A130" s="2" t="s">
        <v>87</v>
      </c>
      <c r="B130">
        <f>COUNTIF(B2:B122, "&lt;"&amp;Assumption!$F$50)</f>
        <v>16</v>
      </c>
      <c r="C130">
        <f>COUNTIF(C2:C122, "&lt;"&amp;Assumption!$F$50)</f>
        <v>19</v>
      </c>
      <c r="D130">
        <f>COUNTIF(D2:D122, "&lt;"&amp;Assumption!$F$50)</f>
        <v>19</v>
      </c>
      <c r="E130">
        <f>COUNTIF(E2:E122, "&lt;"&amp;Assumption!$F$50)</f>
        <v>29</v>
      </c>
      <c r="F130">
        <f>COUNTIF(F2:F122, "&lt;"&amp;Assumption!$F$50)</f>
        <v>16</v>
      </c>
      <c r="G130">
        <f>COUNTIF(G2:G122, "&lt;"&amp;Assumption!$F$50)</f>
        <v>10</v>
      </c>
      <c r="H130">
        <f>COUNTIF(H2:H122, "&lt;"&amp;Assumption!$F$50)</f>
        <v>21</v>
      </c>
      <c r="I130">
        <f>COUNTIF(I2:I122, "&lt;"&amp;Assumption!$F$50)</f>
        <v>11</v>
      </c>
      <c r="J130">
        <f>COUNTIF(J2:J122, "&lt;"&amp;Assumption!$F$50)</f>
        <v>4</v>
      </c>
      <c r="K130">
        <f>COUNTIF(K2:K122, "&lt;"&amp;Assumption!$F$50)</f>
        <v>16</v>
      </c>
      <c r="L130">
        <f>COUNTIF(L2:L122, "&lt;"&amp;Assumption!$F$50)</f>
        <v>12</v>
      </c>
      <c r="M130">
        <f>COUNTIF(M2:M122, "&lt;"&amp;Assumption!$F$50)</f>
        <v>19</v>
      </c>
      <c r="N130">
        <f>COUNTIF(N2:N122, "&lt;"&amp;Assumption!$F$50)</f>
        <v>37</v>
      </c>
    </row>
    <row r="131" spans="1:14" x14ac:dyDescent="0.35">
      <c r="A131" s="2" t="s">
        <v>86</v>
      </c>
      <c r="B131">
        <f t="shared" ref="B131:J131" si="0">COUNT(B1:B122)</f>
        <v>121</v>
      </c>
      <c r="C131">
        <f t="shared" si="0"/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ref="K131:N131" si="1">COUNT(K1:K122)</f>
        <v>121</v>
      </c>
      <c r="L131">
        <f t="shared" si="1"/>
        <v>121</v>
      </c>
      <c r="M131">
        <f t="shared" si="1"/>
        <v>121</v>
      </c>
      <c r="N131">
        <f t="shared" si="1"/>
        <v>121</v>
      </c>
    </row>
    <row r="132" spans="1:14" x14ac:dyDescent="0.35">
      <c r="A132" s="2"/>
    </row>
    <row r="133" spans="1:14" x14ac:dyDescent="0.35">
      <c r="A133" s="2" t="s">
        <v>397</v>
      </c>
      <c r="B133" s="9">
        <f t="shared" ref="B133:J133" si="2">B130/B131</f>
        <v>0.13223140495867769</v>
      </c>
      <c r="C133" s="9">
        <f t="shared" si="2"/>
        <v>0.15702479338842976</v>
      </c>
      <c r="D133" s="9">
        <f t="shared" si="2"/>
        <v>0.15702479338842976</v>
      </c>
      <c r="E133" s="9">
        <f t="shared" si="2"/>
        <v>0.23966942148760331</v>
      </c>
      <c r="F133" s="9">
        <f t="shared" si="2"/>
        <v>0.13223140495867769</v>
      </c>
      <c r="G133" s="9">
        <f t="shared" si="2"/>
        <v>8.2644628099173556E-2</v>
      </c>
      <c r="H133" s="9">
        <f t="shared" si="2"/>
        <v>0.17355371900826447</v>
      </c>
      <c r="I133" s="9">
        <f t="shared" si="2"/>
        <v>9.0909090909090912E-2</v>
      </c>
      <c r="J133" s="9">
        <f t="shared" si="2"/>
        <v>3.3057851239669422E-2</v>
      </c>
      <c r="K133" s="9">
        <f t="shared" ref="K133:N133" si="3">K130/K131</f>
        <v>0.13223140495867769</v>
      </c>
      <c r="L133" s="9">
        <f t="shared" si="3"/>
        <v>9.9173553719008267E-2</v>
      </c>
      <c r="M133" s="9">
        <f t="shared" si="3"/>
        <v>0.15702479338842976</v>
      </c>
      <c r="N133" s="9">
        <f t="shared" si="3"/>
        <v>0.30578512396694213</v>
      </c>
    </row>
    <row r="134" spans="1:14" x14ac:dyDescent="0.35">
      <c r="A134" s="2"/>
    </row>
    <row r="135" spans="1:14" x14ac:dyDescent="0.35">
      <c r="A135" s="2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x14ac:dyDescent="0.35">
      <c r="A136" s="2" t="s">
        <v>400</v>
      </c>
      <c r="B136" s="40" cm="1">
        <f t="array" ref="B136">_xlfn.PERCENTRANK.EXC(_xlfn._xlws.FILTER(B2:B122, ISNUMBER(B2:B122)),B120)</f>
        <v>0.27800000000000002</v>
      </c>
      <c r="C136" s="40" cm="1">
        <f t="array" ref="C136">_xlfn.PERCENTRANK.EXC(_xlfn._xlws.FILTER(C2:C122, ISNUMBER(C2:C122)),C120)</f>
        <v>0.72099999999999997</v>
      </c>
      <c r="D136" s="40" cm="1">
        <f t="array" ref="D136">_xlfn.PERCENTRANK.EXC(_xlfn._xlws.FILTER(D2:D122, ISNUMBER(D2:D122)),D120)</f>
        <v>0.745</v>
      </c>
      <c r="E136" s="40" cm="1">
        <f t="array" ref="E136">_xlfn.PERCENTRANK.EXC(_xlfn._xlws.FILTER(E2:E122, ISNUMBER(E2:E122)),E120)</f>
        <v>0.69599999999999995</v>
      </c>
      <c r="F136" s="40" cm="1">
        <f t="array" ref="F136">_xlfn.PERCENTRANK.EXC(_xlfn._xlws.FILTER(F2:F122, ISNUMBER(F2:F122)),F120)</f>
        <v>0.95899999999999996</v>
      </c>
      <c r="G136" s="40" cm="1">
        <f t="array" ref="G136">_xlfn.PERCENTRANK.EXC(_xlfn._xlws.FILTER(G2:G122, ISNUMBER(G2:G122)),G120)</f>
        <v>0.745</v>
      </c>
      <c r="H136" s="40" cm="1">
        <f t="array" ref="H136">_xlfn.PERCENTRANK.EXC(_xlfn._xlws.FILTER(H2:H122, ISNUMBER(H2:H122)),H120)</f>
        <v>0.63100000000000001</v>
      </c>
      <c r="I136" s="40" cm="1">
        <f t="array" ref="I136">_xlfn.PERCENTRANK.EXC(_xlfn._xlws.FILTER(I2:I122, ISNUMBER(I2:I122)),I120)</f>
        <v>0.93400000000000005</v>
      </c>
      <c r="J136" s="40" cm="1">
        <f t="array" ref="J136">_xlfn.PERCENTRANK.EXC(_xlfn._xlws.FILTER(J2:J122, ISNUMBER(J2:J122)),J120)</f>
        <v>0.92600000000000005</v>
      </c>
      <c r="K136" s="40" cm="1">
        <f t="array" ref="K136">_xlfn.PERCENTRANK.EXC(_xlfn._xlws.FILTER(K2:K122, ISNUMBER(K2:K122)),K120)</f>
        <v>0.64700000000000002</v>
      </c>
      <c r="L136" s="40" cm="1">
        <f t="array" ref="L136">_xlfn.PERCENTRANK.EXC(_xlfn._xlws.FILTER(L2:L122, ISNUMBER(L2:L122)),L120)</f>
        <v>0.754</v>
      </c>
      <c r="M136" s="40" cm="1">
        <f t="array" ref="M136">_xlfn.PERCENTRANK.EXC(_xlfn._xlws.FILTER(M2:M122, ISNUMBER(M2:M122)),M120)</f>
        <v>0.76200000000000001</v>
      </c>
      <c r="N136" s="40" cm="1">
        <f t="array" ref="N136">_xlfn.PERCENTRANK.EXC(_xlfn._xlws.FILTER(N2:N122, ISNUMBER(N2:N122)),N120)</f>
        <v>0.754</v>
      </c>
    </row>
    <row r="137" spans="1:14" x14ac:dyDescent="0.35">
      <c r="A137" s="2" t="s">
        <v>399</v>
      </c>
      <c r="B137" s="40" cm="1">
        <f t="array" ref="B137">_xlfn.PERCENTRANK.EXC(_xlfn._xlws.FILTER(B2:B122, ISNUMBER(B2:B122)),B121)</f>
        <v>0.21299999999999999</v>
      </c>
      <c r="C137" s="40" cm="1">
        <f t="array" ref="C137">_xlfn.PERCENTRANK.EXC(_xlfn._xlws.FILTER(C2:C122, ISNUMBER(C2:C122)),C121)</f>
        <v>0.69599999999999995</v>
      </c>
      <c r="D137" s="40" cm="1">
        <f t="array" ref="D137">_xlfn.PERCENTRANK.EXC(_xlfn._xlws.FILTER(D2:D122, ISNUMBER(D2:D122)),D121)</f>
        <v>0.76200000000000001</v>
      </c>
      <c r="E137" s="40" cm="1">
        <f t="array" ref="E137">_xlfn.PERCENTRANK.EXC(_xlfn._xlws.FILTER(E2:E122, ISNUMBER(E2:E122)),E121)</f>
        <v>0.64700000000000002</v>
      </c>
      <c r="F137" s="40" cm="1">
        <f t="array" ref="F137">_xlfn.PERCENTRANK.EXC(_xlfn._xlws.FILTER(F2:F122, ISNUMBER(F2:F122)),F121)</f>
        <v>0.93400000000000005</v>
      </c>
      <c r="G137" s="40" cm="1">
        <f t="array" ref="G137">_xlfn.PERCENTRANK.EXC(_xlfn._xlws.FILTER(G2:G122, ISNUMBER(G2:G122)),G121)</f>
        <v>0.38500000000000001</v>
      </c>
      <c r="H137" s="40" cm="1">
        <f t="array" ref="H137">_xlfn.PERCENTRANK.EXC(_xlfn._xlws.FILTER(H2:H122, ISNUMBER(H2:H122)),H121)</f>
        <v>0.622</v>
      </c>
      <c r="I137" s="40" cm="1">
        <f t="array" ref="I137">_xlfn.PERCENTRANK.EXC(_xlfn._xlws.FILTER(I2:I122, ISNUMBER(I2:I122)),I121)</f>
        <v>0.877</v>
      </c>
      <c r="J137" s="40" cm="1">
        <f t="array" ref="J137">_xlfn.PERCENTRANK.EXC(_xlfn._xlws.FILTER(J2:J122, ISNUMBER(J2:J122)),J121)</f>
        <v>0.89300000000000002</v>
      </c>
      <c r="K137" s="40" cm="1">
        <f t="array" ref="K137">_xlfn.PERCENTRANK.EXC(_xlfn._xlws.FILTER(K2:K122, ISNUMBER(K2:K122)),K121)</f>
        <v>0.57299999999999995</v>
      </c>
      <c r="L137" s="40" cm="1">
        <f t="array" ref="L137">_xlfn.PERCENTRANK.EXC(_xlfn._xlws.FILTER(L2:L122, ISNUMBER(L2:L122)),L121)</f>
        <v>0.71299999999999997</v>
      </c>
      <c r="M137" s="40" cm="1">
        <f t="array" ref="M137">_xlfn.PERCENTRANK.EXC(_xlfn._xlws.FILTER(M2:M122, ISNUMBER(M2:M122)),M121)</f>
        <v>0.745</v>
      </c>
      <c r="N137" s="40" cm="1">
        <f t="array" ref="N137">_xlfn.PERCENTRANK.EXC(_xlfn._xlws.FILTER(N2:N122, ISNUMBER(N2:N122)),N121)</f>
        <v>0.745</v>
      </c>
    </row>
    <row r="138" spans="1:14" x14ac:dyDescent="0.35">
      <c r="A138" s="2" t="s">
        <v>401</v>
      </c>
      <c r="B138" s="40" cm="1">
        <f t="array" ref="B138">_xlfn.PERCENTRANK.EXC(_xlfn._xlws.FILTER(B2:B122, ISNUMBER(B2:B122)),B122)</f>
        <v>0.18</v>
      </c>
      <c r="C138" s="40" cm="1">
        <f t="array" ref="C138">_xlfn.PERCENTRANK.EXC(_xlfn._xlws.FILTER(C2:C122, ISNUMBER(C2:C122)),C122)</f>
        <v>0.63900000000000001</v>
      </c>
      <c r="D138" s="40" cm="1">
        <f t="array" ref="D138">_xlfn.PERCENTRANK.EXC(_xlfn._xlws.FILTER(D2:D122, ISNUMBER(D2:D122)),D122)</f>
        <v>0.66300000000000003</v>
      </c>
      <c r="E138" s="40" cm="1">
        <f t="array" ref="E138">_xlfn.PERCENTRANK.EXC(_xlfn._xlws.FILTER(E2:E122, ISNUMBER(E2:E122)),E122)</f>
        <v>0.63900000000000001</v>
      </c>
      <c r="F138" s="40" cm="1">
        <f t="array" ref="F138">_xlfn.PERCENTRANK.EXC(_xlfn._xlws.FILTER(F2:F122, ISNUMBER(F2:F122)),F122)</f>
        <v>0.73699999999999999</v>
      </c>
      <c r="G138" s="40" cm="1">
        <f t="array" ref="G138">_xlfn.PERCENTRANK.EXC(_xlfn._xlws.FILTER(G2:G122, ISNUMBER(G2:G122)),G122)</f>
        <v>0.30299999999999999</v>
      </c>
      <c r="H138" s="40" cm="1">
        <f t="array" ref="H138">_xlfn.PERCENTRANK.EXC(_xlfn._xlws.FILTER(H2:H122, ISNUMBER(H2:H122)),H122)</f>
        <v>0.72899999999999998</v>
      </c>
      <c r="I138" s="40" cm="1">
        <f t="array" ref="I138">_xlfn.PERCENTRANK.EXC(_xlfn._xlws.FILTER(I2:I122, ISNUMBER(I2:I122)),I122)</f>
        <v>0.83599999999999997</v>
      </c>
      <c r="J138" s="40" cm="1">
        <f t="array" ref="J138">_xlfn.PERCENTRANK.EXC(_xlfn._xlws.FILTER(J2:J122, ISNUMBER(J2:J122)),J122)</f>
        <v>0.88500000000000001</v>
      </c>
      <c r="K138" s="40" cm="1">
        <f t="array" ref="K138">_xlfn.PERCENTRANK.EXC(_xlfn._xlws.FILTER(K2:K122, ISNUMBER(K2:K122)),K122)</f>
        <v>0.58099999999999996</v>
      </c>
      <c r="L138" s="40" cm="1">
        <f t="array" ref="L138">_xlfn.PERCENTRANK.EXC(_xlfn._xlws.FILTER(L2:L122, ISNUMBER(L2:L122)),L122)</f>
        <v>0.78600000000000003</v>
      </c>
      <c r="M138" s="40" cm="1">
        <f t="array" ref="M138">_xlfn.PERCENTRANK.EXC(_xlfn._xlws.FILTER(M2:M122, ISNUMBER(M2:M122)),M122)</f>
        <v>0.66300000000000003</v>
      </c>
      <c r="N138" s="40" cm="1">
        <f t="array" ref="N138">_xlfn.PERCENTRANK.EXC(_xlfn._xlws.FILTER(N2:N122, ISNUMBER(N2:N122)),N122)</f>
        <v>0.72899999999999998</v>
      </c>
    </row>
    <row r="139" spans="1:14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</row>
    <row r="140" spans="1:14" x14ac:dyDescent="0.35">
      <c r="A140" s="2" t="s">
        <v>463</v>
      </c>
      <c r="B140" s="40">
        <f t="shared" ref="B140:J140" si="4">AVERAGE(B136:B138)</f>
        <v>0.22366666666666668</v>
      </c>
      <c r="C140" s="40">
        <f t="shared" si="4"/>
        <v>0.68533333333333335</v>
      </c>
      <c r="D140" s="40">
        <f t="shared" si="4"/>
        <v>0.72333333333333327</v>
      </c>
      <c r="E140" s="40">
        <f t="shared" si="4"/>
        <v>0.66066666666666662</v>
      </c>
      <c r="F140" s="40">
        <f t="shared" si="4"/>
        <v>0.87666666666666659</v>
      </c>
      <c r="G140" s="40">
        <f t="shared" si="4"/>
        <v>0.47766666666666663</v>
      </c>
      <c r="H140" s="40">
        <f t="shared" si="4"/>
        <v>0.66066666666666674</v>
      </c>
      <c r="I140" s="40">
        <f t="shared" si="4"/>
        <v>0.8823333333333333</v>
      </c>
      <c r="J140" s="40">
        <f t="shared" si="4"/>
        <v>0.90133333333333321</v>
      </c>
      <c r="K140" s="40">
        <f t="shared" ref="K140:N140" si="5">AVERAGE(K136:K138)</f>
        <v>0.60033333333333327</v>
      </c>
      <c r="L140" s="40">
        <f t="shared" si="5"/>
        <v>0.751</v>
      </c>
      <c r="M140" s="40">
        <f t="shared" si="5"/>
        <v>0.72333333333333327</v>
      </c>
      <c r="N140" s="40">
        <f t="shared" si="5"/>
        <v>0.7426666666666667</v>
      </c>
    </row>
    <row r="141" spans="1:14" x14ac:dyDescent="0.35">
      <c r="A141" s="2"/>
    </row>
    <row r="142" spans="1:14" x14ac:dyDescent="0.35">
      <c r="A142" s="2"/>
    </row>
    <row r="143" spans="1:14" x14ac:dyDescent="0.35">
      <c r="A143" s="2"/>
    </row>
    <row r="144" spans="1:14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5"/>
  <sheetViews>
    <sheetView topLeftCell="A16" workbookViewId="0">
      <selection activeCell="N27" sqref="N27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21">_xll.FDSB(C1,"JULIAN(FMA_EPS(NTMA,-20AY,0,CY,,""PORTAGG"",""MEANR"").dates)")</f>
        <v>38352</v>
      </c>
      <c r="B2" t="str" cm="1">
        <f t="array" ref="B2:B21">_xll.FDSB(B1,"FMA_EPS(NTMA,-20AY,0,CY,,""PORTAGG"",""MEANR"")")</f>
        <v/>
      </c>
      <c r="C2" cm="1">
        <f t="array" ref="C2:C21">_xll.FDSB(C1,"FMA_EPS(NTMA,-20AY,0,CY,,""PORTAGG"",""MEANR"")")</f>
        <v>1.18421421757289</v>
      </c>
      <c r="D2" cm="1">
        <f t="array" ref="D2:D21">_xll.FDSB(D1,"FMA_EPS(NTMA,-20AY,0,CY,,""PORTAGG"",""MEANR"")")</f>
        <v>1.2030920356358299</v>
      </c>
      <c r="E2" cm="1">
        <f t="array" ref="E2:E21">_xll.FDSB(E1,"FMA_EPS(NTMA,-20AY,0,CY,,""PORTAGG"",""MEANR"")")</f>
        <v>1.5206641104358301</v>
      </c>
      <c r="F2" cm="1">
        <f t="array" ref="F2:F21">_xll.FDSB(F1,"FMA_EPS(NTMA,-20AY,0,CY,,""PORTAGG"",""MEANR"")")</f>
        <v>2.8357200583240298</v>
      </c>
      <c r="G2" cm="1">
        <f t="array" ref="G2:G21">_xll.FDSB(G1,"FMA_EPS(NTMA,-20AY,0,CY,,""PORTAGG"",""MEANR"")")</f>
        <v>1.1516797861463699</v>
      </c>
      <c r="H2" cm="1">
        <f t="array" ref="H2:H21">_xll.FDSB(H1,"FMA_EPS(NTMA,-20AY,0,CY,,""PORTAGG"",""MEANR"")")</f>
        <v>2.78829402631307</v>
      </c>
      <c r="I2" cm="1">
        <f t="array" ref="I2:I21">_xll.FDSB(I1,"FMA_EPS(NTMA,-20AY,0,CY,,""PORTAGG"",""MEANR"")")</f>
        <v>1.4194312135232301</v>
      </c>
      <c r="J2" cm="1">
        <f t="array" ref="J2:J21">_xll.FDSB(J1,"FMA_EPS(NTMA,-20AY,0,CY,,""PORTAGG"",""MEANR"")")</f>
        <v>7.6074243913976698</v>
      </c>
      <c r="K2" cm="1">
        <f t="array" ref="K2:K21">_xll.FDSB(K1,"FMA_EPS(NTMA,-20AY,0,CY,,""PORTAGG"",""MEANR"")")</f>
        <v>2.0229379462087902</v>
      </c>
      <c r="L2" cm="1">
        <f t="array" ref="L2:L21">_xll.FDSB(L1,"FMA_EPS(NTMA,-20AY,0,CY,,""PORTAGG"",""MEANR"")")</f>
        <v>1.49109929215903</v>
      </c>
      <c r="M2" cm="1">
        <f t="array" ref="M2:M21">_xll.FDSB(M1,"FMA_EPS(NTMA,-20AY,0,CY,,""PORTAGG"",""MEANR"")")</f>
        <v>1.55275820794805</v>
      </c>
      <c r="N2" cm="1">
        <f t="array" ref="N2:N21">_xll.FDSB(N1,"FMA_EPS(NTMA,-20AY,0,CY,,""PORTAGG"",""MEANR"")")</f>
        <v>3.1691683391169998</v>
      </c>
    </row>
    <row r="3" spans="1:14" x14ac:dyDescent="0.35">
      <c r="A3" s="2">
        <v>38716</v>
      </c>
      <c r="B3" t="str">
        <v/>
      </c>
      <c r="C3">
        <v>1.3562293603437101</v>
      </c>
      <c r="D3">
        <v>1.5111635725994299</v>
      </c>
      <c r="E3">
        <v>1.60643474084628</v>
      </c>
      <c r="F3">
        <v>2.8483033593434901</v>
      </c>
      <c r="G3">
        <v>1.184604896687</v>
      </c>
      <c r="H3">
        <v>2.9493248466797501</v>
      </c>
      <c r="I3">
        <v>1.68578719870209</v>
      </c>
      <c r="J3">
        <v>8.8394289215288495</v>
      </c>
      <c r="K3">
        <v>2.0933820421534701</v>
      </c>
      <c r="L3">
        <v>1.5900517234347999</v>
      </c>
      <c r="M3">
        <v>1.5458174452232101</v>
      </c>
      <c r="N3">
        <v>3.1240599327945802</v>
      </c>
    </row>
    <row r="4" spans="1:14" x14ac:dyDescent="0.35">
      <c r="A4" s="2">
        <v>39080</v>
      </c>
      <c r="B4" t="str">
        <v/>
      </c>
      <c r="C4">
        <v>1.6822321953850301</v>
      </c>
      <c r="D4">
        <v>1.75142389864603</v>
      </c>
      <c r="E4">
        <v>2.1190990076223799</v>
      </c>
      <c r="F4">
        <v>3.2915693248682101</v>
      </c>
      <c r="G4">
        <v>1.51903625271091</v>
      </c>
      <c r="H4">
        <v>3.75488864741091</v>
      </c>
      <c r="I4">
        <v>1.9402737172403599</v>
      </c>
      <c r="J4">
        <v>9.8457810486035093</v>
      </c>
      <c r="K4">
        <v>2.6974001835861601</v>
      </c>
      <c r="L4">
        <v>2.1562573900311501</v>
      </c>
      <c r="M4">
        <v>2.1888616104008198</v>
      </c>
      <c r="N4">
        <v>5.0498128206668396</v>
      </c>
    </row>
    <row r="5" spans="1:14" x14ac:dyDescent="0.35">
      <c r="A5" s="2">
        <v>39447</v>
      </c>
      <c r="B5" t="str">
        <v/>
      </c>
      <c r="C5">
        <v>2.0121821176223702</v>
      </c>
      <c r="D5">
        <v>2.1316745003828599</v>
      </c>
      <c r="E5">
        <v>2.8066160833919702</v>
      </c>
      <c r="F5">
        <v>3.6677851567473598</v>
      </c>
      <c r="G5">
        <v>1.8333506194415199</v>
      </c>
      <c r="H5">
        <v>4.07523919059458</v>
      </c>
      <c r="I5">
        <v>2.3766956310061902</v>
      </c>
      <c r="J5">
        <v>10.5833561911057</v>
      </c>
      <c r="K5">
        <v>3.1669085058650999</v>
      </c>
      <c r="L5">
        <v>2.6269706848040699</v>
      </c>
      <c r="M5">
        <v>2.5443961056503102</v>
      </c>
      <c r="N5">
        <v>5.5622478487538798</v>
      </c>
    </row>
    <row r="6" spans="1:14" x14ac:dyDescent="0.35">
      <c r="A6" s="2">
        <v>39813</v>
      </c>
      <c r="B6" t="str">
        <v/>
      </c>
      <c r="C6">
        <v>1.47822239950882</v>
      </c>
      <c r="D6">
        <v>1.7197421838740601</v>
      </c>
      <c r="E6">
        <v>1.99715132688841</v>
      </c>
      <c r="F6">
        <v>2.7439300910939699</v>
      </c>
      <c r="G6">
        <v>1.66417500457453</v>
      </c>
      <c r="H6">
        <v>2.8187073838579999</v>
      </c>
      <c r="I6">
        <v>2.1704263725021899</v>
      </c>
      <c r="J6">
        <v>8.05373941846298</v>
      </c>
      <c r="K6">
        <v>2.36664992614361</v>
      </c>
      <c r="L6">
        <v>1.79921066251297</v>
      </c>
      <c r="M6">
        <v>1.5502793356884601</v>
      </c>
      <c r="N6">
        <v>4.1762479088087296</v>
      </c>
    </row>
    <row r="7" spans="1:14" x14ac:dyDescent="0.35">
      <c r="A7" s="2">
        <v>40178</v>
      </c>
      <c r="B7" t="str">
        <v/>
      </c>
      <c r="C7">
        <v>1.49861477471222</v>
      </c>
      <c r="D7">
        <v>1.7955182742496401</v>
      </c>
      <c r="E7">
        <v>1.7430087032969499</v>
      </c>
      <c r="F7">
        <v>1.93733358061505</v>
      </c>
      <c r="G7">
        <v>1.62932904763549</v>
      </c>
      <c r="H7">
        <v>2.6972177795125001</v>
      </c>
      <c r="I7">
        <v>2.6068713006048601</v>
      </c>
      <c r="J7">
        <v>8.0229753288056198</v>
      </c>
      <c r="K7">
        <v>2.07401175960449</v>
      </c>
      <c r="L7">
        <v>1.65442974417331</v>
      </c>
      <c r="M7">
        <v>1.3636179959986701</v>
      </c>
      <c r="N7">
        <v>3.0889280805206698</v>
      </c>
    </row>
    <row r="8" spans="1:14" x14ac:dyDescent="0.35">
      <c r="A8" s="2">
        <v>40543</v>
      </c>
      <c r="B8">
        <v>2.40890596176463</v>
      </c>
      <c r="C8">
        <v>2.0483223094466698</v>
      </c>
      <c r="D8">
        <v>2.0975427600624101</v>
      </c>
      <c r="E8">
        <v>2.1739080898383101</v>
      </c>
      <c r="F8">
        <v>3.1772932255046702</v>
      </c>
      <c r="G8">
        <v>1.9678735381535299</v>
      </c>
      <c r="H8">
        <v>3.3649566588267601</v>
      </c>
      <c r="I8">
        <v>3.6076350541358502</v>
      </c>
      <c r="J8">
        <v>9.85143912569227</v>
      </c>
      <c r="K8">
        <v>2.3625891780050199</v>
      </c>
      <c r="L8">
        <v>2.1135843669068999</v>
      </c>
      <c r="M8">
        <v>2.2720793258351502</v>
      </c>
      <c r="N8">
        <v>3.3235934809766499</v>
      </c>
    </row>
    <row r="9" spans="1:14" x14ac:dyDescent="0.35">
      <c r="A9" s="2">
        <v>40907</v>
      </c>
      <c r="B9">
        <v>2.2411742980394602</v>
      </c>
      <c r="C9">
        <v>2.08841813329258</v>
      </c>
      <c r="D9">
        <v>2.2894893869441</v>
      </c>
      <c r="E9">
        <v>2.1750966873773998</v>
      </c>
      <c r="F9">
        <v>3.0945812419319201</v>
      </c>
      <c r="G9">
        <v>1.8666865904430201</v>
      </c>
      <c r="H9">
        <v>3.4346817054560899</v>
      </c>
      <c r="I9">
        <v>4.63179037237028</v>
      </c>
      <c r="J9">
        <v>10.933615493869301</v>
      </c>
      <c r="K9">
        <v>2.15605314606315</v>
      </c>
      <c r="L9">
        <v>1.8405065939071099</v>
      </c>
      <c r="M9">
        <v>2.1825351702399201</v>
      </c>
      <c r="N9">
        <v>2.9871276586162501</v>
      </c>
    </row>
    <row r="10" spans="1:14" x14ac:dyDescent="0.35">
      <c r="A10" s="2">
        <v>41274</v>
      </c>
      <c r="B10">
        <v>2.40285148565594</v>
      </c>
      <c r="C10">
        <v>1.8915836506348001</v>
      </c>
      <c r="D10">
        <v>2.2176153002393399</v>
      </c>
      <c r="E10">
        <v>2.2735850086051101</v>
      </c>
      <c r="F10">
        <v>2.8747287105460999</v>
      </c>
      <c r="G10">
        <v>1.99956682614325</v>
      </c>
      <c r="H10">
        <v>3.30605625416888</v>
      </c>
      <c r="I10">
        <v>4.9723936001799096</v>
      </c>
      <c r="J10">
        <v>11.5093609233453</v>
      </c>
      <c r="K10">
        <v>2.1576437709053802</v>
      </c>
      <c r="L10">
        <v>1.84155905202006</v>
      </c>
      <c r="M10">
        <v>2.32063293486455</v>
      </c>
      <c r="N10">
        <v>2.8309927567607298</v>
      </c>
    </row>
    <row r="11" spans="1:14" x14ac:dyDescent="0.35">
      <c r="A11" s="2">
        <v>41639</v>
      </c>
      <c r="B11">
        <v>2.3121080896186399</v>
      </c>
      <c r="C11">
        <v>1.7190934434154901</v>
      </c>
      <c r="D11">
        <v>2.0201754576244202</v>
      </c>
      <c r="E11">
        <v>2.4061601417357799</v>
      </c>
      <c r="F11">
        <v>3.2749607108541601</v>
      </c>
      <c r="G11">
        <v>2.1608376401624301</v>
      </c>
      <c r="H11">
        <v>3.2321816852227601</v>
      </c>
      <c r="I11">
        <v>5.0145346891852203</v>
      </c>
      <c r="J11">
        <v>12.296272619920099</v>
      </c>
      <c r="K11">
        <v>2.1576872496622901</v>
      </c>
      <c r="L11">
        <v>1.8569478460726301</v>
      </c>
      <c r="M11">
        <v>2.3154506600636799</v>
      </c>
      <c r="N11">
        <v>2.5170904257716198</v>
      </c>
    </row>
    <row r="12" spans="1:14" x14ac:dyDescent="0.35">
      <c r="A12" s="2">
        <v>42004</v>
      </c>
      <c r="B12">
        <v>2.1949219382035401</v>
      </c>
      <c r="C12">
        <v>1.5192022293630101</v>
      </c>
      <c r="D12">
        <v>1.8613047681228401</v>
      </c>
      <c r="E12">
        <v>2.1341589481486198</v>
      </c>
      <c r="F12">
        <v>3.1445630178853601</v>
      </c>
      <c r="G12">
        <v>2.0213760812425501</v>
      </c>
      <c r="H12">
        <v>2.6058975174152499</v>
      </c>
      <c r="I12">
        <v>5.9189477139169897</v>
      </c>
      <c r="J12">
        <v>12.8692035676989</v>
      </c>
      <c r="K12">
        <v>1.78907537429816</v>
      </c>
      <c r="L12">
        <v>1.61003576125895</v>
      </c>
      <c r="M12">
        <v>2.0287242581820202</v>
      </c>
      <c r="N12">
        <v>2.2045107232016301</v>
      </c>
    </row>
    <row r="13" spans="1:14" x14ac:dyDescent="0.35">
      <c r="A13" s="2">
        <v>42369</v>
      </c>
      <c r="B13">
        <v>2.0494367160174898</v>
      </c>
      <c r="C13">
        <v>1.2032144758029399</v>
      </c>
      <c r="D13">
        <v>1.52246252495242</v>
      </c>
      <c r="E13">
        <v>1.9616560154156799</v>
      </c>
      <c r="F13">
        <v>3.4482751508906899</v>
      </c>
      <c r="G13">
        <v>1.8389835562691099</v>
      </c>
      <c r="H13">
        <v>2.1229420291538199</v>
      </c>
      <c r="I13">
        <v>6.0599751605653802</v>
      </c>
      <c r="J13">
        <v>12.748703211791501</v>
      </c>
      <c r="K13">
        <v>1.6636313733196599</v>
      </c>
      <c r="L13">
        <v>1.5506283745409</v>
      </c>
      <c r="M13">
        <v>1.9485788892231399</v>
      </c>
      <c r="N13">
        <v>1.95489186317479</v>
      </c>
    </row>
    <row r="14" spans="1:14" x14ac:dyDescent="0.35">
      <c r="A14" s="2">
        <v>42734</v>
      </c>
      <c r="B14">
        <v>2.1496284508732901</v>
      </c>
      <c r="C14">
        <v>1.2820159486904501</v>
      </c>
      <c r="D14">
        <v>1.6615707453978601</v>
      </c>
      <c r="E14">
        <v>1.94158660997406</v>
      </c>
      <c r="F14">
        <v>3.3316070942703102</v>
      </c>
      <c r="G14">
        <v>1.75546716180555</v>
      </c>
      <c r="H14">
        <v>2.123898319152</v>
      </c>
      <c r="I14">
        <v>6.56529580140728</v>
      </c>
      <c r="J14">
        <v>13.3024280719142</v>
      </c>
      <c r="K14">
        <v>1.6931958240998899</v>
      </c>
      <c r="L14">
        <v>1.60511092021475</v>
      </c>
      <c r="M14">
        <v>1.75138174890933</v>
      </c>
      <c r="N14">
        <v>1.78844259381098</v>
      </c>
    </row>
    <row r="15" spans="1:14" x14ac:dyDescent="0.35">
      <c r="A15" s="2">
        <v>43098</v>
      </c>
      <c r="B15">
        <v>2.2670681016107199</v>
      </c>
      <c r="C15">
        <v>1.4458070152700899</v>
      </c>
      <c r="D15">
        <v>1.86172454535832</v>
      </c>
      <c r="E15">
        <v>2.4036287780635099</v>
      </c>
      <c r="F15">
        <v>4.07233312791291</v>
      </c>
      <c r="G15">
        <v>2.01138269666406</v>
      </c>
      <c r="H15">
        <v>2.42405089418043</v>
      </c>
      <c r="I15">
        <v>7.4909851965595502</v>
      </c>
      <c r="J15">
        <v>14.724037692001801</v>
      </c>
      <c r="K15">
        <v>2.10907755629154</v>
      </c>
      <c r="L15">
        <v>1.99467947715871</v>
      </c>
      <c r="M15">
        <v>2.1039018689376099</v>
      </c>
      <c r="N15">
        <v>2.3512953608173301</v>
      </c>
    </row>
    <row r="16" spans="1:14" x14ac:dyDescent="0.35">
      <c r="A16" s="2">
        <v>43465</v>
      </c>
      <c r="B16">
        <v>2.29721148308571</v>
      </c>
      <c r="C16">
        <v>1.3789495760516599</v>
      </c>
      <c r="D16">
        <v>1.9774050981912601</v>
      </c>
      <c r="E16">
        <v>2.3211607230687301</v>
      </c>
      <c r="F16">
        <v>4.56488250158257</v>
      </c>
      <c r="G16">
        <v>2.1751987947225402</v>
      </c>
      <c r="H16">
        <v>2.5773222742994899</v>
      </c>
      <c r="I16">
        <v>8.9443858601639104</v>
      </c>
      <c r="J16">
        <v>17.355846469554798</v>
      </c>
      <c r="K16">
        <v>2.23155948612122</v>
      </c>
      <c r="L16">
        <v>2.0095545823588901</v>
      </c>
      <c r="M16">
        <v>2.1154389610009998</v>
      </c>
      <c r="N16">
        <v>2.6492475649665401</v>
      </c>
    </row>
    <row r="17" spans="1:14" x14ac:dyDescent="0.35">
      <c r="A17" s="2">
        <v>43830</v>
      </c>
      <c r="B17">
        <v>2.2473256441274398</v>
      </c>
      <c r="C17">
        <v>1.3179970851092</v>
      </c>
      <c r="D17">
        <v>2.0739392179922902</v>
      </c>
      <c r="E17">
        <v>2.0881582961298202</v>
      </c>
      <c r="F17">
        <v>4.0763823086139199</v>
      </c>
      <c r="G17">
        <v>2.2808425238276202</v>
      </c>
      <c r="H17">
        <v>2.5348579496144801</v>
      </c>
      <c r="I17">
        <v>9.3523184569568798</v>
      </c>
      <c r="J17">
        <v>17.729435430702701</v>
      </c>
      <c r="K17">
        <v>2.1970597171427402</v>
      </c>
      <c r="L17">
        <v>1.99085797419876</v>
      </c>
      <c r="M17">
        <v>2.0450009050115598</v>
      </c>
      <c r="N17">
        <v>2.59251661571796</v>
      </c>
    </row>
    <row r="18" spans="1:14" x14ac:dyDescent="0.35">
      <c r="A18" s="2">
        <v>44196</v>
      </c>
      <c r="B18">
        <v>1.98522618259249</v>
      </c>
      <c r="C18">
        <v>1.26256164176903</v>
      </c>
      <c r="D18">
        <v>1.9578408739872699</v>
      </c>
      <c r="E18">
        <v>1.98003612030208</v>
      </c>
      <c r="F18">
        <v>3.67789542177964</v>
      </c>
      <c r="G18">
        <v>2.3686407868237098</v>
      </c>
      <c r="H18">
        <v>2.0346384136804501</v>
      </c>
      <c r="I18">
        <v>10.4260783076313</v>
      </c>
      <c r="J18">
        <v>16.661770333783501</v>
      </c>
      <c r="K18">
        <v>1.8510975088086301</v>
      </c>
      <c r="L18">
        <v>2.00892945351409</v>
      </c>
      <c r="M18">
        <v>2.2138152779134601</v>
      </c>
      <c r="N18">
        <v>1.9971174572949799</v>
      </c>
    </row>
    <row r="19" spans="1:14" x14ac:dyDescent="0.35">
      <c r="A19" s="2">
        <v>44561</v>
      </c>
      <c r="B19">
        <v>1.8209368887947699</v>
      </c>
      <c r="C19">
        <v>1.41909398824033</v>
      </c>
      <c r="D19">
        <v>2.6644833781776298</v>
      </c>
      <c r="E19">
        <v>2.4494459059837599</v>
      </c>
      <c r="F19">
        <v>4.6161385676982096</v>
      </c>
      <c r="G19">
        <v>2.66234515884581</v>
      </c>
      <c r="H19">
        <v>2.7142722466617202</v>
      </c>
      <c r="I19">
        <v>13.6402697494705</v>
      </c>
      <c r="J19">
        <v>22.276707388058099</v>
      </c>
      <c r="K19">
        <v>2.4608174691400801</v>
      </c>
      <c r="L19">
        <v>2.4360180766850199</v>
      </c>
      <c r="M19">
        <v>2.4898156522320498</v>
      </c>
      <c r="N19">
        <v>2.9640029759690898</v>
      </c>
    </row>
    <row r="20" spans="1:14" x14ac:dyDescent="0.35">
      <c r="A20" s="2">
        <v>44925</v>
      </c>
      <c r="B20">
        <v>2.1103784647633299</v>
      </c>
      <c r="C20">
        <v>1.5685033677051301</v>
      </c>
      <c r="D20">
        <v>2.7492045610204201</v>
      </c>
      <c r="E20">
        <v>2.36386839889078</v>
      </c>
      <c r="F20">
        <v>4.4608954310188302</v>
      </c>
      <c r="G20">
        <v>2.5838872063229701</v>
      </c>
      <c r="H20">
        <v>3.1276012084365901</v>
      </c>
      <c r="I20">
        <v>12.7503134568906</v>
      </c>
      <c r="J20">
        <v>22.968710470643401</v>
      </c>
      <c r="K20">
        <v>2.8026651893863601</v>
      </c>
      <c r="L20">
        <v>2.4294142549840898</v>
      </c>
      <c r="M20">
        <v>2.5641957436601599</v>
      </c>
      <c r="N20">
        <v>3.5473670886293198</v>
      </c>
    </row>
    <row r="21" spans="1:14" x14ac:dyDescent="0.35">
      <c r="A21" s="2">
        <v>45289</v>
      </c>
      <c r="B21">
        <v>2.11106621771878</v>
      </c>
      <c r="C21">
        <v>1.4789271778744699</v>
      </c>
      <c r="D21">
        <v>2.6826335841504898</v>
      </c>
      <c r="E21">
        <v>2.6563610555620598</v>
      </c>
      <c r="F21">
        <v>4.5654755904659901</v>
      </c>
      <c r="G21">
        <v>2.8642965748709601</v>
      </c>
      <c r="H21">
        <v>3.0028044281125101</v>
      </c>
      <c r="I21">
        <v>16.324300193902701</v>
      </c>
      <c r="J21">
        <v>24.344986801425499</v>
      </c>
      <c r="K21">
        <v>2.9207046812756801</v>
      </c>
      <c r="L21">
        <v>2.9556075018616501</v>
      </c>
      <c r="M21">
        <v>2.4956730490630901</v>
      </c>
      <c r="N21">
        <v>3.8118030615979301</v>
      </c>
    </row>
    <row r="23" spans="1:14" x14ac:dyDescent="0.35">
      <c r="B23" s="8">
        <f t="shared" ref="B23:N23" si="0">COUNT(B1:B21)</f>
        <v>14</v>
      </c>
      <c r="C23" s="8">
        <f t="shared" si="0"/>
        <v>20</v>
      </c>
      <c r="D23" s="8">
        <f t="shared" si="0"/>
        <v>20</v>
      </c>
      <c r="E23" s="8">
        <f t="shared" si="0"/>
        <v>20</v>
      </c>
      <c r="F23" s="8">
        <f t="shared" si="0"/>
        <v>20</v>
      </c>
      <c r="G23" s="8">
        <f t="shared" si="0"/>
        <v>20</v>
      </c>
      <c r="H23" s="8">
        <f t="shared" si="0"/>
        <v>20</v>
      </c>
      <c r="I23" s="8">
        <f t="shared" si="0"/>
        <v>20</v>
      </c>
      <c r="J23" s="8">
        <f t="shared" si="0"/>
        <v>20</v>
      </c>
      <c r="K23" s="8">
        <f t="shared" si="0"/>
        <v>20</v>
      </c>
      <c r="L23" s="8">
        <f t="shared" si="0"/>
        <v>20</v>
      </c>
      <c r="M23" s="8">
        <f t="shared" si="0"/>
        <v>20</v>
      </c>
      <c r="N23" s="8">
        <f t="shared" si="0"/>
        <v>20</v>
      </c>
    </row>
    <row r="25" spans="1:14" x14ac:dyDescent="0.35">
      <c r="A25" t="s">
        <v>90</v>
      </c>
      <c r="B25" s="48" cm="1">
        <f t="array" ref="B25">(B21/INDEX(B2:B21,MATCH(TRUE,INDEX(ISNUMBER(B2:B21),0),0)))^(1/B23)-1</f>
        <v>-9.3828148339384354E-3</v>
      </c>
      <c r="C25" s="48" cm="1">
        <f t="array" ref="C25">(C21/INDEX(C2:C21,MATCH(TRUE,INDEX(ISNUMBER(C2:C21),0),0)))^(1/C23)-1</f>
        <v>1.1173841089814562E-2</v>
      </c>
      <c r="D25" s="48" cm="1">
        <f t="array" ref="D25">(D21/INDEX(D2:D21,MATCH(TRUE,INDEX(ISNUMBER(D2:D21),0),0)))^(1/D23)-1</f>
        <v>4.0909866878857226E-2</v>
      </c>
      <c r="E25" s="48" cm="1">
        <f t="array" ref="E25">(E21/INDEX(E2:E21,MATCH(TRUE,INDEX(ISNUMBER(E2:E21),0),0)))^(1/E23)-1</f>
        <v>2.828308165861726E-2</v>
      </c>
      <c r="F25" s="48" cm="1">
        <f t="array" ref="F25">(F21/INDEX(F2:F21,MATCH(TRUE,INDEX(ISNUMBER(F2:F21),0),0)))^(1/F23)-1</f>
        <v>2.4097093341992615E-2</v>
      </c>
      <c r="G25" s="48" cm="1">
        <f t="array" ref="G25">(G21/INDEX(G2:G21,MATCH(TRUE,INDEX(ISNUMBER(G2:G21),0),0)))^(1/G23)-1</f>
        <v>4.6608631192781802E-2</v>
      </c>
      <c r="H25" s="48" cm="1">
        <f t="array" ref="H25">(H21/INDEX(H2:H21,MATCH(TRUE,INDEX(ISNUMBER(H2:H21),0),0)))^(1/H23)-1</f>
        <v>3.7127107321246466E-3</v>
      </c>
      <c r="I25" s="48" cm="1">
        <f t="array" ref="I25">(I21/INDEX(I2:I21,MATCH(TRUE,INDEX(ISNUMBER(I2:I21),0),0)))^(1/I23)-1</f>
        <v>0.12988959959671664</v>
      </c>
      <c r="J25" s="48" cm="1">
        <f t="array" ref="J25">(J21/INDEX(J2:J21,MATCH(TRUE,INDEX(ISNUMBER(J2:J21),0),0)))^(1/J23)-1</f>
        <v>5.9884631689594459E-2</v>
      </c>
      <c r="K25" s="48" cm="1">
        <f t="array" ref="K25">(K21/INDEX(K2:K21,MATCH(TRUE,INDEX(ISNUMBER(K2:K21),0),0)))^(1/K23)-1</f>
        <v>1.8533351282826072E-2</v>
      </c>
      <c r="L25" s="48" cm="1">
        <f t="array" ref="L25">(L21/INDEX(L2:L21,MATCH(TRUE,INDEX(ISNUMBER(L2:L21),0),0)))^(1/L23)-1</f>
        <v>3.4801405239490046E-2</v>
      </c>
      <c r="M25" s="48" cm="1">
        <f t="array" ref="M25">(M21/INDEX(M2:M21,MATCH(TRUE,INDEX(ISNUMBER(M2:M21),0),0)))^(1/M23)-1</f>
        <v>2.4009988201395327E-2</v>
      </c>
      <c r="N25" s="48" cm="1">
        <f t="array" ref="N25">(N21/INDEX(N2:N21,MATCH(TRUE,INDEX(ISNUMBER(N2:N21),0),0)))^(1/N23)-1</f>
        <v>9.2743992574173539E-3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0" customWidth="1"/>
    <col min="23" max="23" width="9.453125" customWidth="1"/>
  </cols>
  <sheetData>
    <row r="1" spans="1:24" ht="18.5" x14ac:dyDescent="0.45">
      <c r="A1" s="82" t="s">
        <v>556</v>
      </c>
      <c r="B1" s="83"/>
      <c r="C1" s="80"/>
      <c r="D1" s="80"/>
      <c r="E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</row>
    <row r="2" spans="1:24" x14ac:dyDescent="0.35">
      <c r="A2" s="80"/>
      <c r="B2" s="83"/>
      <c r="C2" s="80"/>
      <c r="D2" s="80"/>
      <c r="E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</row>
    <row r="3" spans="1:24" ht="21" x14ac:dyDescent="0.5">
      <c r="A3" s="84" t="s">
        <v>727</v>
      </c>
      <c r="B3" s="85"/>
      <c r="C3" s="80"/>
      <c r="D3" s="80"/>
      <c r="E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</row>
    <row r="4" spans="1:24" x14ac:dyDescent="0.35">
      <c r="A4" s="102" t="s">
        <v>557</v>
      </c>
      <c r="B4" s="85"/>
      <c r="C4" s="80"/>
      <c r="D4" s="80"/>
      <c r="E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</row>
    <row r="5" spans="1:24" x14ac:dyDescent="0.35">
      <c r="A5" s="80"/>
      <c r="B5" s="83"/>
      <c r="C5" s="80"/>
      <c r="D5" s="80"/>
      <c r="E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</row>
    <row r="6" spans="1:24" x14ac:dyDescent="0.35">
      <c r="A6" s="92"/>
      <c r="B6" s="95"/>
      <c r="C6" s="80"/>
      <c r="D6" s="80"/>
      <c r="E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</row>
    <row r="7" spans="1:24" x14ac:dyDescent="0.35">
      <c r="A7" s="216"/>
      <c r="B7" s="216"/>
      <c r="C7" s="80"/>
      <c r="D7" s="80"/>
      <c r="E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</row>
    <row r="8" spans="1:24" x14ac:dyDescent="0.35">
      <c r="A8" s="100"/>
      <c r="B8" s="100"/>
      <c r="C8" s="217" t="s">
        <v>558</v>
      </c>
      <c r="D8" s="218"/>
      <c r="E8" s="219"/>
      <c r="G8" s="80"/>
      <c r="H8" s="80"/>
      <c r="I8" s="80"/>
      <c r="J8" s="80"/>
      <c r="K8" s="80"/>
      <c r="L8" s="217" t="s">
        <v>559</v>
      </c>
      <c r="M8" s="218"/>
      <c r="N8" s="218"/>
      <c r="O8" s="218"/>
      <c r="P8" s="218"/>
      <c r="Q8" s="218"/>
      <c r="R8" s="218"/>
      <c r="S8" s="218"/>
      <c r="T8" s="218"/>
      <c r="U8" s="218"/>
      <c r="V8" s="219"/>
    </row>
    <row r="9" spans="1:24" ht="43.5" x14ac:dyDescent="0.35">
      <c r="A9" s="86" t="s">
        <v>560</v>
      </c>
      <c r="B9" s="86" t="s">
        <v>561</v>
      </c>
      <c r="C9" s="104" t="s">
        <v>562</v>
      </c>
      <c r="D9" s="105" t="s">
        <v>563</v>
      </c>
      <c r="E9" s="106" t="s">
        <v>564</v>
      </c>
      <c r="F9" s="110" t="s">
        <v>732</v>
      </c>
      <c r="G9" s="96" t="s">
        <v>728</v>
      </c>
      <c r="H9" s="98" t="s">
        <v>729</v>
      </c>
      <c r="I9" s="98" t="s">
        <v>730</v>
      </c>
      <c r="J9" s="97" t="s">
        <v>731</v>
      </c>
      <c r="K9" s="99"/>
      <c r="L9" s="109">
        <v>2012</v>
      </c>
      <c r="M9" s="87">
        <v>2013</v>
      </c>
      <c r="N9" s="87">
        <v>2014</v>
      </c>
      <c r="O9" s="87">
        <v>2015</v>
      </c>
      <c r="P9" s="87">
        <v>2016</v>
      </c>
      <c r="Q9" s="87">
        <v>2017</v>
      </c>
      <c r="R9" s="87">
        <v>2018</v>
      </c>
      <c r="S9" s="87">
        <v>2019</v>
      </c>
      <c r="T9" s="87">
        <v>2020</v>
      </c>
      <c r="U9" s="87">
        <v>2021</v>
      </c>
      <c r="V9" s="88">
        <v>2022</v>
      </c>
      <c r="W9" s="97" t="s">
        <v>738</v>
      </c>
      <c r="X9" s="97" t="s">
        <v>739</v>
      </c>
    </row>
    <row r="10" spans="1:24" x14ac:dyDescent="0.35">
      <c r="A10" s="81" t="s">
        <v>565</v>
      </c>
      <c r="B10" s="81" t="s">
        <v>566</v>
      </c>
      <c r="C10" s="89">
        <v>-6.330015897488761</v>
      </c>
      <c r="D10" s="90">
        <v>-1.9803203632740796</v>
      </c>
      <c r="E10" s="91">
        <v>1.4438839505667156</v>
      </c>
      <c r="G10" s="103" t="s">
        <v>567</v>
      </c>
      <c r="H10" s="101">
        <v>34.781666666666666</v>
      </c>
      <c r="I10" s="93">
        <v>154</v>
      </c>
      <c r="J10" s="94">
        <v>32</v>
      </c>
      <c r="K10" s="81"/>
      <c r="L10" s="89">
        <v>19.865459911417584</v>
      </c>
      <c r="M10" s="90">
        <v>9.8957883924851959</v>
      </c>
      <c r="N10" s="90">
        <v>6.5854081038949879</v>
      </c>
      <c r="O10" s="90">
        <v>0.98799999999999999</v>
      </c>
      <c r="P10" s="90">
        <v>2.1640000000000001</v>
      </c>
      <c r="Q10" s="90">
        <v>2.6469999999999998</v>
      </c>
      <c r="R10" s="90">
        <v>1.1890000000000001</v>
      </c>
      <c r="S10" s="90">
        <v>3.9119999999999999</v>
      </c>
      <c r="T10" s="90">
        <v>-2.351</v>
      </c>
      <c r="U10" s="90">
        <v>-2.4</v>
      </c>
      <c r="V10" s="91">
        <v>-5</v>
      </c>
      <c r="W10" s="91">
        <f>AVERAGE(D10,E10)</f>
        <v>-0.26821820635368199</v>
      </c>
    </row>
    <row r="11" spans="1:24" x14ac:dyDescent="0.35">
      <c r="A11" s="81" t="s">
        <v>227</v>
      </c>
      <c r="B11" s="81" t="s">
        <v>568</v>
      </c>
      <c r="C11" s="89">
        <v>2.8369230771995602</v>
      </c>
      <c r="D11" s="90">
        <v>2.527708680261509</v>
      </c>
      <c r="E11" s="91">
        <v>2.499335307066497</v>
      </c>
      <c r="G11" s="103" t="s">
        <v>398</v>
      </c>
      <c r="H11" s="101">
        <v>71.94876523650197</v>
      </c>
      <c r="I11" s="93">
        <v>80</v>
      </c>
      <c r="J11" s="94">
        <v>40</v>
      </c>
      <c r="K11" s="81"/>
      <c r="L11" s="89">
        <v>1.4329514555018943</v>
      </c>
      <c r="M11" s="90">
        <v>1.0096624423848639</v>
      </c>
      <c r="N11" s="90">
        <v>1.7987489151280414</v>
      </c>
      <c r="O11" s="90">
        <v>2.2189999999999999</v>
      </c>
      <c r="P11" s="90">
        <v>3.3149999999999999</v>
      </c>
      <c r="Q11" s="90">
        <v>3.802</v>
      </c>
      <c r="R11" s="90">
        <v>4.0190000000000001</v>
      </c>
      <c r="S11" s="90">
        <v>2.0880000000000001</v>
      </c>
      <c r="T11" s="90">
        <v>-3.4820000000000002</v>
      </c>
      <c r="U11" s="90">
        <v>8.516</v>
      </c>
      <c r="V11" s="91">
        <v>3.74</v>
      </c>
      <c r="W11" s="91">
        <f t="shared" ref="W11:W74" si="0">AVERAGE(D11,E11)</f>
        <v>2.513521993664003</v>
      </c>
    </row>
    <row r="12" spans="1:24" x14ac:dyDescent="0.35">
      <c r="A12" s="81" t="s">
        <v>569</v>
      </c>
      <c r="B12" s="81" t="s">
        <v>570</v>
      </c>
      <c r="C12" s="89">
        <v>0.36545353196819619</v>
      </c>
      <c r="D12" s="90">
        <v>0.98216884294510809</v>
      </c>
      <c r="E12" s="91">
        <v>1.9643097765769557</v>
      </c>
      <c r="G12" s="103" t="s">
        <v>571</v>
      </c>
      <c r="H12" s="101">
        <v>77.429986450518911</v>
      </c>
      <c r="I12" s="93">
        <v>59</v>
      </c>
      <c r="J12" s="94">
        <v>2</v>
      </c>
      <c r="K12" s="81"/>
      <c r="L12" s="89">
        <v>3.3999999982054412</v>
      </c>
      <c r="M12" s="90">
        <v>2.8000000002529002</v>
      </c>
      <c r="N12" s="90">
        <v>3.8000000007790273</v>
      </c>
      <c r="O12" s="90">
        <v>3.7</v>
      </c>
      <c r="P12" s="90">
        <v>3.2</v>
      </c>
      <c r="Q12" s="90">
        <v>1.4</v>
      </c>
      <c r="R12" s="90">
        <v>1.2</v>
      </c>
      <c r="S12" s="90">
        <v>1</v>
      </c>
      <c r="T12" s="90">
        <v>-5.0999999999999996</v>
      </c>
      <c r="U12" s="90">
        <v>3.4</v>
      </c>
      <c r="V12" s="91">
        <v>2.931</v>
      </c>
      <c r="W12" s="91">
        <f t="shared" si="0"/>
        <v>1.4732393097610319</v>
      </c>
    </row>
    <row r="13" spans="1:24" x14ac:dyDescent="0.35">
      <c r="A13" s="81" t="s">
        <v>569</v>
      </c>
      <c r="B13" s="81" t="s">
        <v>572</v>
      </c>
      <c r="C13" s="89">
        <v>-0.62057485054567429</v>
      </c>
      <c r="D13" s="90">
        <v>-0.7759815069387388</v>
      </c>
      <c r="E13" s="91">
        <v>0.38358743648301274</v>
      </c>
      <c r="G13" s="103" t="s">
        <v>567</v>
      </c>
      <c r="H13" s="101">
        <v>43.142397643089645</v>
      </c>
      <c r="I13" s="93">
        <v>147</v>
      </c>
      <c r="J13" s="94">
        <v>42</v>
      </c>
      <c r="K13" s="81"/>
      <c r="L13" s="89">
        <v>8.5421473366219605</v>
      </c>
      <c r="M13" s="90">
        <v>4.9545904703972692</v>
      </c>
      <c r="N13" s="90">
        <v>4.8226255512268246</v>
      </c>
      <c r="O13" s="90">
        <v>0.94399999999999995</v>
      </c>
      <c r="P13" s="90">
        <v>-2.58</v>
      </c>
      <c r="Q13" s="90">
        <v>-0.15</v>
      </c>
      <c r="R13" s="90">
        <v>-1.3160000000000001</v>
      </c>
      <c r="S13" s="90">
        <v>-0.70199999999999996</v>
      </c>
      <c r="T13" s="90">
        <v>-5.6379999999999999</v>
      </c>
      <c r="U13" s="90">
        <v>1.0920000000000001</v>
      </c>
      <c r="V13" s="91">
        <v>2.8410000000000002</v>
      </c>
      <c r="W13" s="91">
        <f t="shared" si="0"/>
        <v>-0.19619703522786303</v>
      </c>
    </row>
    <row r="14" spans="1:24" x14ac:dyDescent="0.35">
      <c r="A14" s="81" t="s">
        <v>573</v>
      </c>
      <c r="B14" s="81" t="s">
        <v>574</v>
      </c>
      <c r="C14" s="89">
        <v>1.5213184649000233</v>
      </c>
      <c r="D14" s="90">
        <v>2.4231703477095579E-4</v>
      </c>
      <c r="E14" s="91">
        <v>0.30638889849419204</v>
      </c>
      <c r="G14" s="103" t="s">
        <v>422</v>
      </c>
      <c r="H14" s="101">
        <v>63.902477118742887</v>
      </c>
      <c r="I14" s="93">
        <v>116</v>
      </c>
      <c r="J14" s="94">
        <v>16</v>
      </c>
      <c r="K14" s="81"/>
      <c r="L14" s="89">
        <v>-1.0264204544320839</v>
      </c>
      <c r="M14" s="90">
        <v>2.4053237807943506</v>
      </c>
      <c r="N14" s="90">
        <v>-2.5126153208139428</v>
      </c>
      <c r="O14" s="90">
        <v>2.7309999999999999</v>
      </c>
      <c r="P14" s="90">
        <v>-2.08</v>
      </c>
      <c r="Q14" s="90">
        <v>2.819</v>
      </c>
      <c r="R14" s="90">
        <v>-2.617</v>
      </c>
      <c r="S14" s="90">
        <v>-2.0009999999999999</v>
      </c>
      <c r="T14" s="90">
        <v>-9.9429999999999996</v>
      </c>
      <c r="U14" s="90">
        <v>10.398</v>
      </c>
      <c r="V14" s="91">
        <v>5.2430000000000003</v>
      </c>
      <c r="W14" s="91">
        <f t="shared" si="0"/>
        <v>0.1533156077644815</v>
      </c>
    </row>
    <row r="15" spans="1:24" x14ac:dyDescent="0.35">
      <c r="A15" s="81" t="s">
        <v>227</v>
      </c>
      <c r="B15" s="81" t="s">
        <v>575</v>
      </c>
      <c r="C15" s="89">
        <v>3.3694630969417716</v>
      </c>
      <c r="D15" s="90">
        <v>4.5685193344935815</v>
      </c>
      <c r="E15" s="91">
        <v>4.0499977792169295</v>
      </c>
      <c r="G15" s="103" t="s">
        <v>571</v>
      </c>
      <c r="H15" s="101">
        <v>81.866330149150926</v>
      </c>
      <c r="I15" s="93">
        <v>42</v>
      </c>
      <c r="J15" s="94">
        <v>28</v>
      </c>
      <c r="K15" s="81"/>
      <c r="L15" s="89">
        <v>7.200000000964871</v>
      </c>
      <c r="M15" s="90">
        <v>3.2999999999999674</v>
      </c>
      <c r="N15" s="90">
        <v>3.6000000005899464</v>
      </c>
      <c r="O15" s="90">
        <v>3.254</v>
      </c>
      <c r="P15" s="90">
        <v>0.19500000000000001</v>
      </c>
      <c r="Q15" s="90">
        <v>7.5179999999999998</v>
      </c>
      <c r="R15" s="90">
        <v>5.2249999999999996</v>
      </c>
      <c r="S15" s="90">
        <v>7.6310000000000002</v>
      </c>
      <c r="T15" s="90">
        <v>-7.1509999999999998</v>
      </c>
      <c r="U15" s="90">
        <v>5.6840000000000002</v>
      </c>
      <c r="V15" s="91">
        <v>12.603999999999999</v>
      </c>
      <c r="W15" s="91">
        <f t="shared" si="0"/>
        <v>4.3092585568552551</v>
      </c>
    </row>
    <row r="16" spans="1:24" x14ac:dyDescent="0.35">
      <c r="A16" s="81" t="s">
        <v>565</v>
      </c>
      <c r="B16" s="81" t="s">
        <v>576</v>
      </c>
      <c r="C16" s="89">
        <v>1.9372779726990919</v>
      </c>
      <c r="D16" s="90">
        <v>1.9542949107595797</v>
      </c>
      <c r="E16" s="91">
        <v>2.221593328352145</v>
      </c>
      <c r="G16" s="103" t="s">
        <v>415</v>
      </c>
      <c r="H16" s="101">
        <v>96.36744549025839</v>
      </c>
      <c r="I16" s="93">
        <v>11</v>
      </c>
      <c r="J16" s="94">
        <v>3</v>
      </c>
      <c r="K16" s="81"/>
      <c r="L16" s="89">
        <v>3.9181617722068416</v>
      </c>
      <c r="M16" s="90">
        <v>2.5848751108311681</v>
      </c>
      <c r="N16" s="90">
        <v>2.5331154467594699</v>
      </c>
      <c r="O16" s="90">
        <v>2.2829999999999999</v>
      </c>
      <c r="P16" s="90">
        <v>2.6909999999999998</v>
      </c>
      <c r="Q16" s="90">
        <v>2.383</v>
      </c>
      <c r="R16" s="90">
        <v>2.8149999999999999</v>
      </c>
      <c r="S16" s="90">
        <v>1.9430000000000001</v>
      </c>
      <c r="T16" s="90">
        <v>-1.8140000000000001</v>
      </c>
      <c r="U16" s="90">
        <v>5.1959999999999997</v>
      </c>
      <c r="V16" s="91">
        <v>3.661</v>
      </c>
      <c r="W16" s="91">
        <f t="shared" si="0"/>
        <v>2.0879441195558623</v>
      </c>
    </row>
    <row r="17" spans="1:23" x14ac:dyDescent="0.35">
      <c r="A17" s="81" t="s">
        <v>227</v>
      </c>
      <c r="B17" s="81" t="s">
        <v>577</v>
      </c>
      <c r="C17" s="89">
        <v>0.89080434606740866</v>
      </c>
      <c r="D17" s="90">
        <v>1.1485693717847134</v>
      </c>
      <c r="E17" s="91">
        <v>1.1982825816158282</v>
      </c>
      <c r="G17" s="103" t="s">
        <v>415</v>
      </c>
      <c r="H17" s="101">
        <v>95.913594407477049</v>
      </c>
      <c r="I17" s="93">
        <v>15</v>
      </c>
      <c r="J17" s="94">
        <v>10</v>
      </c>
      <c r="K17" s="81"/>
      <c r="L17" s="89">
        <v>0.68044557681670037</v>
      </c>
      <c r="M17" s="90">
        <v>2.5504712197222973E-2</v>
      </c>
      <c r="N17" s="90">
        <v>0.66127284885259119</v>
      </c>
      <c r="O17" s="90">
        <v>1.0149999999999999</v>
      </c>
      <c r="P17" s="90">
        <v>1.9890000000000001</v>
      </c>
      <c r="Q17" s="90">
        <v>2.2589999999999999</v>
      </c>
      <c r="R17" s="90">
        <v>2.4249999999999998</v>
      </c>
      <c r="S17" s="90">
        <v>1.5169999999999999</v>
      </c>
      <c r="T17" s="90">
        <v>-6.4539999999999997</v>
      </c>
      <c r="U17" s="90">
        <v>4.5570000000000004</v>
      </c>
      <c r="V17" s="91">
        <v>4.9969999999999999</v>
      </c>
      <c r="W17" s="91">
        <f t="shared" si="0"/>
        <v>1.1734259767002708</v>
      </c>
    </row>
    <row r="18" spans="1:23" x14ac:dyDescent="0.35">
      <c r="A18" s="81" t="s">
        <v>565</v>
      </c>
      <c r="B18" s="81" t="s">
        <v>578</v>
      </c>
      <c r="C18" s="89">
        <v>1.8824891899037688</v>
      </c>
      <c r="D18" s="90">
        <v>1.9289874111129146</v>
      </c>
      <c r="E18" s="91">
        <v>1.6182050869221642</v>
      </c>
      <c r="G18" s="103" t="s">
        <v>422</v>
      </c>
      <c r="H18" s="101">
        <v>66.732349416312132</v>
      </c>
      <c r="I18" s="93">
        <v>106</v>
      </c>
      <c r="J18" s="94">
        <v>20</v>
      </c>
      <c r="K18" s="81"/>
      <c r="L18" s="89">
        <v>2.1652394301296014</v>
      </c>
      <c r="M18" s="90">
        <v>5.8098009451315624</v>
      </c>
      <c r="N18" s="90">
        <v>2.7505070296654104</v>
      </c>
      <c r="O18" s="90">
        <v>1.05</v>
      </c>
      <c r="P18" s="90">
        <v>-3.0640000000000001</v>
      </c>
      <c r="Q18" s="90">
        <v>0.154</v>
      </c>
      <c r="R18" s="90">
        <v>1.5</v>
      </c>
      <c r="S18" s="90">
        <v>2.48</v>
      </c>
      <c r="T18" s="90">
        <v>-4.1989999999999998</v>
      </c>
      <c r="U18" s="90">
        <v>5.6</v>
      </c>
      <c r="V18" s="91">
        <v>4.6459999999999999</v>
      </c>
      <c r="W18" s="91">
        <f t="shared" si="0"/>
        <v>1.7735962490175394</v>
      </c>
    </row>
    <row r="19" spans="1:23" x14ac:dyDescent="0.35">
      <c r="A19" s="81" t="s">
        <v>573</v>
      </c>
      <c r="B19" s="81" t="s">
        <v>579</v>
      </c>
      <c r="C19" s="89">
        <v>-1.3025041762945944</v>
      </c>
      <c r="D19" s="90">
        <v>-5.1450420089638182E-2</v>
      </c>
      <c r="E19" s="91">
        <v>0.16369977541730307</v>
      </c>
      <c r="G19" s="103" t="s">
        <v>571</v>
      </c>
      <c r="H19" s="101">
        <v>79.378460082017611</v>
      </c>
      <c r="I19" s="93">
        <v>54</v>
      </c>
      <c r="J19" s="94">
        <v>8</v>
      </c>
      <c r="K19" s="81"/>
      <c r="L19" s="89">
        <v>3.0868791768834938</v>
      </c>
      <c r="M19" s="90">
        <v>-3.5838746627962172</v>
      </c>
      <c r="N19" s="90">
        <v>2.2881473175630553</v>
      </c>
      <c r="O19" s="90">
        <v>0.997</v>
      </c>
      <c r="P19" s="90">
        <v>-0.85799999999999998</v>
      </c>
      <c r="Q19" s="90">
        <v>3.05</v>
      </c>
      <c r="R19" s="90">
        <v>1.831</v>
      </c>
      <c r="S19" s="90">
        <v>1.8959999999999999</v>
      </c>
      <c r="T19" s="90">
        <v>-23.823</v>
      </c>
      <c r="U19" s="90">
        <v>13.72</v>
      </c>
      <c r="V19" s="91">
        <v>10.983000000000001</v>
      </c>
      <c r="W19" s="91">
        <f t="shared" si="0"/>
        <v>5.6124677663832445E-2</v>
      </c>
    </row>
    <row r="20" spans="1:23" x14ac:dyDescent="0.35">
      <c r="A20" s="81" t="s">
        <v>580</v>
      </c>
      <c r="B20" s="81" t="s">
        <v>581</v>
      </c>
      <c r="C20" s="89">
        <v>0.41671802598486352</v>
      </c>
      <c r="D20" s="90">
        <v>1.1307360567982316</v>
      </c>
      <c r="E20" s="91">
        <v>2.5452347834856504</v>
      </c>
      <c r="G20" s="103" t="s">
        <v>571</v>
      </c>
      <c r="H20" s="101">
        <v>77.128033983685327</v>
      </c>
      <c r="I20" s="93">
        <v>60</v>
      </c>
      <c r="J20" s="94">
        <v>7</v>
      </c>
      <c r="K20" s="81"/>
      <c r="L20" s="89">
        <v>3.7281084304601642</v>
      </c>
      <c r="M20" s="90">
        <v>5.41683981012069</v>
      </c>
      <c r="N20" s="90">
        <v>4.3503908525296939</v>
      </c>
      <c r="O20" s="90">
        <v>2.4849999999999999</v>
      </c>
      <c r="P20" s="90">
        <v>3.5579999999999998</v>
      </c>
      <c r="Q20" s="90">
        <v>4.2919999999999998</v>
      </c>
      <c r="R20" s="90">
        <v>2.11</v>
      </c>
      <c r="S20" s="90">
        <v>2.1669999999999998</v>
      </c>
      <c r="T20" s="90">
        <v>-4.6449999999999996</v>
      </c>
      <c r="U20" s="90">
        <v>2.67</v>
      </c>
      <c r="V20" s="91">
        <v>4.194</v>
      </c>
      <c r="W20" s="91">
        <f t="shared" si="0"/>
        <v>1.837985420141941</v>
      </c>
    </row>
    <row r="21" spans="1:23" x14ac:dyDescent="0.35">
      <c r="A21" s="81" t="s">
        <v>565</v>
      </c>
      <c r="B21" s="81" t="s">
        <v>582</v>
      </c>
      <c r="C21" s="89">
        <v>8.4780836054535911</v>
      </c>
      <c r="D21" s="90">
        <v>9.4495577005361255</v>
      </c>
      <c r="E21" s="91">
        <v>9.0902336923363691</v>
      </c>
      <c r="G21" s="103" t="s">
        <v>422</v>
      </c>
      <c r="H21" s="101">
        <v>59.78425810407569</v>
      </c>
      <c r="I21" s="93">
        <v>125</v>
      </c>
      <c r="J21" s="94">
        <v>25</v>
      </c>
      <c r="K21" s="81"/>
      <c r="L21" s="89">
        <v>15.458182784890836</v>
      </c>
      <c r="M21" s="90">
        <v>8.997951209804727</v>
      </c>
      <c r="N21" s="90">
        <v>9.1371359215878698</v>
      </c>
      <c r="O21" s="90">
        <v>6.5529999999999999</v>
      </c>
      <c r="P21" s="90">
        <v>7.1139999999999999</v>
      </c>
      <c r="Q21" s="90">
        <v>6.59</v>
      </c>
      <c r="R21" s="90">
        <v>7.319</v>
      </c>
      <c r="S21" s="90">
        <v>7.8819999999999997</v>
      </c>
      <c r="T21" s="90">
        <v>3.448</v>
      </c>
      <c r="U21" s="90">
        <v>6.9390000000000001</v>
      </c>
      <c r="V21" s="91">
        <v>7.1</v>
      </c>
      <c r="W21" s="91">
        <f t="shared" si="0"/>
        <v>9.2698956964362473</v>
      </c>
    </row>
    <row r="22" spans="1:23" x14ac:dyDescent="0.35">
      <c r="A22" s="81" t="s">
        <v>227</v>
      </c>
      <c r="B22" s="81" t="s">
        <v>583</v>
      </c>
      <c r="C22" s="89">
        <v>-1.0891270418666776</v>
      </c>
      <c r="D22" s="90">
        <v>0.24141365794498881</v>
      </c>
      <c r="E22" s="91">
        <v>-4.7343951578571186E-3</v>
      </c>
      <c r="G22" s="103" t="s">
        <v>571</v>
      </c>
      <c r="H22" s="101">
        <v>78.939379492547943</v>
      </c>
      <c r="I22" s="93">
        <v>55</v>
      </c>
      <c r="J22" s="94">
        <v>34</v>
      </c>
      <c r="K22" s="81"/>
      <c r="L22" s="89">
        <v>1.6871355364283958</v>
      </c>
      <c r="M22" s="90">
        <v>1.0034708408564619</v>
      </c>
      <c r="N22" s="90">
        <v>1.7263848541700804</v>
      </c>
      <c r="O22" s="90">
        <v>-3.83</v>
      </c>
      <c r="P22" s="90">
        <v>-2.536</v>
      </c>
      <c r="Q22" s="90">
        <v>2.5409999999999999</v>
      </c>
      <c r="R22" s="90">
        <v>3.1379999999999999</v>
      </c>
      <c r="S22" s="90">
        <v>1.446</v>
      </c>
      <c r="T22" s="90">
        <v>-0.67300000000000004</v>
      </c>
      <c r="U22" s="90">
        <v>2.2730000000000001</v>
      </c>
      <c r="V22" s="91">
        <v>-4.7409999999999997</v>
      </c>
      <c r="W22" s="91">
        <f t="shared" si="0"/>
        <v>0.11833963139356585</v>
      </c>
    </row>
    <row r="23" spans="1:23" x14ac:dyDescent="0.35">
      <c r="A23" s="81" t="s">
        <v>227</v>
      </c>
      <c r="B23" s="81" t="s">
        <v>584</v>
      </c>
      <c r="C23" s="89">
        <v>1.1690569098094628</v>
      </c>
      <c r="D23" s="90">
        <v>1.3937649310878042</v>
      </c>
      <c r="E23" s="91">
        <v>1.4413818728578276</v>
      </c>
      <c r="G23" s="103" t="s">
        <v>415</v>
      </c>
      <c r="H23" s="101">
        <v>93.483251457156101</v>
      </c>
      <c r="I23" s="93">
        <v>21</v>
      </c>
      <c r="J23" s="94">
        <v>14</v>
      </c>
      <c r="K23" s="81"/>
      <c r="L23" s="89">
        <v>0.73922990508162567</v>
      </c>
      <c r="M23" s="90">
        <v>0.45922805011605522</v>
      </c>
      <c r="N23" s="90">
        <v>1.578523229524472</v>
      </c>
      <c r="O23" s="90">
        <v>2.0409999999999999</v>
      </c>
      <c r="P23" s="90">
        <v>1.2669999999999999</v>
      </c>
      <c r="Q23" s="90">
        <v>1.62</v>
      </c>
      <c r="R23" s="90">
        <v>1.7929999999999999</v>
      </c>
      <c r="S23" s="90">
        <v>2.2410000000000001</v>
      </c>
      <c r="T23" s="90">
        <v>-5.3620000000000001</v>
      </c>
      <c r="U23" s="90">
        <v>6.1340000000000003</v>
      </c>
      <c r="V23" s="91">
        <v>3.0910000000000002</v>
      </c>
      <c r="W23" s="91">
        <f t="shared" si="0"/>
        <v>1.4175734019728159</v>
      </c>
    </row>
    <row r="24" spans="1:23" x14ac:dyDescent="0.35">
      <c r="A24" s="81" t="s">
        <v>569</v>
      </c>
      <c r="B24" s="81" t="s">
        <v>585</v>
      </c>
      <c r="C24" s="89">
        <v>5.666147255627263</v>
      </c>
      <c r="D24" s="90">
        <v>6.110859714036887</v>
      </c>
      <c r="E24" s="91">
        <v>5.477732246862832</v>
      </c>
      <c r="G24" s="103" t="s">
        <v>398</v>
      </c>
      <c r="H24" s="101">
        <v>73.01184037118577</v>
      </c>
      <c r="I24" s="93">
        <v>75</v>
      </c>
      <c r="J24" s="94">
        <v>7</v>
      </c>
      <c r="K24" s="81"/>
      <c r="L24" s="89">
        <v>4.811223315687994</v>
      </c>
      <c r="M24" s="90">
        <v>7.1914337214494379</v>
      </c>
      <c r="N24" s="90">
        <v>6.3576790979193039</v>
      </c>
      <c r="O24" s="90">
        <v>1.778</v>
      </c>
      <c r="P24" s="90">
        <v>3.34</v>
      </c>
      <c r="Q24" s="90">
        <v>5.6719999999999997</v>
      </c>
      <c r="R24" s="90">
        <v>6.6970000000000001</v>
      </c>
      <c r="S24" s="90">
        <v>6.8659999999999997</v>
      </c>
      <c r="T24" s="90">
        <v>3.8490000000000002</v>
      </c>
      <c r="U24" s="90">
        <v>7.1550000000000002</v>
      </c>
      <c r="V24" s="91">
        <v>6.0209999999999999</v>
      </c>
      <c r="W24" s="91">
        <f t="shared" si="0"/>
        <v>5.7942959804498599</v>
      </c>
    </row>
    <row r="25" spans="1:23" x14ac:dyDescent="0.35">
      <c r="A25" s="81" t="s">
        <v>565</v>
      </c>
      <c r="B25" s="81" t="s">
        <v>586</v>
      </c>
      <c r="C25" s="89">
        <v>-0.76587225840651918</v>
      </c>
      <c r="D25" s="90">
        <v>1.2676841708430198</v>
      </c>
      <c r="E25" s="91">
        <v>3.3347663550896245</v>
      </c>
      <c r="G25" s="103" t="s">
        <v>567</v>
      </c>
      <c r="H25" s="101">
        <v>55.154482190816807</v>
      </c>
      <c r="I25" s="93">
        <v>132</v>
      </c>
      <c r="J25" s="94">
        <v>28</v>
      </c>
      <c r="K25" s="81"/>
      <c r="L25" s="89">
        <v>5.1184008580053391</v>
      </c>
      <c r="M25" s="90">
        <v>2.1199726329821678</v>
      </c>
      <c r="N25" s="90">
        <v>5.7764956801372422</v>
      </c>
      <c r="O25" s="90">
        <v>6.2210000000000001</v>
      </c>
      <c r="P25" s="90">
        <v>7.4080000000000004</v>
      </c>
      <c r="Q25" s="90">
        <v>6.3220000000000001</v>
      </c>
      <c r="R25" s="90">
        <v>3.835</v>
      </c>
      <c r="S25" s="90">
        <v>4.4249999999999998</v>
      </c>
      <c r="T25" s="90">
        <v>-2.3479999999999999</v>
      </c>
      <c r="U25" s="90">
        <v>-3.3319999999999999</v>
      </c>
      <c r="V25" s="91">
        <v>4.3250000000000002</v>
      </c>
      <c r="W25" s="91">
        <f t="shared" si="0"/>
        <v>2.3012252629663221</v>
      </c>
    </row>
    <row r="26" spans="1:23" x14ac:dyDescent="0.35">
      <c r="A26" s="81" t="s">
        <v>573</v>
      </c>
      <c r="B26" s="81" t="s">
        <v>587</v>
      </c>
      <c r="C26" s="89">
        <v>-2.2304131763273283E-2</v>
      </c>
      <c r="D26" s="90">
        <v>1.2603639469641159</v>
      </c>
      <c r="E26" s="91">
        <v>3.1673454908146104</v>
      </c>
      <c r="G26" s="103" t="s">
        <v>567</v>
      </c>
      <c r="H26" s="101">
        <v>31.085526545532133</v>
      </c>
      <c r="I26" s="93">
        <v>155</v>
      </c>
      <c r="J26" s="94">
        <v>25</v>
      </c>
      <c r="K26" s="81"/>
      <c r="L26" s="89">
        <v>5.122274660983769</v>
      </c>
      <c r="M26" s="90">
        <v>6.7960117055974338</v>
      </c>
      <c r="N26" s="90">
        <v>5.4605671536850453</v>
      </c>
      <c r="O26" s="90">
        <v>4.8570000000000002</v>
      </c>
      <c r="P26" s="90">
        <v>4.2640000000000002</v>
      </c>
      <c r="Q26" s="90">
        <v>4.1950000000000003</v>
      </c>
      <c r="R26" s="90">
        <v>4.2240000000000002</v>
      </c>
      <c r="S26" s="90">
        <v>2.2170000000000001</v>
      </c>
      <c r="T26" s="90">
        <v>-8.7379999999999995</v>
      </c>
      <c r="U26" s="90">
        <v>6.1059999999999999</v>
      </c>
      <c r="V26" s="91">
        <v>3.2</v>
      </c>
      <c r="W26" s="91">
        <f t="shared" si="0"/>
        <v>2.2138547188893631</v>
      </c>
    </row>
    <row r="27" spans="1:23" x14ac:dyDescent="0.35">
      <c r="A27" s="81" t="s">
        <v>227</v>
      </c>
      <c r="B27" s="81" t="s">
        <v>588</v>
      </c>
      <c r="C27" s="89">
        <v>2.6460933550704002</v>
      </c>
      <c r="D27" s="90">
        <v>2.9046927076515017</v>
      </c>
      <c r="E27" s="91">
        <v>2.7421493700034771</v>
      </c>
      <c r="G27" s="103" t="s">
        <v>422</v>
      </c>
      <c r="H27" s="101">
        <v>66.414016463166035</v>
      </c>
      <c r="I27" s="93">
        <v>108</v>
      </c>
      <c r="J27" s="94">
        <v>41</v>
      </c>
      <c r="K27" s="81"/>
      <c r="L27" s="89">
        <v>-0.82183647421687545</v>
      </c>
      <c r="M27" s="90">
        <v>2.3498566632458062</v>
      </c>
      <c r="N27" s="90">
        <v>1.1538510920040257</v>
      </c>
      <c r="O27" s="90">
        <v>4.3140000000000001</v>
      </c>
      <c r="P27" s="90">
        <v>3.242</v>
      </c>
      <c r="Q27" s="90">
        <v>3.2440000000000002</v>
      </c>
      <c r="R27" s="90">
        <v>3.8290000000000002</v>
      </c>
      <c r="S27" s="90">
        <v>2.8860000000000001</v>
      </c>
      <c r="T27" s="90">
        <v>-3.0150000000000001</v>
      </c>
      <c r="U27" s="90">
        <v>7.3920000000000003</v>
      </c>
      <c r="V27" s="91">
        <v>3.8</v>
      </c>
      <c r="W27" s="91">
        <f t="shared" si="0"/>
        <v>2.8234210388274894</v>
      </c>
    </row>
    <row r="28" spans="1:23" x14ac:dyDescent="0.35">
      <c r="A28" s="81" t="s">
        <v>569</v>
      </c>
      <c r="B28" s="81" t="s">
        <v>589</v>
      </c>
      <c r="C28" s="89">
        <v>2.6588943634134665</v>
      </c>
      <c r="D28" s="90">
        <v>1.4503583241093798</v>
      </c>
      <c r="E28" s="91">
        <v>2.7752039527026096</v>
      </c>
      <c r="G28" s="103" t="s">
        <v>398</v>
      </c>
      <c r="H28" s="101">
        <v>74.531513757725932</v>
      </c>
      <c r="I28" s="93">
        <v>70</v>
      </c>
      <c r="J28" s="94">
        <v>6</v>
      </c>
      <c r="K28" s="81"/>
      <c r="L28" s="89">
        <v>4.4561672130978769</v>
      </c>
      <c r="M28" s="90">
        <v>11.343424252775241</v>
      </c>
      <c r="N28" s="90">
        <v>4.149289893135184</v>
      </c>
      <c r="O28" s="90">
        <v>-4.851</v>
      </c>
      <c r="P28" s="90">
        <v>7.202</v>
      </c>
      <c r="Q28" s="90">
        <v>4.1130000000000004</v>
      </c>
      <c r="R28" s="90">
        <v>4.1900000000000004</v>
      </c>
      <c r="S28" s="90">
        <v>3.0329999999999999</v>
      </c>
      <c r="T28" s="90">
        <v>-8.7260000000000009</v>
      </c>
      <c r="U28" s="90">
        <v>11.84</v>
      </c>
      <c r="V28" s="91">
        <v>6.4329999999999998</v>
      </c>
      <c r="W28" s="91">
        <f t="shared" si="0"/>
        <v>2.1127811384059947</v>
      </c>
    </row>
    <row r="29" spans="1:23" x14ac:dyDescent="0.35">
      <c r="A29" s="81" t="s">
        <v>573</v>
      </c>
      <c r="B29" s="81" t="s">
        <v>590</v>
      </c>
      <c r="C29" s="89">
        <v>1.146428167182445</v>
      </c>
      <c r="D29" s="90">
        <v>1.295085878975577</v>
      </c>
      <c r="E29" s="91">
        <v>0.42795301380476047</v>
      </c>
      <c r="G29" s="103" t="s">
        <v>571</v>
      </c>
      <c r="H29" s="101">
        <v>79.569249143394813</v>
      </c>
      <c r="I29" s="93">
        <v>51</v>
      </c>
      <c r="J29" s="94">
        <v>7</v>
      </c>
      <c r="K29" s="81"/>
      <c r="L29" s="89">
        <v>1.9211503183629988</v>
      </c>
      <c r="M29" s="90">
        <v>3.0048463050570873</v>
      </c>
      <c r="N29" s="90">
        <v>0.50395574024224987</v>
      </c>
      <c r="O29" s="90">
        <v>-3.5459999999999998</v>
      </c>
      <c r="P29" s="90">
        <v>-3.2759999999999998</v>
      </c>
      <c r="Q29" s="90">
        <v>1.323</v>
      </c>
      <c r="R29" s="90">
        <v>1.784</v>
      </c>
      <c r="S29" s="90">
        <v>1.2210000000000001</v>
      </c>
      <c r="T29" s="90">
        <v>-3.2770000000000001</v>
      </c>
      <c r="U29" s="90">
        <v>4.9889999999999999</v>
      </c>
      <c r="V29" s="91">
        <v>2.9009999999999998</v>
      </c>
      <c r="W29" s="91">
        <f t="shared" si="0"/>
        <v>0.86151944639016875</v>
      </c>
    </row>
    <row r="30" spans="1:23" x14ac:dyDescent="0.35">
      <c r="A30" s="81" t="s">
        <v>565</v>
      </c>
      <c r="B30" s="81" t="s">
        <v>591</v>
      </c>
      <c r="C30" s="89">
        <v>-0.66374440025495085</v>
      </c>
      <c r="D30" s="90">
        <v>0.37078358077795581</v>
      </c>
      <c r="E30" s="91">
        <v>-0.44114896551331606</v>
      </c>
      <c r="G30" s="103" t="s">
        <v>567</v>
      </c>
      <c r="H30" s="101">
        <v>47.581995606084838</v>
      </c>
      <c r="I30" s="93">
        <v>142</v>
      </c>
      <c r="J30" s="94">
        <v>30</v>
      </c>
      <c r="K30" s="81"/>
      <c r="L30" s="89">
        <v>0.91284167096442625</v>
      </c>
      <c r="M30" s="90">
        <v>-2.1260285174017546</v>
      </c>
      <c r="N30" s="90">
        <v>-2.5083525664456063</v>
      </c>
      <c r="O30" s="90">
        <v>-0.40500000000000003</v>
      </c>
      <c r="P30" s="90">
        <v>-2.4649999999999999</v>
      </c>
      <c r="Q30" s="90">
        <v>1.329</v>
      </c>
      <c r="R30" s="90">
        <v>5.1999999999999998E-2</v>
      </c>
      <c r="S30" s="90">
        <v>3.8690000000000002</v>
      </c>
      <c r="T30" s="90">
        <v>1.1339999999999999</v>
      </c>
      <c r="U30" s="90">
        <v>-1.591</v>
      </c>
      <c r="V30" s="91">
        <v>-1.51</v>
      </c>
      <c r="W30" s="91">
        <f t="shared" si="0"/>
        <v>-3.5182692367680124E-2</v>
      </c>
    </row>
    <row r="31" spans="1:23" x14ac:dyDescent="0.35">
      <c r="A31" s="81" t="s">
        <v>227</v>
      </c>
      <c r="B31" s="81" t="s">
        <v>592</v>
      </c>
      <c r="C31" s="89">
        <v>2.2325090532704595</v>
      </c>
      <c r="D31" s="90">
        <v>2.7879873369299979</v>
      </c>
      <c r="E31" s="91">
        <v>2.7412414949005814</v>
      </c>
      <c r="G31" s="103" t="s">
        <v>571</v>
      </c>
      <c r="H31" s="101">
        <v>82.826908120877093</v>
      </c>
      <c r="I31" s="93">
        <v>40</v>
      </c>
      <c r="J31" s="94">
        <v>26</v>
      </c>
      <c r="K31" s="81"/>
      <c r="L31" s="89">
        <v>0.36058318828756941</v>
      </c>
      <c r="M31" s="90">
        <v>0.31873576132258219</v>
      </c>
      <c r="N31" s="90">
        <v>1.8945471424192788</v>
      </c>
      <c r="O31" s="90">
        <v>3.4279999999999999</v>
      </c>
      <c r="P31" s="90">
        <v>3.04</v>
      </c>
      <c r="Q31" s="90">
        <v>2.762</v>
      </c>
      <c r="R31" s="90">
        <v>2.6850000000000001</v>
      </c>
      <c r="S31" s="90">
        <v>4.0380000000000003</v>
      </c>
      <c r="T31" s="90">
        <v>-3.9590000000000001</v>
      </c>
      <c r="U31" s="90">
        <v>7.6349999999999998</v>
      </c>
      <c r="V31" s="91">
        <v>3.3610000000000002</v>
      </c>
      <c r="W31" s="91">
        <f t="shared" si="0"/>
        <v>2.7646144159152897</v>
      </c>
    </row>
    <row r="32" spans="1:23" x14ac:dyDescent="0.35">
      <c r="A32" s="81" t="s">
        <v>569</v>
      </c>
      <c r="B32" s="81" t="s">
        <v>593</v>
      </c>
      <c r="C32" s="89">
        <v>3.7461786866062718</v>
      </c>
      <c r="D32" s="90">
        <v>4.6060819779328632</v>
      </c>
      <c r="E32" s="91">
        <v>4.9153359042722222</v>
      </c>
      <c r="G32" s="103" t="s">
        <v>398</v>
      </c>
      <c r="H32" s="101">
        <v>71.439342263551737</v>
      </c>
      <c r="I32" s="93">
        <v>81</v>
      </c>
      <c r="J32" s="94">
        <v>11</v>
      </c>
      <c r="K32" s="81"/>
      <c r="L32" s="89">
        <v>6.4526723809054332</v>
      </c>
      <c r="M32" s="90">
        <v>5.7926055919056534</v>
      </c>
      <c r="N32" s="90">
        <v>4.3268456132150384</v>
      </c>
      <c r="O32" s="90">
        <v>3.9209999999999998</v>
      </c>
      <c r="P32" s="90">
        <v>5.9580000000000002</v>
      </c>
      <c r="Q32" s="90">
        <v>6.2030000000000003</v>
      </c>
      <c r="R32" s="90">
        <v>6.6029999999999998</v>
      </c>
      <c r="S32" s="90">
        <v>5.6890000000000001</v>
      </c>
      <c r="T32" s="90">
        <v>1.931</v>
      </c>
      <c r="U32" s="90">
        <v>6.9050000000000002</v>
      </c>
      <c r="V32" s="91">
        <v>2.4729999999999999</v>
      </c>
      <c r="W32" s="91">
        <f t="shared" si="0"/>
        <v>4.7607089411025427</v>
      </c>
    </row>
    <row r="33" spans="1:23" x14ac:dyDescent="0.35">
      <c r="A33" s="81" t="s">
        <v>569</v>
      </c>
      <c r="B33" s="81" t="s">
        <v>594</v>
      </c>
      <c r="C33" s="89">
        <v>1.3140617594302739</v>
      </c>
      <c r="D33" s="90">
        <v>1.4727306023839093</v>
      </c>
      <c r="E33" s="91">
        <v>1.2263384025287261</v>
      </c>
      <c r="G33" s="103" t="s">
        <v>567</v>
      </c>
      <c r="H33" s="101">
        <v>45.872398734881529</v>
      </c>
      <c r="I33" s="93">
        <v>144</v>
      </c>
      <c r="J33" s="94">
        <v>40</v>
      </c>
      <c r="K33" s="81"/>
      <c r="L33" s="89">
        <v>4.4467082221454284</v>
      </c>
      <c r="M33" s="90">
        <v>4.9241952612883146</v>
      </c>
      <c r="N33" s="90">
        <v>4.2406516436807848</v>
      </c>
      <c r="O33" s="90">
        <v>-3.9</v>
      </c>
      <c r="P33" s="90">
        <v>-0.6</v>
      </c>
      <c r="Q33" s="90">
        <v>0.5</v>
      </c>
      <c r="R33" s="90">
        <v>1.61</v>
      </c>
      <c r="S33" s="90">
        <v>1.8420000000000001</v>
      </c>
      <c r="T33" s="90">
        <v>0.33500000000000002</v>
      </c>
      <c r="U33" s="90">
        <v>3.1190000000000002</v>
      </c>
      <c r="V33" s="91">
        <v>1.827</v>
      </c>
      <c r="W33" s="91">
        <f t="shared" si="0"/>
        <v>1.3495345024563177</v>
      </c>
    </row>
    <row r="34" spans="1:23" x14ac:dyDescent="0.35">
      <c r="A34" s="81" t="s">
        <v>569</v>
      </c>
      <c r="B34" s="81" t="s">
        <v>595</v>
      </c>
      <c r="C34" s="89">
        <v>0.23646198785876038</v>
      </c>
      <c r="D34" s="90">
        <v>2.1534613712418604</v>
      </c>
      <c r="E34" s="91">
        <v>2.1525774639498785</v>
      </c>
      <c r="G34" s="103" t="s">
        <v>398</v>
      </c>
      <c r="H34" s="101">
        <v>72.784877013329833</v>
      </c>
      <c r="I34" s="93">
        <v>78</v>
      </c>
      <c r="J34" s="94">
        <v>9</v>
      </c>
      <c r="K34" s="81"/>
      <c r="L34" s="89">
        <v>1.0819182787712764</v>
      </c>
      <c r="M34" s="90">
        <v>0.80279760057422567</v>
      </c>
      <c r="N34" s="90">
        <v>0.61121266620786829</v>
      </c>
      <c r="O34" s="90">
        <v>1.0069999999999999</v>
      </c>
      <c r="P34" s="90">
        <v>4.7060000000000004</v>
      </c>
      <c r="Q34" s="90">
        <v>3.702</v>
      </c>
      <c r="R34" s="90">
        <v>14.566000000000001</v>
      </c>
      <c r="S34" s="90">
        <v>5.6680000000000001</v>
      </c>
      <c r="T34" s="90">
        <v>-14.782999999999999</v>
      </c>
      <c r="U34" s="90">
        <v>7</v>
      </c>
      <c r="V34" s="91">
        <v>10.5</v>
      </c>
      <c r="W34" s="91">
        <f t="shared" si="0"/>
        <v>2.1530194175958695</v>
      </c>
    </row>
    <row r="35" spans="1:23" x14ac:dyDescent="0.35">
      <c r="A35" s="81" t="s">
        <v>565</v>
      </c>
      <c r="B35" s="81" t="s">
        <v>596</v>
      </c>
      <c r="C35" s="89">
        <v>1.5881444792890331</v>
      </c>
      <c r="D35" s="90">
        <v>3.8205347927408928</v>
      </c>
      <c r="E35" s="91">
        <v>5.437149341759695</v>
      </c>
      <c r="G35" s="103" t="s">
        <v>567</v>
      </c>
      <c r="H35" s="101">
        <v>41.696651110677628</v>
      </c>
      <c r="I35" s="93">
        <v>149</v>
      </c>
      <c r="J35" s="94">
        <v>31</v>
      </c>
      <c r="K35" s="81"/>
      <c r="L35" s="89">
        <v>7.3133455053000533</v>
      </c>
      <c r="M35" s="90">
        <v>7.3566651488797472</v>
      </c>
      <c r="N35" s="90">
        <v>7.1425711007429467</v>
      </c>
      <c r="O35" s="90">
        <v>7.0359999999999996</v>
      </c>
      <c r="P35" s="90">
        <v>6.8630000000000004</v>
      </c>
      <c r="Q35" s="90">
        <v>6.9969999999999999</v>
      </c>
      <c r="R35" s="90">
        <v>7.4690000000000003</v>
      </c>
      <c r="S35" s="90">
        <v>7.0540000000000003</v>
      </c>
      <c r="T35" s="90">
        <v>-3.0960000000000001</v>
      </c>
      <c r="U35" s="90">
        <v>3.0259999999999998</v>
      </c>
      <c r="V35" s="91">
        <v>5.0119999999999996</v>
      </c>
      <c r="W35" s="91">
        <f t="shared" si="0"/>
        <v>4.6288420672502939</v>
      </c>
    </row>
    <row r="36" spans="1:23" x14ac:dyDescent="0.35">
      <c r="A36" s="81" t="s">
        <v>569</v>
      </c>
      <c r="B36" s="81" t="s">
        <v>597</v>
      </c>
      <c r="C36" s="89">
        <v>2.4193069652844734</v>
      </c>
      <c r="D36" s="90">
        <v>3.5683606479580687</v>
      </c>
      <c r="E36" s="91">
        <v>4.2936580650607903</v>
      </c>
      <c r="G36" s="103" t="s">
        <v>422</v>
      </c>
      <c r="H36" s="101">
        <v>66.487838229569903</v>
      </c>
      <c r="I36" s="93">
        <v>107</v>
      </c>
      <c r="J36" s="94">
        <v>24</v>
      </c>
      <c r="K36" s="81"/>
      <c r="L36" s="89">
        <v>4.5432650156673571</v>
      </c>
      <c r="M36" s="90">
        <v>5.4042657097173343</v>
      </c>
      <c r="N36" s="90">
        <v>5.8840593266804415</v>
      </c>
      <c r="O36" s="90">
        <v>5.6</v>
      </c>
      <c r="P36" s="90">
        <v>4.4790000000000001</v>
      </c>
      <c r="Q36" s="90">
        <v>3.5409999999999999</v>
      </c>
      <c r="R36" s="90">
        <v>4.0220000000000002</v>
      </c>
      <c r="S36" s="90">
        <v>3.4220000000000002</v>
      </c>
      <c r="T36" s="90">
        <v>0.53900000000000003</v>
      </c>
      <c r="U36" s="90">
        <v>3.649</v>
      </c>
      <c r="V36" s="91">
        <v>3.383</v>
      </c>
      <c r="W36" s="91">
        <f t="shared" si="0"/>
        <v>3.9310093565094295</v>
      </c>
    </row>
    <row r="37" spans="1:23" x14ac:dyDescent="0.35">
      <c r="A37" s="81" t="s">
        <v>573</v>
      </c>
      <c r="B37" s="81" t="s">
        <v>598</v>
      </c>
      <c r="C37" s="89">
        <v>0.80505563787092171</v>
      </c>
      <c r="D37" s="90">
        <v>1.279888102037452</v>
      </c>
      <c r="E37" s="91">
        <v>1.6398804050051563</v>
      </c>
      <c r="G37" s="103" t="s">
        <v>415</v>
      </c>
      <c r="H37" s="101">
        <v>95.837528170961207</v>
      </c>
      <c r="I37" s="93">
        <v>17</v>
      </c>
      <c r="J37" s="94">
        <v>2</v>
      </c>
      <c r="K37" s="81"/>
      <c r="L37" s="89">
        <v>1.762222549554276</v>
      </c>
      <c r="M37" s="90">
        <v>2.3291225223044822</v>
      </c>
      <c r="N37" s="90">
        <v>2.8700360387422155</v>
      </c>
      <c r="O37" s="90">
        <v>0.65900000000000003</v>
      </c>
      <c r="P37" s="90">
        <v>1.0009999999999999</v>
      </c>
      <c r="Q37" s="90">
        <v>3.04</v>
      </c>
      <c r="R37" s="90">
        <v>2.7770000000000001</v>
      </c>
      <c r="S37" s="90">
        <v>1.8879999999999999</v>
      </c>
      <c r="T37" s="90">
        <v>-5.0739999999999998</v>
      </c>
      <c r="U37" s="90">
        <v>5.0119999999999996</v>
      </c>
      <c r="V37" s="91">
        <v>3.3959999999999999</v>
      </c>
      <c r="W37" s="91">
        <f t="shared" si="0"/>
        <v>1.4598842535213041</v>
      </c>
    </row>
    <row r="38" spans="1:23" x14ac:dyDescent="0.35">
      <c r="A38" s="81" t="s">
        <v>569</v>
      </c>
      <c r="B38" s="81" t="s">
        <v>599</v>
      </c>
      <c r="C38" s="89">
        <v>0.72569907638180275</v>
      </c>
      <c r="D38" s="90">
        <v>1.8043988935163791</v>
      </c>
      <c r="E38" s="91">
        <v>-2.2645674209426092</v>
      </c>
      <c r="G38" s="103" t="s">
        <v>567</v>
      </c>
      <c r="H38" s="101">
        <v>41.466247411534134</v>
      </c>
      <c r="I38" s="93">
        <v>150</v>
      </c>
      <c r="J38" s="94">
        <v>44</v>
      </c>
      <c r="K38" s="81"/>
      <c r="L38" s="89">
        <v>5.053761253569192</v>
      </c>
      <c r="M38" s="90">
        <v>-36.391977098388679</v>
      </c>
      <c r="N38" s="90">
        <v>8.1070515326508011E-2</v>
      </c>
      <c r="O38" s="90">
        <v>4.3380000000000001</v>
      </c>
      <c r="P38" s="90">
        <v>4.75</v>
      </c>
      <c r="Q38" s="90">
        <v>4.5279999999999996</v>
      </c>
      <c r="R38" s="90">
        <v>3.82</v>
      </c>
      <c r="S38" s="90">
        <v>2.97</v>
      </c>
      <c r="T38" s="90">
        <v>0.95899999999999996</v>
      </c>
      <c r="U38" s="90">
        <v>0.98299999999999998</v>
      </c>
      <c r="V38" s="91">
        <v>0.378</v>
      </c>
      <c r="W38" s="91">
        <f t="shared" si="0"/>
        <v>-0.23008426371311508</v>
      </c>
    </row>
    <row r="39" spans="1:23" x14ac:dyDescent="0.35">
      <c r="A39" s="81" t="s">
        <v>569</v>
      </c>
      <c r="B39" s="81" t="s">
        <v>600</v>
      </c>
      <c r="C39" s="89">
        <v>-0.11885802228936981</v>
      </c>
      <c r="D39" s="90">
        <v>1.0424126086531427</v>
      </c>
      <c r="E39" s="91">
        <v>1.0693731739606749</v>
      </c>
      <c r="G39" s="103" t="s">
        <v>567</v>
      </c>
      <c r="H39" s="101">
        <v>46.134841898100355</v>
      </c>
      <c r="I39" s="93">
        <v>143</v>
      </c>
      <c r="J39" s="94">
        <v>39</v>
      </c>
      <c r="K39" s="81"/>
      <c r="L39" s="89">
        <v>8.8825760717031557</v>
      </c>
      <c r="M39" s="90">
        <v>5.7000013628586537</v>
      </c>
      <c r="N39" s="90">
        <v>6.8999850453216673</v>
      </c>
      <c r="O39" s="90">
        <v>1.77</v>
      </c>
      <c r="P39" s="90">
        <v>-5.5579999999999998</v>
      </c>
      <c r="Q39" s="90">
        <v>-2.38</v>
      </c>
      <c r="R39" s="90">
        <v>2.355</v>
      </c>
      <c r="S39" s="90">
        <v>3.419</v>
      </c>
      <c r="T39" s="90">
        <v>-2.1419999999999999</v>
      </c>
      <c r="U39" s="90">
        <v>-1.1020000000000001</v>
      </c>
      <c r="V39" s="91">
        <v>2.4940000000000002</v>
      </c>
      <c r="W39" s="91">
        <f t="shared" si="0"/>
        <v>1.0558928913069088</v>
      </c>
    </row>
    <row r="40" spans="1:23" x14ac:dyDescent="0.35">
      <c r="A40" s="81" t="s">
        <v>573</v>
      </c>
      <c r="B40" s="81" t="s">
        <v>601</v>
      </c>
      <c r="C40" s="89">
        <v>2.4572143474803632</v>
      </c>
      <c r="D40" s="90">
        <v>3.0605383736418856</v>
      </c>
      <c r="E40" s="91">
        <v>2.6285168981251106</v>
      </c>
      <c r="G40" s="103" t="s">
        <v>415</v>
      </c>
      <c r="H40" s="101">
        <v>89.938976035792962</v>
      </c>
      <c r="I40" s="93">
        <v>28</v>
      </c>
      <c r="J40" s="94">
        <v>3</v>
      </c>
      <c r="K40" s="81"/>
      <c r="L40" s="89">
        <v>5.3186280004141473</v>
      </c>
      <c r="M40" s="90">
        <v>4.0450042981489593</v>
      </c>
      <c r="N40" s="90">
        <v>1.7667397836386938</v>
      </c>
      <c r="O40" s="90">
        <v>2.1520000000000001</v>
      </c>
      <c r="P40" s="90">
        <v>1.7529999999999999</v>
      </c>
      <c r="Q40" s="90">
        <v>1.3580000000000001</v>
      </c>
      <c r="R40" s="90">
        <v>3.99</v>
      </c>
      <c r="S40" s="90">
        <v>0.74299999999999999</v>
      </c>
      <c r="T40" s="90">
        <v>-6.1449999999999996</v>
      </c>
      <c r="U40" s="90">
        <v>11.737</v>
      </c>
      <c r="V40" s="91">
        <v>2.44</v>
      </c>
      <c r="W40" s="91">
        <f t="shared" si="0"/>
        <v>2.8445276358834981</v>
      </c>
    </row>
    <row r="41" spans="1:23" x14ac:dyDescent="0.35">
      <c r="A41" s="81" t="s">
        <v>565</v>
      </c>
      <c r="B41" s="81" t="s">
        <v>602</v>
      </c>
      <c r="C41" s="89">
        <v>4.4136018906123953</v>
      </c>
      <c r="D41" s="90">
        <v>5.1836523723133077</v>
      </c>
      <c r="E41" s="91">
        <v>6.1897338385474399</v>
      </c>
      <c r="G41" s="103" t="s">
        <v>571</v>
      </c>
      <c r="H41" s="101">
        <v>79.714044846147502</v>
      </c>
      <c r="I41" s="93">
        <v>50</v>
      </c>
      <c r="J41" s="94">
        <v>7</v>
      </c>
      <c r="K41" s="81"/>
      <c r="L41" s="89">
        <v>7.8596274932851555</v>
      </c>
      <c r="M41" s="90">
        <v>7.7686152841281606</v>
      </c>
      <c r="N41" s="90">
        <v>7.4245236561990726</v>
      </c>
      <c r="O41" s="90">
        <v>7.0179999999999998</v>
      </c>
      <c r="P41" s="90">
        <v>6.851</v>
      </c>
      <c r="Q41" s="90">
        <v>6.9470000000000001</v>
      </c>
      <c r="R41" s="90">
        <v>6.7510000000000003</v>
      </c>
      <c r="S41" s="90">
        <v>5.9509999999999996</v>
      </c>
      <c r="T41" s="90">
        <v>2.242</v>
      </c>
      <c r="U41" s="90">
        <v>8.4499999999999993</v>
      </c>
      <c r="V41" s="91">
        <v>2.988</v>
      </c>
      <c r="W41" s="91">
        <f t="shared" si="0"/>
        <v>5.6866931054303738</v>
      </c>
    </row>
    <row r="42" spans="1:23" x14ac:dyDescent="0.35">
      <c r="A42" s="81" t="s">
        <v>573</v>
      </c>
      <c r="B42" s="81" t="s">
        <v>603</v>
      </c>
      <c r="C42" s="89">
        <v>3.4115994769119862</v>
      </c>
      <c r="D42" s="90">
        <v>2.9902381196408978</v>
      </c>
      <c r="E42" s="91">
        <v>3.0937390088282557</v>
      </c>
      <c r="G42" s="103" t="s">
        <v>571</v>
      </c>
      <c r="H42" s="101">
        <v>79.943455242802315</v>
      </c>
      <c r="I42" s="93">
        <v>48</v>
      </c>
      <c r="J42" s="94">
        <v>6</v>
      </c>
      <c r="K42" s="81"/>
      <c r="L42" s="89">
        <v>3.9126357671611296</v>
      </c>
      <c r="M42" s="90">
        <v>5.1339935199566966</v>
      </c>
      <c r="N42" s="90">
        <v>4.4990300011097339</v>
      </c>
      <c r="O42" s="90">
        <v>2.956</v>
      </c>
      <c r="P42" s="90">
        <v>2.0880000000000001</v>
      </c>
      <c r="Q42" s="90">
        <v>1.359</v>
      </c>
      <c r="R42" s="90">
        <v>2.5640000000000001</v>
      </c>
      <c r="S42" s="90">
        <v>3.1869999999999998</v>
      </c>
      <c r="T42" s="90">
        <v>-7.2519999999999998</v>
      </c>
      <c r="U42" s="90">
        <v>11.016</v>
      </c>
      <c r="V42" s="91">
        <v>7.4960000000000004</v>
      </c>
      <c r="W42" s="91">
        <f t="shared" si="0"/>
        <v>3.0419885642345768</v>
      </c>
    </row>
    <row r="43" spans="1:23" x14ac:dyDescent="0.35">
      <c r="A43" s="81" t="s">
        <v>569</v>
      </c>
      <c r="B43" s="81" t="s">
        <v>604</v>
      </c>
      <c r="C43" s="89">
        <v>1.4424277454801349</v>
      </c>
      <c r="D43" s="90">
        <v>1.9425285111170032</v>
      </c>
      <c r="E43" s="91">
        <v>2.451644301489786</v>
      </c>
      <c r="G43" s="103" t="s">
        <v>422</v>
      </c>
      <c r="H43" s="101">
        <v>68.943026951610364</v>
      </c>
      <c r="I43" s="93">
        <v>96</v>
      </c>
      <c r="J43" s="94">
        <v>17</v>
      </c>
      <c r="K43" s="81"/>
      <c r="L43" s="89">
        <v>3.2002729031888046</v>
      </c>
      <c r="M43" s="90">
        <v>4.4998742153082745</v>
      </c>
      <c r="N43" s="90">
        <v>2.1000064383028905</v>
      </c>
      <c r="O43" s="90">
        <v>1.147</v>
      </c>
      <c r="P43" s="90">
        <v>3.32</v>
      </c>
      <c r="Q43" s="90">
        <v>3.8159999999999998</v>
      </c>
      <c r="R43" s="90">
        <v>3.6419999999999999</v>
      </c>
      <c r="S43" s="90">
        <v>1.7609999999999999</v>
      </c>
      <c r="T43" s="90">
        <v>-0.19600000000000001</v>
      </c>
      <c r="U43" s="90">
        <v>2.1120000000000001</v>
      </c>
      <c r="V43" s="91">
        <v>2.431</v>
      </c>
      <c r="W43" s="91">
        <f t="shared" si="0"/>
        <v>2.1970864063033946</v>
      </c>
    </row>
    <row r="44" spans="1:23" x14ac:dyDescent="0.35">
      <c r="A44" s="81" t="s">
        <v>569</v>
      </c>
      <c r="B44" s="81" t="s">
        <v>605</v>
      </c>
      <c r="C44" s="89">
        <v>4.8306254668632809</v>
      </c>
      <c r="D44" s="90">
        <v>4.9384402884992351</v>
      </c>
      <c r="E44" s="91">
        <v>5.5494362942043685</v>
      </c>
      <c r="G44" s="103" t="s">
        <v>567</v>
      </c>
      <c r="H44" s="101">
        <v>40.102703133666751</v>
      </c>
      <c r="I44" s="93">
        <v>151</v>
      </c>
      <c r="J44" s="94">
        <v>45</v>
      </c>
      <c r="K44" s="81"/>
      <c r="L44" s="89">
        <v>7.0868989467193844</v>
      </c>
      <c r="M44" s="90">
        <v>8.4819566360875722</v>
      </c>
      <c r="N44" s="90">
        <v>9.4702880971408341</v>
      </c>
      <c r="O44" s="90">
        <v>6.36</v>
      </c>
      <c r="P44" s="90">
        <v>0.39400000000000002</v>
      </c>
      <c r="Q44" s="90">
        <v>3.6579999999999999</v>
      </c>
      <c r="R44" s="90">
        <v>4.8250000000000002</v>
      </c>
      <c r="S44" s="90">
        <v>4.4850000000000003</v>
      </c>
      <c r="T44" s="90">
        <v>1.671</v>
      </c>
      <c r="U44" s="90">
        <v>6.2290000000000001</v>
      </c>
      <c r="V44" s="91">
        <v>6.6269999999999998</v>
      </c>
      <c r="W44" s="91">
        <f t="shared" si="0"/>
        <v>5.2439382913518013</v>
      </c>
    </row>
    <row r="45" spans="1:23" x14ac:dyDescent="0.35">
      <c r="A45" s="81" t="s">
        <v>569</v>
      </c>
      <c r="B45" s="81" t="s">
        <v>606</v>
      </c>
      <c r="C45" s="89">
        <v>-1.9540231466170455</v>
      </c>
      <c r="D45" s="90">
        <v>-2.1626068363397866</v>
      </c>
      <c r="E45" s="91">
        <v>-2.4351268953680449</v>
      </c>
      <c r="G45" s="103" t="s">
        <v>567</v>
      </c>
      <c r="H45" s="101">
        <v>42.318471362744162</v>
      </c>
      <c r="I45" s="93">
        <v>148</v>
      </c>
      <c r="J45" s="94">
        <v>43</v>
      </c>
      <c r="K45" s="81"/>
      <c r="L45" s="89">
        <v>9.9471531425756439</v>
      </c>
      <c r="M45" s="90">
        <v>-0.71243445187648202</v>
      </c>
      <c r="N45" s="90">
        <v>6.7166793337864945</v>
      </c>
      <c r="O45" s="90">
        <v>-3.5510000000000002</v>
      </c>
      <c r="P45" s="90">
        <v>-10.782999999999999</v>
      </c>
      <c r="Q45" s="90">
        <v>-4.383</v>
      </c>
      <c r="R45" s="90">
        <v>-4.8049999999999997</v>
      </c>
      <c r="S45" s="90">
        <v>1.026</v>
      </c>
      <c r="T45" s="90">
        <v>-6.1980000000000004</v>
      </c>
      <c r="U45" s="90">
        <v>1.5</v>
      </c>
      <c r="V45" s="91">
        <v>2.7850000000000001</v>
      </c>
      <c r="W45" s="91">
        <f t="shared" si="0"/>
        <v>-2.298866865853916</v>
      </c>
    </row>
    <row r="46" spans="1:23" x14ac:dyDescent="0.35">
      <c r="A46" s="81" t="s">
        <v>573</v>
      </c>
      <c r="B46" s="81" t="s">
        <v>607</v>
      </c>
      <c r="C46" s="89">
        <v>2.4986852323448439</v>
      </c>
      <c r="D46" s="90">
        <v>3.7972658363557565</v>
      </c>
      <c r="E46" s="91">
        <v>3.649680120396992</v>
      </c>
      <c r="G46" s="103" t="s">
        <v>571</v>
      </c>
      <c r="H46" s="101">
        <v>86.218051096846139</v>
      </c>
      <c r="I46" s="93">
        <v>34</v>
      </c>
      <c r="J46" s="94">
        <v>4</v>
      </c>
      <c r="K46" s="81"/>
      <c r="L46" s="89">
        <v>4.7969199185815947</v>
      </c>
      <c r="M46" s="90">
        <v>2.2690274004615811</v>
      </c>
      <c r="N46" s="90">
        <v>3.5153385639114227</v>
      </c>
      <c r="O46" s="90">
        <v>3.6520000000000001</v>
      </c>
      <c r="P46" s="90">
        <v>4.2039999999999997</v>
      </c>
      <c r="Q46" s="90">
        <v>4.1580000000000004</v>
      </c>
      <c r="R46" s="90">
        <v>2.6160000000000001</v>
      </c>
      <c r="S46" s="90">
        <v>2.4180000000000001</v>
      </c>
      <c r="T46" s="90">
        <v>-4.2729999999999997</v>
      </c>
      <c r="U46" s="90">
        <v>7.7809999999999997</v>
      </c>
      <c r="V46" s="91">
        <v>4.3239999999999998</v>
      </c>
      <c r="W46" s="91">
        <f t="shared" si="0"/>
        <v>3.7234729783763743</v>
      </c>
    </row>
    <row r="47" spans="1:23" x14ac:dyDescent="0.35">
      <c r="A47" s="81" t="s">
        <v>569</v>
      </c>
      <c r="B47" s="81" t="s">
        <v>608</v>
      </c>
      <c r="C47" s="89">
        <v>5.2133244785906863</v>
      </c>
      <c r="D47" s="90">
        <v>5.7501340546816326</v>
      </c>
      <c r="E47" s="91">
        <v>6.9731316213943906</v>
      </c>
      <c r="G47" s="103" t="s">
        <v>422</v>
      </c>
      <c r="H47" s="101">
        <v>69.121915522328067</v>
      </c>
      <c r="I47" s="93">
        <v>95</v>
      </c>
      <c r="J47" s="94">
        <v>16</v>
      </c>
      <c r="K47" s="81"/>
      <c r="L47" s="89">
        <v>10.706504103485498</v>
      </c>
      <c r="M47" s="90">
        <v>8.8894213015542505</v>
      </c>
      <c r="N47" s="90">
        <v>8.7940773902773532</v>
      </c>
      <c r="O47" s="90">
        <v>8.843</v>
      </c>
      <c r="P47" s="90">
        <v>7.173</v>
      </c>
      <c r="Q47" s="90">
        <v>6.1429999999999998</v>
      </c>
      <c r="R47" s="90">
        <v>3.7509999999999999</v>
      </c>
      <c r="S47" s="90">
        <v>8.31</v>
      </c>
      <c r="T47" s="90">
        <v>1.7</v>
      </c>
      <c r="U47" s="90">
        <v>7</v>
      </c>
      <c r="V47" s="91">
        <v>6.7</v>
      </c>
      <c r="W47" s="91">
        <f t="shared" si="0"/>
        <v>6.3616328380380116</v>
      </c>
    </row>
    <row r="48" spans="1:23" x14ac:dyDescent="0.35">
      <c r="A48" s="81" t="s">
        <v>227</v>
      </c>
      <c r="B48" s="81" t="s">
        <v>609</v>
      </c>
      <c r="C48" s="89">
        <v>3.2016110581527757</v>
      </c>
      <c r="D48" s="90">
        <v>3.6386983370098269</v>
      </c>
      <c r="E48" s="91">
        <v>2.6484109069949024</v>
      </c>
      <c r="G48" s="103" t="s">
        <v>571</v>
      </c>
      <c r="H48" s="101">
        <v>83.891853807505186</v>
      </c>
      <c r="I48" s="93">
        <v>39</v>
      </c>
      <c r="J48" s="94">
        <v>25</v>
      </c>
      <c r="K48" s="81"/>
      <c r="L48" s="89">
        <v>-2.2376475412236791</v>
      </c>
      <c r="M48" s="90">
        <v>-0.54854848857064353</v>
      </c>
      <c r="N48" s="90">
        <v>-0.10392849719394197</v>
      </c>
      <c r="O48" s="90">
        <v>2.524</v>
      </c>
      <c r="P48" s="90">
        <v>3.56</v>
      </c>
      <c r="Q48" s="90">
        <v>3.4140000000000001</v>
      </c>
      <c r="R48" s="90">
        <v>2.7989999999999999</v>
      </c>
      <c r="S48" s="90">
        <v>3.42</v>
      </c>
      <c r="T48" s="90">
        <v>-8.58</v>
      </c>
      <c r="U48" s="90">
        <v>13.07</v>
      </c>
      <c r="V48" s="91">
        <v>6.3319999999999999</v>
      </c>
      <c r="W48" s="91">
        <f t="shared" si="0"/>
        <v>3.1435546220023647</v>
      </c>
    </row>
    <row r="49" spans="1:23" x14ac:dyDescent="0.35">
      <c r="A49" s="81" t="s">
        <v>227</v>
      </c>
      <c r="B49" s="81" t="s">
        <v>610</v>
      </c>
      <c r="C49" s="89">
        <v>2.5096449899315587</v>
      </c>
      <c r="D49" s="90">
        <v>3.8028194592395037</v>
      </c>
      <c r="E49" s="91">
        <v>2.5630103304818297</v>
      </c>
      <c r="G49" s="103" t="s">
        <v>571</v>
      </c>
      <c r="H49" s="101">
        <v>87.255396390154942</v>
      </c>
      <c r="I49" s="93">
        <v>32</v>
      </c>
      <c r="J49" s="94">
        <v>21</v>
      </c>
      <c r="K49" s="81"/>
      <c r="L49" s="89">
        <v>-3.4468220858971224</v>
      </c>
      <c r="M49" s="90">
        <v>-6.5530782549911972</v>
      </c>
      <c r="N49" s="90">
        <v>-1.8293091092200273</v>
      </c>
      <c r="O49" s="90">
        <v>3.4180000000000001</v>
      </c>
      <c r="P49" s="90">
        <v>6.5739999999999998</v>
      </c>
      <c r="Q49" s="90">
        <v>5.7329999999999997</v>
      </c>
      <c r="R49" s="90">
        <v>5.649</v>
      </c>
      <c r="S49" s="90">
        <v>5.5289999999999999</v>
      </c>
      <c r="T49" s="90">
        <v>-4.3710000000000004</v>
      </c>
      <c r="U49" s="90">
        <v>6.6369999999999996</v>
      </c>
      <c r="V49" s="91">
        <v>5.6319999999999997</v>
      </c>
      <c r="W49" s="91">
        <f t="shared" si="0"/>
        <v>3.1829148948606667</v>
      </c>
    </row>
    <row r="50" spans="1:23" x14ac:dyDescent="0.35">
      <c r="A50" s="81" t="s">
        <v>227</v>
      </c>
      <c r="B50" s="81" t="s">
        <v>611</v>
      </c>
      <c r="C50" s="89">
        <v>7.8479275411136307E-2</v>
      </c>
      <c r="D50" s="90">
        <v>1.4620184569118511</v>
      </c>
      <c r="E50" s="91">
        <v>2.1534461321011111</v>
      </c>
      <c r="G50" s="103" t="s">
        <v>415</v>
      </c>
      <c r="H50" s="101">
        <v>91.450544124021832</v>
      </c>
      <c r="I50" s="93">
        <v>23</v>
      </c>
      <c r="J50" s="94">
        <v>15</v>
      </c>
      <c r="K50" s="81"/>
      <c r="L50" s="89">
        <v>-0.79984428098029747</v>
      </c>
      <c r="M50" s="90">
        <v>-0.48367104180935355</v>
      </c>
      <c r="N50" s="90">
        <v>2.7151161333034923</v>
      </c>
      <c r="O50" s="90">
        <v>5.3879999999999999</v>
      </c>
      <c r="P50" s="90">
        <v>2.5369999999999999</v>
      </c>
      <c r="Q50" s="90">
        <v>5.1689999999999996</v>
      </c>
      <c r="R50" s="90">
        <v>3.22</v>
      </c>
      <c r="S50" s="90">
        <v>3.03</v>
      </c>
      <c r="T50" s="90">
        <v>-5.5030000000000001</v>
      </c>
      <c r="U50" s="90">
        <v>3.5529999999999999</v>
      </c>
      <c r="V50" s="91">
        <v>2.4420000000000002</v>
      </c>
      <c r="W50" s="91">
        <f t="shared" si="0"/>
        <v>1.8077322945064811</v>
      </c>
    </row>
    <row r="51" spans="1:23" x14ac:dyDescent="0.35">
      <c r="A51" s="81" t="s">
        <v>227</v>
      </c>
      <c r="B51" s="81" t="s">
        <v>612</v>
      </c>
      <c r="C51" s="89">
        <v>2.1173186821453305</v>
      </c>
      <c r="D51" s="90">
        <v>2.0745382872927598</v>
      </c>
      <c r="E51" s="91">
        <v>2.0535686786969709</v>
      </c>
      <c r="G51" s="103" t="s">
        <v>415</v>
      </c>
      <c r="H51" s="101">
        <v>97.848591628257381</v>
      </c>
      <c r="I51" s="93">
        <v>3</v>
      </c>
      <c r="J51" s="94">
        <v>2</v>
      </c>
      <c r="K51" s="81"/>
      <c r="L51" s="89">
        <v>0.22649979701625131</v>
      </c>
      <c r="M51" s="90">
        <v>0.93334095705108477</v>
      </c>
      <c r="N51" s="90">
        <v>1.6193938166337245</v>
      </c>
      <c r="O51" s="90">
        <v>2.343</v>
      </c>
      <c r="P51" s="90">
        <v>3.2480000000000002</v>
      </c>
      <c r="Q51" s="90">
        <v>2.819</v>
      </c>
      <c r="R51" s="90">
        <v>1.9910000000000001</v>
      </c>
      <c r="S51" s="90">
        <v>1.4930000000000001</v>
      </c>
      <c r="T51" s="90">
        <v>-1.994</v>
      </c>
      <c r="U51" s="90">
        <v>4.8570000000000002</v>
      </c>
      <c r="V51" s="91">
        <v>3.6230000000000002</v>
      </c>
      <c r="W51" s="91">
        <f t="shared" si="0"/>
        <v>2.0640534829948654</v>
      </c>
    </row>
    <row r="52" spans="1:23" x14ac:dyDescent="0.35">
      <c r="A52" s="81" t="s">
        <v>573</v>
      </c>
      <c r="B52" s="81" t="s">
        <v>613</v>
      </c>
      <c r="C52" s="89">
        <v>3.1998461156594438</v>
      </c>
      <c r="D52" s="90">
        <v>4.316018962980106</v>
      </c>
      <c r="E52" s="91">
        <v>5.1698060844696858</v>
      </c>
      <c r="G52" s="103" t="s">
        <v>571</v>
      </c>
      <c r="H52" s="101">
        <v>76.661181476266762</v>
      </c>
      <c r="I52" s="93">
        <v>62</v>
      </c>
      <c r="J52" s="94">
        <v>9</v>
      </c>
      <c r="K52" s="81"/>
      <c r="L52" s="89">
        <v>2.7173678967056243</v>
      </c>
      <c r="M52" s="90">
        <v>4.8752050933227107</v>
      </c>
      <c r="N52" s="90">
        <v>7.0504636896591117</v>
      </c>
      <c r="O52" s="90">
        <v>6.9269999999999996</v>
      </c>
      <c r="P52" s="90">
        <v>6.6589999999999998</v>
      </c>
      <c r="Q52" s="90">
        <v>4.6669999999999998</v>
      </c>
      <c r="R52" s="90">
        <v>6.9829999999999997</v>
      </c>
      <c r="S52" s="90">
        <v>5.0519999999999996</v>
      </c>
      <c r="T52" s="90">
        <v>-6.72</v>
      </c>
      <c r="U52" s="90">
        <v>12.272</v>
      </c>
      <c r="V52" s="91">
        <v>4.9489999999999998</v>
      </c>
      <c r="W52" s="91">
        <f t="shared" si="0"/>
        <v>4.7429125237248959</v>
      </c>
    </row>
    <row r="53" spans="1:23" x14ac:dyDescent="0.35">
      <c r="A53" s="81" t="s">
        <v>573</v>
      </c>
      <c r="B53" s="81" t="s">
        <v>614</v>
      </c>
      <c r="C53" s="89">
        <v>-0.32141867374969602</v>
      </c>
      <c r="D53" s="90">
        <v>6.5490773887200149E-2</v>
      </c>
      <c r="E53" s="91">
        <v>1.0130868701887064</v>
      </c>
      <c r="G53" s="107" t="s">
        <v>422</v>
      </c>
      <c r="H53" s="101">
        <v>61.323621492965962</v>
      </c>
      <c r="I53" s="93">
        <v>123</v>
      </c>
      <c r="J53" s="94">
        <v>20</v>
      </c>
      <c r="K53" s="81"/>
      <c r="L53" s="89">
        <v>5.641962066711991</v>
      </c>
      <c r="M53" s="90">
        <v>4.9465112669062528</v>
      </c>
      <c r="N53" s="90">
        <v>3.7888685492083329</v>
      </c>
      <c r="O53" s="90">
        <v>9.9000000000000005E-2</v>
      </c>
      <c r="P53" s="90">
        <v>-1.226</v>
      </c>
      <c r="Q53" s="90">
        <v>2.3679999999999999</v>
      </c>
      <c r="R53" s="90">
        <v>1.2889999999999999</v>
      </c>
      <c r="S53" s="90">
        <v>1.2E-2</v>
      </c>
      <c r="T53" s="90">
        <v>-7.7880000000000003</v>
      </c>
      <c r="U53" s="90">
        <v>4.2350000000000003</v>
      </c>
      <c r="V53" s="91">
        <v>3.0390000000000001</v>
      </c>
      <c r="W53" s="91">
        <f t="shared" si="0"/>
        <v>0.53928882203795325</v>
      </c>
    </row>
    <row r="54" spans="1:23" x14ac:dyDescent="0.35">
      <c r="A54" s="81" t="s">
        <v>569</v>
      </c>
      <c r="B54" s="81" t="s">
        <v>615</v>
      </c>
      <c r="C54" s="89">
        <v>4.4912036839904523</v>
      </c>
      <c r="D54" s="90">
        <v>4.8680352120142656</v>
      </c>
      <c r="E54" s="91">
        <v>4.2302867143853229</v>
      </c>
      <c r="G54" s="103" t="s">
        <v>422</v>
      </c>
      <c r="H54" s="101">
        <v>63.405428674671668</v>
      </c>
      <c r="I54" s="93">
        <v>119</v>
      </c>
      <c r="J54" s="94">
        <v>28</v>
      </c>
      <c r="K54" s="81"/>
      <c r="L54" s="89">
        <v>2.2261997966213811</v>
      </c>
      <c r="M54" s="90">
        <v>2.1854660547123101</v>
      </c>
      <c r="N54" s="90">
        <v>2.9159118788358169</v>
      </c>
      <c r="O54" s="90">
        <v>4.4340000000000002</v>
      </c>
      <c r="P54" s="90">
        <v>4.5060000000000002</v>
      </c>
      <c r="Q54" s="90">
        <v>2.3690000000000002</v>
      </c>
      <c r="R54" s="90">
        <v>5.3310000000000004</v>
      </c>
      <c r="S54" s="90">
        <v>5.5339999999999998</v>
      </c>
      <c r="T54" s="90">
        <v>3.5139999999999998</v>
      </c>
      <c r="U54" s="90">
        <v>3.3069999999999999</v>
      </c>
      <c r="V54" s="91">
        <v>6.609</v>
      </c>
      <c r="W54" s="91">
        <f t="shared" si="0"/>
        <v>4.5491609631997942</v>
      </c>
    </row>
    <row r="55" spans="1:23" x14ac:dyDescent="0.35">
      <c r="A55" s="81" t="s">
        <v>573</v>
      </c>
      <c r="B55" s="81" t="s">
        <v>616</v>
      </c>
      <c r="C55" s="89">
        <v>1.3471265984384528</v>
      </c>
      <c r="D55" s="90">
        <v>1.776882859029727</v>
      </c>
      <c r="E55" s="91">
        <v>2.0016468394263187</v>
      </c>
      <c r="G55" s="103" t="s">
        <v>398</v>
      </c>
      <c r="H55" s="101">
        <v>69.210174273537845</v>
      </c>
      <c r="I55" s="93">
        <v>94</v>
      </c>
      <c r="J55" s="94">
        <v>13</v>
      </c>
      <c r="K55" s="81"/>
      <c r="L55" s="89">
        <v>2.8155018217952783</v>
      </c>
      <c r="M55" s="90">
        <v>2.2337536818851604</v>
      </c>
      <c r="N55" s="90">
        <v>1.7112232058649222</v>
      </c>
      <c r="O55" s="90">
        <v>2.395</v>
      </c>
      <c r="P55" s="90">
        <v>2.5419999999999998</v>
      </c>
      <c r="Q55" s="90">
        <v>2.2530000000000001</v>
      </c>
      <c r="R55" s="90">
        <v>2.4119999999999999</v>
      </c>
      <c r="S55" s="90">
        <v>2.4350000000000001</v>
      </c>
      <c r="T55" s="90">
        <v>-8.1750000000000007</v>
      </c>
      <c r="U55" s="90">
        <v>10.269</v>
      </c>
      <c r="V55" s="91">
        <v>2.8</v>
      </c>
      <c r="W55" s="91">
        <f t="shared" si="0"/>
        <v>1.8892648492280228</v>
      </c>
    </row>
    <row r="56" spans="1:23" x14ac:dyDescent="0.35">
      <c r="A56" s="81" t="s">
        <v>227</v>
      </c>
      <c r="B56" s="81" t="s">
        <v>617</v>
      </c>
      <c r="C56" s="89">
        <v>1.972770435214799</v>
      </c>
      <c r="D56" s="90">
        <v>2.6853264084946815</v>
      </c>
      <c r="E56" s="91">
        <v>2.7928430899179402</v>
      </c>
      <c r="G56" s="103" t="s">
        <v>571</v>
      </c>
      <c r="H56" s="101">
        <v>82.267245472231053</v>
      </c>
      <c r="I56" s="93">
        <v>41</v>
      </c>
      <c r="J56" s="94">
        <v>27</v>
      </c>
      <c r="K56" s="81"/>
      <c r="L56" s="89">
        <v>3.1248431915696226</v>
      </c>
      <c r="M56" s="90">
        <v>1.346187835760732</v>
      </c>
      <c r="N56" s="90">
        <v>2.9873258188549392</v>
      </c>
      <c r="O56" s="90">
        <v>1.853</v>
      </c>
      <c r="P56" s="90">
        <v>3.1549999999999998</v>
      </c>
      <c r="Q56" s="90">
        <v>5.7919999999999998</v>
      </c>
      <c r="R56" s="90">
        <v>3.7839999999999998</v>
      </c>
      <c r="S56" s="90">
        <v>3.74</v>
      </c>
      <c r="T56" s="90">
        <v>-0.55100000000000005</v>
      </c>
      <c r="U56" s="90">
        <v>8.0129999999999999</v>
      </c>
      <c r="V56" s="91">
        <v>-1.2869999999999999</v>
      </c>
      <c r="W56" s="91">
        <f t="shared" si="0"/>
        <v>2.7390847492063108</v>
      </c>
    </row>
    <row r="57" spans="1:23" x14ac:dyDescent="0.35">
      <c r="A57" s="81" t="s">
        <v>569</v>
      </c>
      <c r="B57" s="81" t="s">
        <v>618</v>
      </c>
      <c r="C57" s="89">
        <v>2.1841699351578647</v>
      </c>
      <c r="D57" s="90">
        <v>2.1180367535848621</v>
      </c>
      <c r="E57" s="91">
        <v>2.094572895591984</v>
      </c>
      <c r="G57" s="103" t="s">
        <v>422</v>
      </c>
      <c r="H57" s="101">
        <v>63.876381030610304</v>
      </c>
      <c r="I57" s="93">
        <v>117</v>
      </c>
      <c r="J57" s="94">
        <v>27</v>
      </c>
      <c r="K57" s="81"/>
      <c r="L57" s="89">
        <v>5.3913093065302364</v>
      </c>
      <c r="M57" s="90">
        <v>3.8622718821819677</v>
      </c>
      <c r="N57" s="90">
        <v>0.91319649477376841</v>
      </c>
      <c r="O57" s="90">
        <v>2.2269999999999999</v>
      </c>
      <c r="P57" s="90">
        <v>1.0629999999999999</v>
      </c>
      <c r="Q57" s="90">
        <v>2.0270000000000001</v>
      </c>
      <c r="R57" s="90">
        <v>2.3690000000000002</v>
      </c>
      <c r="S57" s="90">
        <v>2.7040000000000002</v>
      </c>
      <c r="T57" s="90">
        <v>-1.56</v>
      </c>
      <c r="U57" s="90">
        <v>7.883</v>
      </c>
      <c r="V57" s="91">
        <v>0.46700000000000003</v>
      </c>
      <c r="W57" s="91">
        <f t="shared" si="0"/>
        <v>2.1063048245884231</v>
      </c>
    </row>
    <row r="58" spans="1:23" x14ac:dyDescent="0.35">
      <c r="A58" s="81" t="s">
        <v>569</v>
      </c>
      <c r="B58" s="81" t="s">
        <v>619</v>
      </c>
      <c r="C58" s="89">
        <v>6.0178655257344227</v>
      </c>
      <c r="D58" s="90">
        <v>6.6428861766961944</v>
      </c>
      <c r="E58" s="91">
        <v>8.3305963840047514</v>
      </c>
      <c r="G58" s="103" t="s">
        <v>567</v>
      </c>
      <c r="H58" s="101">
        <v>58.357971531116526</v>
      </c>
      <c r="I58" s="93">
        <v>128</v>
      </c>
      <c r="J58" s="94">
        <v>31</v>
      </c>
      <c r="K58" s="81"/>
      <c r="L58" s="89">
        <v>8.6478116333741841</v>
      </c>
      <c r="M58" s="90">
        <v>10.582270048267214</v>
      </c>
      <c r="N58" s="90">
        <v>10.257492961005118</v>
      </c>
      <c r="O58" s="90">
        <v>10.4</v>
      </c>
      <c r="P58" s="90">
        <v>8</v>
      </c>
      <c r="Q58" s="90">
        <v>10.210000000000001</v>
      </c>
      <c r="R58" s="90">
        <v>7.7030000000000003</v>
      </c>
      <c r="S58" s="90">
        <v>9.0370000000000008</v>
      </c>
      <c r="T58" s="90">
        <v>6.0570000000000004</v>
      </c>
      <c r="U58" s="90">
        <v>6.2649999999999997</v>
      </c>
      <c r="V58" s="91">
        <v>6.3579999999999997</v>
      </c>
      <c r="W58" s="91">
        <f t="shared" si="0"/>
        <v>7.4867412803504729</v>
      </c>
    </row>
    <row r="59" spans="1:23" x14ac:dyDescent="0.35">
      <c r="A59" s="81" t="s">
        <v>227</v>
      </c>
      <c r="B59" s="81" t="s">
        <v>620</v>
      </c>
      <c r="C59" s="89">
        <v>0.92513707934396283</v>
      </c>
      <c r="D59" s="90">
        <v>1.065704979127502</v>
      </c>
      <c r="E59" s="91">
        <v>1.0351636365421246</v>
      </c>
      <c r="G59" s="103" t="s">
        <v>415</v>
      </c>
      <c r="H59" s="101">
        <v>97.443307672167862</v>
      </c>
      <c r="I59" s="93">
        <v>5</v>
      </c>
      <c r="J59" s="94">
        <v>3</v>
      </c>
      <c r="K59" s="81"/>
      <c r="L59" s="89">
        <v>-1.3973545576374944</v>
      </c>
      <c r="M59" s="90">
        <v>-0.90201849743960727</v>
      </c>
      <c r="N59" s="90">
        <v>-0.36494028121428063</v>
      </c>
      <c r="O59" s="90">
        <v>0.54400000000000004</v>
      </c>
      <c r="P59" s="90">
        <v>2.8109999999999999</v>
      </c>
      <c r="Q59" s="90">
        <v>3.1920000000000002</v>
      </c>
      <c r="R59" s="90">
        <v>1.1399999999999999</v>
      </c>
      <c r="S59" s="90">
        <v>1.224</v>
      </c>
      <c r="T59" s="90">
        <v>-2.355</v>
      </c>
      <c r="U59" s="90">
        <v>3.0459999999999998</v>
      </c>
      <c r="V59" s="91">
        <v>2.0840000000000001</v>
      </c>
      <c r="W59" s="91">
        <f t="shared" si="0"/>
        <v>1.0504343078348133</v>
      </c>
    </row>
    <row r="60" spans="1:23" x14ac:dyDescent="0.35">
      <c r="A60" s="81" t="s">
        <v>227</v>
      </c>
      <c r="B60" s="81" t="s">
        <v>621</v>
      </c>
      <c r="C60" s="89">
        <v>0.35484098705607092</v>
      </c>
      <c r="D60" s="90">
        <v>0.85541697677951056</v>
      </c>
      <c r="E60" s="91">
        <v>1.0299722548507528</v>
      </c>
      <c r="G60" s="103" t="s">
        <v>415</v>
      </c>
      <c r="H60" s="101">
        <v>94.937245038342397</v>
      </c>
      <c r="I60" s="93">
        <v>20</v>
      </c>
      <c r="J60" s="94">
        <v>13</v>
      </c>
      <c r="K60" s="81"/>
      <c r="L60" s="89">
        <v>0.31313474167845923</v>
      </c>
      <c r="M60" s="90">
        <v>0.5763266794418439</v>
      </c>
      <c r="N60" s="90">
        <v>0.95618304768384532</v>
      </c>
      <c r="O60" s="90">
        <v>1.0549999999999999</v>
      </c>
      <c r="P60" s="90">
        <v>0.98199999999999998</v>
      </c>
      <c r="Q60" s="90">
        <v>2.4489999999999998</v>
      </c>
      <c r="R60" s="90">
        <v>1.8240000000000001</v>
      </c>
      <c r="S60" s="90">
        <v>1.8839999999999999</v>
      </c>
      <c r="T60" s="90">
        <v>-7.907</v>
      </c>
      <c r="U60" s="90">
        <v>6.77</v>
      </c>
      <c r="V60" s="91">
        <v>2.6059999999999999</v>
      </c>
      <c r="W60" s="91">
        <f t="shared" si="0"/>
        <v>0.9426946158151317</v>
      </c>
    </row>
    <row r="61" spans="1:23" x14ac:dyDescent="0.35">
      <c r="A61" s="81" t="s">
        <v>569</v>
      </c>
      <c r="B61" s="81" t="s">
        <v>622</v>
      </c>
      <c r="C61" s="89">
        <v>0.80490169914342324</v>
      </c>
      <c r="D61" s="90">
        <v>1.4271603442411074</v>
      </c>
      <c r="E61" s="91">
        <v>2.3419356903168431</v>
      </c>
      <c r="G61" s="103" t="s">
        <v>567</v>
      </c>
      <c r="H61" s="101">
        <v>37.219050826761183</v>
      </c>
      <c r="I61" s="93">
        <v>153</v>
      </c>
      <c r="J61" s="94">
        <v>46</v>
      </c>
      <c r="K61" s="81"/>
      <c r="L61" s="89">
        <v>5.251076917504065</v>
      </c>
      <c r="M61" s="90">
        <v>5.6386990033869457</v>
      </c>
      <c r="N61" s="90">
        <v>4.3149644410747063</v>
      </c>
      <c r="O61" s="90">
        <v>3.879</v>
      </c>
      <c r="P61" s="90">
        <v>2.0910000000000002</v>
      </c>
      <c r="Q61" s="90">
        <v>0.47299999999999998</v>
      </c>
      <c r="R61" s="90">
        <v>0.84299999999999997</v>
      </c>
      <c r="S61" s="90">
        <v>3.915</v>
      </c>
      <c r="T61" s="90">
        <v>-1.8640000000000001</v>
      </c>
      <c r="U61" s="90">
        <v>1.484</v>
      </c>
      <c r="V61" s="91">
        <v>2.8479999999999999</v>
      </c>
      <c r="W61" s="91">
        <f t="shared" si="0"/>
        <v>1.8845480172789753</v>
      </c>
    </row>
    <row r="62" spans="1:23" x14ac:dyDescent="0.35">
      <c r="A62" s="81" t="s">
        <v>569</v>
      </c>
      <c r="B62" s="81" t="s">
        <v>623</v>
      </c>
      <c r="C62" s="89">
        <v>3.0839257560593802</v>
      </c>
      <c r="D62" s="90">
        <v>4.5260960958580343</v>
      </c>
      <c r="E62" s="91">
        <v>3.4750911540431417</v>
      </c>
      <c r="G62" s="103" t="s">
        <v>422</v>
      </c>
      <c r="H62" s="101">
        <v>65.416670727464805</v>
      </c>
      <c r="I62" s="93">
        <v>114</v>
      </c>
      <c r="J62" s="94">
        <v>26</v>
      </c>
      <c r="K62" s="81"/>
      <c r="L62" s="89">
        <v>5.2415692463074244</v>
      </c>
      <c r="M62" s="90">
        <v>2.8727687903269969</v>
      </c>
      <c r="N62" s="90">
        <v>-1.4073824951095362</v>
      </c>
      <c r="O62" s="90">
        <v>4.0579999999999998</v>
      </c>
      <c r="P62" s="90">
        <v>1.9430000000000001</v>
      </c>
      <c r="Q62" s="90">
        <v>4.8230000000000004</v>
      </c>
      <c r="R62" s="90">
        <v>7.2350000000000003</v>
      </c>
      <c r="S62" s="90">
        <v>6.2220000000000004</v>
      </c>
      <c r="T62" s="90">
        <v>0.59099999999999997</v>
      </c>
      <c r="U62" s="90">
        <v>4.2649999999999997</v>
      </c>
      <c r="V62" s="91">
        <v>4.4409999999999998</v>
      </c>
      <c r="W62" s="91">
        <f t="shared" si="0"/>
        <v>4.0005936249505876</v>
      </c>
    </row>
    <row r="63" spans="1:23" x14ac:dyDescent="0.35">
      <c r="A63" s="81" t="s">
        <v>227</v>
      </c>
      <c r="B63" s="81" t="s">
        <v>624</v>
      </c>
      <c r="C63" s="89">
        <v>4.283743954922925</v>
      </c>
      <c r="D63" s="90">
        <v>4.5348375618438741</v>
      </c>
      <c r="E63" s="91">
        <v>4.1477466898679483</v>
      </c>
      <c r="G63" s="103" t="s">
        <v>571</v>
      </c>
      <c r="H63" s="101">
        <v>80.727500391697276</v>
      </c>
      <c r="I63" s="93">
        <v>46</v>
      </c>
      <c r="J63" s="94">
        <v>31</v>
      </c>
      <c r="K63" s="81"/>
      <c r="L63" s="89">
        <v>6.3690083063386043</v>
      </c>
      <c r="M63" s="90">
        <v>3.6213053519627643</v>
      </c>
      <c r="N63" s="90">
        <v>4.4319248230907649</v>
      </c>
      <c r="O63" s="90">
        <v>3.0270000000000001</v>
      </c>
      <c r="P63" s="90">
        <v>2.9060000000000001</v>
      </c>
      <c r="Q63" s="90">
        <v>4.843</v>
      </c>
      <c r="R63" s="90">
        <v>4.843</v>
      </c>
      <c r="S63" s="90">
        <v>4.9820000000000002</v>
      </c>
      <c r="T63" s="90">
        <v>-6.76</v>
      </c>
      <c r="U63" s="90">
        <v>10.465999999999999</v>
      </c>
      <c r="V63" s="91">
        <v>10.109</v>
      </c>
      <c r="W63" s="91">
        <f t="shared" si="0"/>
        <v>4.3412921258559116</v>
      </c>
    </row>
    <row r="64" spans="1:23" x14ac:dyDescent="0.35">
      <c r="A64" s="81" t="s">
        <v>227</v>
      </c>
      <c r="B64" s="81" t="s">
        <v>625</v>
      </c>
      <c r="C64" s="89">
        <v>0.19639292345923209</v>
      </c>
      <c r="D64" s="90">
        <v>0.54722001304448042</v>
      </c>
      <c r="E64" s="91">
        <v>1.1791658469401556</v>
      </c>
      <c r="G64" s="103" t="s">
        <v>415</v>
      </c>
      <c r="H64" s="101">
        <v>96.79194200114037</v>
      </c>
      <c r="I64" s="93">
        <v>8</v>
      </c>
      <c r="J64" s="94">
        <v>6</v>
      </c>
      <c r="K64" s="81"/>
      <c r="L64" s="89">
        <v>0.41955108005357267</v>
      </c>
      <c r="M64" s="90">
        <v>0.42824326167218907</v>
      </c>
      <c r="N64" s="90">
        <v>2.2256887491492803</v>
      </c>
      <c r="O64" s="90">
        <v>1.4870000000000001</v>
      </c>
      <c r="P64" s="90">
        <v>2.23</v>
      </c>
      <c r="Q64" s="90">
        <v>2.68</v>
      </c>
      <c r="R64" s="90">
        <v>0.98399999999999999</v>
      </c>
      <c r="S64" s="90">
        <v>1.054</v>
      </c>
      <c r="T64" s="90">
        <v>-3.6920000000000002</v>
      </c>
      <c r="U64" s="90">
        <v>2.625</v>
      </c>
      <c r="V64" s="91">
        <v>1.778</v>
      </c>
      <c r="W64" s="91">
        <f t="shared" si="0"/>
        <v>0.863192929992318</v>
      </c>
    </row>
    <row r="65" spans="1:23" x14ac:dyDescent="0.35">
      <c r="A65" s="81" t="s">
        <v>569</v>
      </c>
      <c r="B65" s="81" t="s">
        <v>626</v>
      </c>
      <c r="C65" s="89">
        <v>3.0107142168638523</v>
      </c>
      <c r="D65" s="90">
        <v>4.8285507296226937</v>
      </c>
      <c r="E65" s="91">
        <v>4.7980640567336197</v>
      </c>
      <c r="G65" s="103" t="s">
        <v>398</v>
      </c>
      <c r="H65" s="101">
        <v>69.704517199471169</v>
      </c>
      <c r="I65" s="93">
        <v>89</v>
      </c>
      <c r="J65" s="94">
        <v>13</v>
      </c>
      <c r="K65" s="81"/>
      <c r="L65" s="89">
        <v>9.2927894045967889</v>
      </c>
      <c r="M65" s="90">
        <v>7.3125250073312458</v>
      </c>
      <c r="N65" s="90">
        <v>2.8974388369154251</v>
      </c>
      <c r="O65" s="90">
        <v>2.121</v>
      </c>
      <c r="P65" s="90">
        <v>3.3730000000000002</v>
      </c>
      <c r="Q65" s="90">
        <v>8.1289999999999996</v>
      </c>
      <c r="R65" s="90">
        <v>6.2</v>
      </c>
      <c r="S65" s="90">
        <v>6.508</v>
      </c>
      <c r="T65" s="90">
        <v>0.51400000000000001</v>
      </c>
      <c r="U65" s="90">
        <v>5.3559999999999999</v>
      </c>
      <c r="V65" s="91">
        <v>3.2189999999999999</v>
      </c>
      <c r="W65" s="91">
        <f t="shared" si="0"/>
        <v>4.8133073931781567</v>
      </c>
    </row>
    <row r="66" spans="1:23" x14ac:dyDescent="0.35">
      <c r="A66" s="81" t="s">
        <v>227</v>
      </c>
      <c r="B66" s="81" t="s">
        <v>627</v>
      </c>
      <c r="C66" s="89">
        <v>1.4800990034344652</v>
      </c>
      <c r="D66" s="90">
        <v>1.2580147511245698</v>
      </c>
      <c r="E66" s="91">
        <v>0.45671215262543807</v>
      </c>
      <c r="G66" s="103" t="s">
        <v>415</v>
      </c>
      <c r="H66" s="101">
        <v>87.308557455608167</v>
      </c>
      <c r="I66" s="93">
        <v>31</v>
      </c>
      <c r="J66" s="94">
        <v>20</v>
      </c>
      <c r="K66" s="81"/>
      <c r="L66" s="89">
        <v>-7.3004939606978656</v>
      </c>
      <c r="M66" s="90">
        <v>-3.2414250560129267</v>
      </c>
      <c r="N66" s="90">
        <v>0.73977713855774985</v>
      </c>
      <c r="O66" s="90">
        <v>-0.19600000000000001</v>
      </c>
      <c r="P66" s="90">
        <v>-0.48699999999999999</v>
      </c>
      <c r="Q66" s="90">
        <v>1.0920000000000001</v>
      </c>
      <c r="R66" s="90">
        <v>1.6679999999999999</v>
      </c>
      <c r="S66" s="90">
        <v>1.8839999999999999</v>
      </c>
      <c r="T66" s="90">
        <v>-9.0039999999999996</v>
      </c>
      <c r="U66" s="90">
        <v>8.4339999999999993</v>
      </c>
      <c r="V66" s="91">
        <v>5.9139999999999997</v>
      </c>
      <c r="W66" s="91">
        <f t="shared" si="0"/>
        <v>0.85736345187500396</v>
      </c>
    </row>
    <row r="67" spans="1:23" x14ac:dyDescent="0.35">
      <c r="A67" s="81" t="s">
        <v>573</v>
      </c>
      <c r="B67" s="81" t="s">
        <v>628</v>
      </c>
      <c r="C67" s="89">
        <v>3.3306625930319189</v>
      </c>
      <c r="D67" s="90">
        <v>3.4919746764532578</v>
      </c>
      <c r="E67" s="91">
        <v>3.5384372691175781</v>
      </c>
      <c r="G67" s="103" t="s">
        <v>398</v>
      </c>
      <c r="H67" s="101">
        <v>71.336652243067974</v>
      </c>
      <c r="I67" s="93">
        <v>82</v>
      </c>
      <c r="J67" s="94">
        <v>10</v>
      </c>
      <c r="K67" s="81"/>
      <c r="L67" s="89">
        <v>2.9698574079878068</v>
      </c>
      <c r="M67" s="90">
        <v>3.6975861001947585</v>
      </c>
      <c r="N67" s="90">
        <v>4.4439780738522474</v>
      </c>
      <c r="O67" s="90">
        <v>4.0919999999999996</v>
      </c>
      <c r="P67" s="90">
        <v>2.6779999999999999</v>
      </c>
      <c r="Q67" s="90">
        <v>3.08</v>
      </c>
      <c r="R67" s="90">
        <v>3.407</v>
      </c>
      <c r="S67" s="90">
        <v>4.0019999999999998</v>
      </c>
      <c r="T67" s="90">
        <v>-1.764</v>
      </c>
      <c r="U67" s="90">
        <v>7.9809999999999999</v>
      </c>
      <c r="V67" s="91">
        <v>4.0090000000000003</v>
      </c>
      <c r="W67" s="91">
        <f t="shared" si="0"/>
        <v>3.5152059727854179</v>
      </c>
    </row>
    <row r="68" spans="1:23" x14ac:dyDescent="0.35">
      <c r="A68" s="81" t="s">
        <v>569</v>
      </c>
      <c r="B68" s="81" t="s">
        <v>629</v>
      </c>
      <c r="C68" s="89">
        <v>4.3705772513408236</v>
      </c>
      <c r="D68" s="90">
        <v>4.9898667622307658</v>
      </c>
      <c r="E68" s="91">
        <v>5.729233966321412</v>
      </c>
      <c r="G68" s="103" t="s">
        <v>567</v>
      </c>
      <c r="H68" s="101">
        <v>50.297438492745087</v>
      </c>
      <c r="I68" s="93">
        <v>138</v>
      </c>
      <c r="J68" s="94">
        <v>36</v>
      </c>
      <c r="K68" s="81"/>
      <c r="L68" s="89">
        <v>5.9152881384417997</v>
      </c>
      <c r="M68" s="90">
        <v>3.9456854305126305</v>
      </c>
      <c r="N68" s="90">
        <v>3.6965411823164165</v>
      </c>
      <c r="O68" s="90">
        <v>3.8260000000000001</v>
      </c>
      <c r="P68" s="90">
        <v>10.821</v>
      </c>
      <c r="Q68" s="90">
        <v>10.3</v>
      </c>
      <c r="R68" s="90">
        <v>6.3579999999999997</v>
      </c>
      <c r="S68" s="90">
        <v>5.617</v>
      </c>
      <c r="T68" s="90">
        <v>4.92</v>
      </c>
      <c r="U68" s="90">
        <v>4.2919999999999998</v>
      </c>
      <c r="V68" s="91">
        <v>4.2939999999999996</v>
      </c>
      <c r="W68" s="91">
        <f t="shared" si="0"/>
        <v>5.3595503642760889</v>
      </c>
    </row>
    <row r="69" spans="1:23" x14ac:dyDescent="0.35">
      <c r="A69" s="81" t="s">
        <v>569</v>
      </c>
      <c r="B69" s="81" t="s">
        <v>630</v>
      </c>
      <c r="C69" s="89">
        <v>1.5927018196488341</v>
      </c>
      <c r="D69" s="90">
        <v>2.1053991541019057</v>
      </c>
      <c r="E69" s="91">
        <v>3.2889383993762955</v>
      </c>
      <c r="G69" s="103" t="s">
        <v>567</v>
      </c>
      <c r="H69" s="101">
        <v>54.70982708603303</v>
      </c>
      <c r="I69" s="93">
        <v>134</v>
      </c>
      <c r="J69" s="94">
        <v>34</v>
      </c>
      <c r="K69" s="81"/>
      <c r="L69" s="89">
        <v>-1.7126830118107121</v>
      </c>
      <c r="M69" s="90">
        <v>3.255904265176933</v>
      </c>
      <c r="N69" s="90">
        <v>0.96456075098132787</v>
      </c>
      <c r="O69" s="90">
        <v>6.1340000000000003</v>
      </c>
      <c r="P69" s="90">
        <v>5.3070000000000004</v>
      </c>
      <c r="Q69" s="90">
        <v>4.7889999999999997</v>
      </c>
      <c r="R69" s="90">
        <v>3.7610000000000001</v>
      </c>
      <c r="S69" s="90">
        <v>4.5</v>
      </c>
      <c r="T69" s="90">
        <v>1.5</v>
      </c>
      <c r="U69" s="90">
        <v>6.4</v>
      </c>
      <c r="V69" s="91">
        <v>3.5</v>
      </c>
      <c r="W69" s="91">
        <f t="shared" si="0"/>
        <v>2.6971687767391006</v>
      </c>
    </row>
    <row r="70" spans="1:23" x14ac:dyDescent="0.35">
      <c r="A70" s="81" t="s">
        <v>573</v>
      </c>
      <c r="B70" s="81" t="s">
        <v>631</v>
      </c>
      <c r="C70" s="89">
        <v>40.872083180158647</v>
      </c>
      <c r="D70" s="90">
        <v>25.198248131969379</v>
      </c>
      <c r="E70" s="91">
        <v>13.395686805616647</v>
      </c>
      <c r="G70" s="103" t="s">
        <v>567</v>
      </c>
      <c r="H70" s="101">
        <v>56.740934863022261</v>
      </c>
      <c r="I70" s="93">
        <v>129</v>
      </c>
      <c r="J70" s="94">
        <v>21</v>
      </c>
      <c r="K70" s="81"/>
      <c r="L70" s="89">
        <v>5.3836234687298372</v>
      </c>
      <c r="M70" s="90">
        <v>3.6535047680067998</v>
      </c>
      <c r="N70" s="90">
        <v>1.6860277321410588</v>
      </c>
      <c r="O70" s="90">
        <v>0.68700000000000006</v>
      </c>
      <c r="P70" s="90">
        <v>3.8069999999999999</v>
      </c>
      <c r="Q70" s="90">
        <v>3.734</v>
      </c>
      <c r="R70" s="90">
        <v>4.4409999999999998</v>
      </c>
      <c r="S70" s="90">
        <v>5.3529999999999998</v>
      </c>
      <c r="T70" s="90">
        <v>43.48</v>
      </c>
      <c r="U70" s="90">
        <v>20.059999999999999</v>
      </c>
      <c r="V70" s="91">
        <v>62.287999999999997</v>
      </c>
      <c r="W70" s="91">
        <f t="shared" si="0"/>
        <v>19.296967468793014</v>
      </c>
    </row>
    <row r="71" spans="1:23" x14ac:dyDescent="0.35">
      <c r="A71" s="81" t="s">
        <v>573</v>
      </c>
      <c r="B71" s="81" t="s">
        <v>632</v>
      </c>
      <c r="C71" s="89">
        <v>-0.34574931867293879</v>
      </c>
      <c r="D71" s="90">
        <v>0.64565822904871784</v>
      </c>
      <c r="E71" s="91">
        <v>2.5156599586003026</v>
      </c>
      <c r="G71" s="103" t="s">
        <v>567</v>
      </c>
      <c r="H71" s="101">
        <v>54.401198784391461</v>
      </c>
      <c r="I71" s="93">
        <v>135</v>
      </c>
      <c r="J71" s="94">
        <v>22</v>
      </c>
      <c r="K71" s="81"/>
      <c r="L71" s="89">
        <v>-7.4695954800602468E-2</v>
      </c>
      <c r="M71" s="90">
        <v>9.2111856449685803</v>
      </c>
      <c r="N71" s="90">
        <v>1.9148137793287729</v>
      </c>
      <c r="O71" s="90">
        <v>2.5630000000000002</v>
      </c>
      <c r="P71" s="90">
        <v>1.8120000000000001</v>
      </c>
      <c r="Q71" s="90">
        <v>2.5099999999999998</v>
      </c>
      <c r="R71" s="90">
        <v>1.6679999999999999</v>
      </c>
      <c r="S71" s="90">
        <v>-1.6850000000000001</v>
      </c>
      <c r="T71" s="90">
        <v>-3.343</v>
      </c>
      <c r="U71" s="90">
        <v>-1.798</v>
      </c>
      <c r="V71" s="91">
        <v>-1.6819999999999999</v>
      </c>
      <c r="W71" s="91">
        <f t="shared" si="0"/>
        <v>1.5806590938245102</v>
      </c>
    </row>
    <row r="72" spans="1:23" x14ac:dyDescent="0.35">
      <c r="A72" s="81" t="s">
        <v>573</v>
      </c>
      <c r="B72" s="81" t="s">
        <v>633</v>
      </c>
      <c r="C72" s="89">
        <v>2.1352529558121391</v>
      </c>
      <c r="D72" s="90">
        <v>2.5786313755856494</v>
      </c>
      <c r="E72" s="91">
        <v>3.1291474397337593</v>
      </c>
      <c r="G72" s="103" t="s">
        <v>567</v>
      </c>
      <c r="H72" s="101">
        <v>39.565152370912173</v>
      </c>
      <c r="I72" s="93">
        <v>152</v>
      </c>
      <c r="J72" s="94">
        <v>24</v>
      </c>
      <c r="K72" s="81"/>
      <c r="L72" s="89">
        <v>4.1286877486693667</v>
      </c>
      <c r="M72" s="90">
        <v>2.7915597574680358</v>
      </c>
      <c r="N72" s="90">
        <v>3.0580805621437066</v>
      </c>
      <c r="O72" s="90">
        <v>3.84</v>
      </c>
      <c r="P72" s="90">
        <v>3.8929999999999998</v>
      </c>
      <c r="Q72" s="90">
        <v>4.843</v>
      </c>
      <c r="R72" s="90">
        <v>3.8450000000000002</v>
      </c>
      <c r="S72" s="90">
        <v>2.653</v>
      </c>
      <c r="T72" s="90">
        <v>-8.9649999999999999</v>
      </c>
      <c r="U72" s="90">
        <v>12.534000000000001</v>
      </c>
      <c r="V72" s="91">
        <v>4</v>
      </c>
      <c r="W72" s="91">
        <f t="shared" si="0"/>
        <v>2.8538894076597043</v>
      </c>
    </row>
    <row r="73" spans="1:23" x14ac:dyDescent="0.35">
      <c r="A73" s="81" t="s">
        <v>565</v>
      </c>
      <c r="B73" s="81" t="s">
        <v>634</v>
      </c>
      <c r="C73" s="89">
        <v>-1.3866109004180949</v>
      </c>
      <c r="D73" s="90">
        <v>-0.61127068207094126</v>
      </c>
      <c r="E73" s="91">
        <v>1.1000622223137801</v>
      </c>
      <c r="G73" s="103" t="s">
        <v>415</v>
      </c>
      <c r="H73" s="101">
        <v>95.561927385722356</v>
      </c>
      <c r="I73" s="93">
        <v>18</v>
      </c>
      <c r="J73" s="94">
        <v>5</v>
      </c>
      <c r="K73" s="81"/>
      <c r="L73" s="89">
        <v>1.7002747714417163</v>
      </c>
      <c r="M73" s="90">
        <v>3.1015497799994041</v>
      </c>
      <c r="N73" s="90">
        <v>2.7623919976975242</v>
      </c>
      <c r="O73" s="90">
        <v>2.3879999999999999</v>
      </c>
      <c r="P73" s="90">
        <v>2.1749999999999998</v>
      </c>
      <c r="Q73" s="90">
        <v>3.7959999999999998</v>
      </c>
      <c r="R73" s="90">
        <v>2.847</v>
      </c>
      <c r="S73" s="90">
        <v>-1.6719999999999999</v>
      </c>
      <c r="T73" s="90">
        <v>-6.5449999999999999</v>
      </c>
      <c r="U73" s="90">
        <v>6.4480000000000004</v>
      </c>
      <c r="V73" s="91">
        <v>-3.5070000000000001</v>
      </c>
      <c r="W73" s="91">
        <f t="shared" si="0"/>
        <v>0.24439577012141944</v>
      </c>
    </row>
    <row r="74" spans="1:23" x14ac:dyDescent="0.35">
      <c r="A74" s="81" t="s">
        <v>227</v>
      </c>
      <c r="B74" s="81" t="s">
        <v>635</v>
      </c>
      <c r="C74" s="89">
        <v>2.362570497371097</v>
      </c>
      <c r="D74" s="90">
        <v>3.4329643388785636</v>
      </c>
      <c r="E74" s="91">
        <v>3.366609258538622</v>
      </c>
      <c r="G74" s="103" t="s">
        <v>398</v>
      </c>
      <c r="H74" s="101">
        <v>75.842312832768172</v>
      </c>
      <c r="I74" s="93">
        <v>67</v>
      </c>
      <c r="J74" s="94">
        <v>37</v>
      </c>
      <c r="K74" s="81"/>
      <c r="L74" s="89">
        <v>-1.4717888510830746</v>
      </c>
      <c r="M74" s="90">
        <v>1.9629840486290608</v>
      </c>
      <c r="N74" s="90">
        <v>4.1950824094780925</v>
      </c>
      <c r="O74" s="90">
        <v>3.7069999999999999</v>
      </c>
      <c r="P74" s="90">
        <v>2.2010000000000001</v>
      </c>
      <c r="Q74" s="90">
        <v>4.2720000000000002</v>
      </c>
      <c r="R74" s="90">
        <v>5.3620000000000001</v>
      </c>
      <c r="S74" s="90">
        <v>4.8579999999999997</v>
      </c>
      <c r="T74" s="90">
        <v>-4.5469999999999997</v>
      </c>
      <c r="U74" s="90">
        <v>7.117</v>
      </c>
      <c r="V74" s="91">
        <v>4.9000000000000004</v>
      </c>
      <c r="W74" s="91">
        <f t="shared" si="0"/>
        <v>3.3997867987085928</v>
      </c>
    </row>
    <row r="75" spans="1:23" x14ac:dyDescent="0.35">
      <c r="A75" s="81" t="s">
        <v>227</v>
      </c>
      <c r="B75" s="81" t="s">
        <v>636</v>
      </c>
      <c r="C75" s="89">
        <v>1.1623871589995449</v>
      </c>
      <c r="D75" s="90">
        <v>2.1481166990517275</v>
      </c>
      <c r="E75" s="91">
        <v>3.1810733517810608</v>
      </c>
      <c r="G75" s="103" t="s">
        <v>415</v>
      </c>
      <c r="H75" s="101">
        <v>95.11269526919466</v>
      </c>
      <c r="I75" s="93">
        <v>19</v>
      </c>
      <c r="J75" s="94">
        <v>12</v>
      </c>
      <c r="K75" s="81"/>
      <c r="L75" s="89">
        <v>1.0636366074376145</v>
      </c>
      <c r="M75" s="90">
        <v>4.5524603201510816</v>
      </c>
      <c r="N75" s="90">
        <v>1.687215017506406</v>
      </c>
      <c r="O75" s="90">
        <v>4.4370000000000003</v>
      </c>
      <c r="P75" s="90">
        <v>6.3040000000000003</v>
      </c>
      <c r="Q75" s="90">
        <v>4.1950000000000003</v>
      </c>
      <c r="R75" s="90">
        <v>4.8890000000000002</v>
      </c>
      <c r="S75" s="90">
        <v>1.8049999999999999</v>
      </c>
      <c r="T75" s="90">
        <v>-7.242</v>
      </c>
      <c r="U75" s="90">
        <v>4.3330000000000002</v>
      </c>
      <c r="V75" s="91">
        <v>6.4450000000000003</v>
      </c>
      <c r="W75" s="91">
        <f t="shared" ref="W75:W138" si="1">AVERAGE(D75,E75)</f>
        <v>2.6645950254163941</v>
      </c>
    </row>
    <row r="76" spans="1:23" x14ac:dyDescent="0.35">
      <c r="A76" s="81" t="s">
        <v>565</v>
      </c>
      <c r="B76" s="81" t="s">
        <v>637</v>
      </c>
      <c r="C76" s="89">
        <v>2.7398620097403459</v>
      </c>
      <c r="D76" s="90">
        <v>3.6623835250989556</v>
      </c>
      <c r="E76" s="91">
        <v>5.5227254922200597</v>
      </c>
      <c r="G76" s="103" t="s">
        <v>422</v>
      </c>
      <c r="H76" s="101">
        <v>66.198052259063019</v>
      </c>
      <c r="I76" s="93">
        <v>109</v>
      </c>
      <c r="J76" s="94">
        <v>21</v>
      </c>
      <c r="K76" s="81"/>
      <c r="L76" s="89">
        <v>5.4563589507228496</v>
      </c>
      <c r="M76" s="90">
        <v>6.3861064009482602</v>
      </c>
      <c r="N76" s="90">
        <v>7.410227605088517</v>
      </c>
      <c r="O76" s="90">
        <v>7.9960000000000004</v>
      </c>
      <c r="P76" s="90">
        <v>8.2560000000000002</v>
      </c>
      <c r="Q76" s="90">
        <v>6.7949999999999999</v>
      </c>
      <c r="R76" s="90">
        <v>6.4539999999999997</v>
      </c>
      <c r="S76" s="90">
        <v>3.871</v>
      </c>
      <c r="T76" s="90">
        <v>-5.8310000000000004</v>
      </c>
      <c r="U76" s="90">
        <v>9.0500000000000007</v>
      </c>
      <c r="V76" s="91">
        <v>6.8310000000000004</v>
      </c>
      <c r="W76" s="91">
        <f t="shared" si="1"/>
        <v>4.5925545086595072</v>
      </c>
    </row>
    <row r="77" spans="1:23" x14ac:dyDescent="0.35">
      <c r="A77" s="81" t="s">
        <v>565</v>
      </c>
      <c r="B77" s="81" t="s">
        <v>638</v>
      </c>
      <c r="C77" s="89">
        <v>2.2622053552423305</v>
      </c>
      <c r="D77" s="90">
        <v>3.3867361875690394</v>
      </c>
      <c r="E77" s="91">
        <v>4.2439953782461792</v>
      </c>
      <c r="G77" s="103" t="s">
        <v>398</v>
      </c>
      <c r="H77" s="101">
        <v>71.158529876167961</v>
      </c>
      <c r="I77" s="93">
        <v>83</v>
      </c>
      <c r="J77" s="94">
        <v>14</v>
      </c>
      <c r="K77" s="81"/>
      <c r="L77" s="89">
        <v>6.0300506530561035</v>
      </c>
      <c r="M77" s="90">
        <v>5.5572636889101181</v>
      </c>
      <c r="N77" s="90">
        <v>5.0066684257549943</v>
      </c>
      <c r="O77" s="90">
        <v>4.8760000000000003</v>
      </c>
      <c r="P77" s="90">
        <v>5.0330000000000004</v>
      </c>
      <c r="Q77" s="90">
        <v>5.07</v>
      </c>
      <c r="R77" s="90">
        <v>5.1740000000000004</v>
      </c>
      <c r="S77" s="90">
        <v>5.0190000000000001</v>
      </c>
      <c r="T77" s="90">
        <v>-2.0659999999999998</v>
      </c>
      <c r="U77" s="90">
        <v>3.7029999999999998</v>
      </c>
      <c r="V77" s="91">
        <v>5.3090000000000002</v>
      </c>
      <c r="W77" s="91">
        <f t="shared" si="1"/>
        <v>3.8153657829076093</v>
      </c>
    </row>
    <row r="78" spans="1:23" x14ac:dyDescent="0.35">
      <c r="A78" s="81" t="s">
        <v>227</v>
      </c>
      <c r="B78" s="81" t="s">
        <v>639</v>
      </c>
      <c r="C78" s="89">
        <v>10.534737934438866</v>
      </c>
      <c r="D78" s="90">
        <v>8.9900271540683807</v>
      </c>
      <c r="E78" s="91">
        <v>9.0332345891797274</v>
      </c>
      <c r="G78" s="103" t="s">
        <v>415</v>
      </c>
      <c r="H78" s="101">
        <v>96.106887509545572</v>
      </c>
      <c r="I78" s="93">
        <v>12</v>
      </c>
      <c r="J78" s="94">
        <v>9</v>
      </c>
      <c r="K78" s="81"/>
      <c r="L78" s="89">
        <v>0.22571484300232808</v>
      </c>
      <c r="M78" s="90">
        <v>1.3516340039407124</v>
      </c>
      <c r="N78" s="90">
        <v>8.5566879851340367</v>
      </c>
      <c r="O78" s="90">
        <v>24.370999999999999</v>
      </c>
      <c r="P78" s="90">
        <v>2.0070000000000001</v>
      </c>
      <c r="Q78" s="90">
        <v>9.0050000000000008</v>
      </c>
      <c r="R78" s="90">
        <v>8.5280000000000005</v>
      </c>
      <c r="S78" s="90">
        <v>5.4409999999999998</v>
      </c>
      <c r="T78" s="90">
        <v>6.1840000000000002</v>
      </c>
      <c r="U78" s="90">
        <v>13.587999999999999</v>
      </c>
      <c r="V78" s="91">
        <v>11.97</v>
      </c>
      <c r="W78" s="91">
        <f t="shared" si="1"/>
        <v>9.0116308716240532</v>
      </c>
    </row>
    <row r="79" spans="1:23" x14ac:dyDescent="0.35">
      <c r="A79" s="81" t="s">
        <v>580</v>
      </c>
      <c r="B79" s="81" t="s">
        <v>640</v>
      </c>
      <c r="C79" s="89">
        <v>4.2964072248328211</v>
      </c>
      <c r="D79" s="90">
        <v>4.3056817639917977</v>
      </c>
      <c r="E79" s="91">
        <v>3.9225915638386066</v>
      </c>
      <c r="G79" s="103" t="s">
        <v>415</v>
      </c>
      <c r="H79" s="101">
        <v>91.08708937267636</v>
      </c>
      <c r="I79" s="93">
        <v>24</v>
      </c>
      <c r="J79" s="94">
        <v>2</v>
      </c>
      <c r="K79" s="81"/>
      <c r="L79" s="89">
        <v>2.2572375479441442</v>
      </c>
      <c r="M79" s="90">
        <v>4.1480545517150818</v>
      </c>
      <c r="N79" s="90">
        <v>3.7582001903069706</v>
      </c>
      <c r="O79" s="90">
        <v>2.4860000000000002</v>
      </c>
      <c r="P79" s="90">
        <v>4.5220000000000002</v>
      </c>
      <c r="Q79" s="90">
        <v>4.2759999999999998</v>
      </c>
      <c r="R79" s="90">
        <v>4.07</v>
      </c>
      <c r="S79" s="90">
        <v>4.1559999999999997</v>
      </c>
      <c r="T79" s="90">
        <v>-1.857</v>
      </c>
      <c r="U79" s="90">
        <v>8.6120000000000001</v>
      </c>
      <c r="V79" s="91">
        <v>6.4320000000000004</v>
      </c>
      <c r="W79" s="91">
        <f t="shared" si="1"/>
        <v>4.1141366639152022</v>
      </c>
    </row>
    <row r="80" spans="1:23" x14ac:dyDescent="0.35">
      <c r="A80" s="81" t="s">
        <v>227</v>
      </c>
      <c r="B80" s="81" t="s">
        <v>641</v>
      </c>
      <c r="C80" s="89">
        <v>0.2182802501019987</v>
      </c>
      <c r="D80" s="90">
        <v>0.31439174572445161</v>
      </c>
      <c r="E80" s="91">
        <v>0.34271436280863821</v>
      </c>
      <c r="G80" s="103" t="s">
        <v>415</v>
      </c>
      <c r="H80" s="101">
        <v>88.947746010825512</v>
      </c>
      <c r="I80" s="93">
        <v>29</v>
      </c>
      <c r="J80" s="94">
        <v>18</v>
      </c>
      <c r="K80" s="81"/>
      <c r="L80" s="89">
        <v>-2.9809057682377182</v>
      </c>
      <c r="M80" s="90">
        <v>-1.8410654508824811</v>
      </c>
      <c r="N80" s="90">
        <v>-4.5475423638333965E-3</v>
      </c>
      <c r="O80" s="90">
        <v>0.77800000000000002</v>
      </c>
      <c r="P80" s="90">
        <v>1.2929999999999999</v>
      </c>
      <c r="Q80" s="90">
        <v>1.6679999999999999</v>
      </c>
      <c r="R80" s="90">
        <v>0.92600000000000005</v>
      </c>
      <c r="S80" s="90">
        <v>0.48299999999999998</v>
      </c>
      <c r="T80" s="90">
        <v>-8.9789999999999992</v>
      </c>
      <c r="U80" s="90">
        <v>6.9870000000000001</v>
      </c>
      <c r="V80" s="91">
        <v>3.6749999999999998</v>
      </c>
      <c r="W80" s="91">
        <f t="shared" si="1"/>
        <v>0.32855305426654491</v>
      </c>
    </row>
    <row r="81" spans="1:23" x14ac:dyDescent="0.35">
      <c r="A81" s="81" t="s">
        <v>573</v>
      </c>
      <c r="B81" s="81" t="s">
        <v>642</v>
      </c>
      <c r="C81" s="89">
        <v>-0.70306474958997667</v>
      </c>
      <c r="D81" s="90">
        <v>0.12887839009743107</v>
      </c>
      <c r="E81" s="91">
        <v>0.51362317164571625</v>
      </c>
      <c r="G81" s="103" t="s">
        <v>567</v>
      </c>
      <c r="H81" s="101">
        <v>53.312824662633638</v>
      </c>
      <c r="I81" s="93">
        <v>137</v>
      </c>
      <c r="J81" s="94">
        <v>23</v>
      </c>
      <c r="K81" s="81"/>
      <c r="L81" s="89">
        <v>-0.61363603986913318</v>
      </c>
      <c r="M81" s="90">
        <v>0.51768601280242099</v>
      </c>
      <c r="N81" s="90">
        <v>0.68982235737431619</v>
      </c>
      <c r="O81" s="90">
        <v>0.86899999999999999</v>
      </c>
      <c r="P81" s="90">
        <v>1.498</v>
      </c>
      <c r="Q81" s="90">
        <v>0.67900000000000005</v>
      </c>
      <c r="R81" s="90">
        <v>1.827</v>
      </c>
      <c r="S81" s="90">
        <v>0.97</v>
      </c>
      <c r="T81" s="90">
        <v>-9.92</v>
      </c>
      <c r="U81" s="90">
        <v>4.601</v>
      </c>
      <c r="V81" s="91">
        <v>4</v>
      </c>
      <c r="W81" s="91">
        <f t="shared" si="1"/>
        <v>0.32125078087157366</v>
      </c>
    </row>
    <row r="82" spans="1:23" x14ac:dyDescent="0.35">
      <c r="A82" s="81" t="s">
        <v>565</v>
      </c>
      <c r="B82" s="81" t="s">
        <v>643</v>
      </c>
      <c r="C82" s="89">
        <v>-0.63095756344230258</v>
      </c>
      <c r="D82" s="90">
        <v>2.4039609383130767E-3</v>
      </c>
      <c r="E82" s="91">
        <v>0.62673306790392846</v>
      </c>
      <c r="G82" s="103" t="s">
        <v>415</v>
      </c>
      <c r="H82" s="101">
        <v>96.063700314273362</v>
      </c>
      <c r="I82" s="93">
        <v>13</v>
      </c>
      <c r="J82" s="94">
        <v>4</v>
      </c>
      <c r="K82" s="81"/>
      <c r="L82" s="89">
        <v>1.495089585949261</v>
      </c>
      <c r="M82" s="90">
        <v>2.0002678411015018</v>
      </c>
      <c r="N82" s="90">
        <v>0.3747194763313248</v>
      </c>
      <c r="O82" s="90">
        <v>1.5609999999999999</v>
      </c>
      <c r="P82" s="90">
        <v>0.754</v>
      </c>
      <c r="Q82" s="90">
        <v>1.675</v>
      </c>
      <c r="R82" s="90">
        <v>0.64300000000000002</v>
      </c>
      <c r="S82" s="90">
        <v>-0.40200000000000002</v>
      </c>
      <c r="T82" s="90">
        <v>-4.2789999999999999</v>
      </c>
      <c r="U82" s="90">
        <v>2.145</v>
      </c>
      <c r="V82" s="91">
        <v>1.075</v>
      </c>
      <c r="W82" s="91">
        <f t="shared" si="1"/>
        <v>0.31456851442112077</v>
      </c>
    </row>
    <row r="83" spans="1:23" x14ac:dyDescent="0.35">
      <c r="A83" s="81" t="s">
        <v>580</v>
      </c>
      <c r="B83" s="81" t="s">
        <v>644</v>
      </c>
      <c r="C83" s="89">
        <v>1.1049470799269878</v>
      </c>
      <c r="D83" s="90">
        <v>1.8757952650954479</v>
      </c>
      <c r="E83" s="91">
        <v>2.1806440475090172</v>
      </c>
      <c r="G83" s="103" t="s">
        <v>571</v>
      </c>
      <c r="H83" s="101">
        <v>79.514216326138751</v>
      </c>
      <c r="I83" s="93">
        <v>53</v>
      </c>
      <c r="J83" s="94">
        <v>5</v>
      </c>
      <c r="K83" s="81"/>
      <c r="L83" s="89">
        <v>2.6511707480297244</v>
      </c>
      <c r="M83" s="90">
        <v>2.8287666404585154</v>
      </c>
      <c r="N83" s="90">
        <v>3.0963303471105994</v>
      </c>
      <c r="O83" s="90">
        <v>2.496</v>
      </c>
      <c r="P83" s="90">
        <v>1.994</v>
      </c>
      <c r="Q83" s="90">
        <v>2.4740000000000002</v>
      </c>
      <c r="R83" s="90">
        <v>1.919</v>
      </c>
      <c r="S83" s="90">
        <v>1.927</v>
      </c>
      <c r="T83" s="90">
        <v>-1.57</v>
      </c>
      <c r="U83" s="90">
        <v>2.2280000000000002</v>
      </c>
      <c r="V83" s="91">
        <v>2.7109999999999999</v>
      </c>
      <c r="W83" s="91">
        <f t="shared" si="1"/>
        <v>2.0282196563022326</v>
      </c>
    </row>
    <row r="84" spans="1:23" x14ac:dyDescent="0.35">
      <c r="A84" s="81" t="s">
        <v>565</v>
      </c>
      <c r="B84" s="81" t="s">
        <v>645</v>
      </c>
      <c r="C84" s="89">
        <v>1.6270169093285825</v>
      </c>
      <c r="D84" s="90">
        <v>2.6878144462378906</v>
      </c>
      <c r="E84" s="91">
        <v>2.9947418753666133</v>
      </c>
      <c r="G84" s="103" t="s">
        <v>398</v>
      </c>
      <c r="H84" s="101">
        <v>70.400737065727981</v>
      </c>
      <c r="I84" s="93">
        <v>88</v>
      </c>
      <c r="J84" s="94">
        <v>16</v>
      </c>
      <c r="K84" s="81"/>
      <c r="L84" s="89">
        <v>4.7999999999927256</v>
      </c>
      <c r="M84" s="90">
        <v>5.9999999992556203</v>
      </c>
      <c r="N84" s="90">
        <v>4.2000000006304088</v>
      </c>
      <c r="O84" s="90">
        <v>1</v>
      </c>
      <c r="P84" s="90">
        <v>0.9</v>
      </c>
      <c r="Q84" s="90">
        <v>3.9009999999999998</v>
      </c>
      <c r="R84" s="90">
        <v>4.0999999999999996</v>
      </c>
      <c r="S84" s="90">
        <v>4.5</v>
      </c>
      <c r="T84" s="90">
        <v>-2.6</v>
      </c>
      <c r="U84" s="90">
        <v>4.0999999999999996</v>
      </c>
      <c r="V84" s="91">
        <v>3.214</v>
      </c>
      <c r="W84" s="91">
        <f t="shared" si="1"/>
        <v>2.8412781608022519</v>
      </c>
    </row>
    <row r="85" spans="1:23" x14ac:dyDescent="0.35">
      <c r="A85" s="81" t="s">
        <v>569</v>
      </c>
      <c r="B85" s="81" t="s">
        <v>646</v>
      </c>
      <c r="C85" s="89">
        <v>4.1600595320631983</v>
      </c>
      <c r="D85" s="90">
        <v>5.4481436952905637</v>
      </c>
      <c r="E85" s="91">
        <v>5.4875646773576481</v>
      </c>
      <c r="G85" s="103" t="s">
        <v>422</v>
      </c>
      <c r="H85" s="101">
        <v>68.853006787769303</v>
      </c>
      <c r="I85" s="93">
        <v>97</v>
      </c>
      <c r="J85" s="94">
        <v>18</v>
      </c>
      <c r="K85" s="81"/>
      <c r="L85" s="89">
        <v>4.5632091307112006</v>
      </c>
      <c r="M85" s="90">
        <v>5.8786805667541637</v>
      </c>
      <c r="N85" s="90">
        <v>5.3571256444996713</v>
      </c>
      <c r="O85" s="90">
        <v>4.968</v>
      </c>
      <c r="P85" s="90">
        <v>4.2140000000000004</v>
      </c>
      <c r="Q85" s="90">
        <v>3.8159999999999998</v>
      </c>
      <c r="R85" s="90">
        <v>5.6710000000000003</v>
      </c>
      <c r="S85" s="90">
        <v>5.1139999999999999</v>
      </c>
      <c r="T85" s="90">
        <v>-0.25</v>
      </c>
      <c r="U85" s="90">
        <v>7.5170000000000003</v>
      </c>
      <c r="V85" s="91">
        <v>5.3689999999999998</v>
      </c>
      <c r="W85" s="91">
        <f t="shared" si="1"/>
        <v>5.4678541863241055</v>
      </c>
    </row>
    <row r="86" spans="1:23" x14ac:dyDescent="0.35">
      <c r="A86" s="81" t="s">
        <v>565</v>
      </c>
      <c r="B86" s="81" t="s">
        <v>647</v>
      </c>
      <c r="C86" s="89">
        <v>1.9788311578699647</v>
      </c>
      <c r="D86" s="90">
        <v>2.1951704861675969</v>
      </c>
      <c r="E86" s="91">
        <v>2.6249033043728831</v>
      </c>
      <c r="G86" s="103" t="s">
        <v>415</v>
      </c>
      <c r="H86" s="101">
        <v>90.58627012288828</v>
      </c>
      <c r="I86" s="93">
        <v>26</v>
      </c>
      <c r="J86" s="94">
        <v>6</v>
      </c>
      <c r="K86" s="81"/>
      <c r="L86" s="89">
        <v>2.4025309924618736</v>
      </c>
      <c r="M86" s="90">
        <v>3.1647086364718322</v>
      </c>
      <c r="N86" s="90">
        <v>3.2024537945736018</v>
      </c>
      <c r="O86" s="90">
        <v>2.8090000000000002</v>
      </c>
      <c r="P86" s="90">
        <v>2.9470000000000001</v>
      </c>
      <c r="Q86" s="90">
        <v>3.16</v>
      </c>
      <c r="R86" s="90">
        <v>2.907</v>
      </c>
      <c r="S86" s="90">
        <v>2.2440000000000002</v>
      </c>
      <c r="T86" s="90">
        <v>-0.70899999999999996</v>
      </c>
      <c r="U86" s="90">
        <v>4.1449999999999996</v>
      </c>
      <c r="V86" s="91">
        <v>2.5609999999999999</v>
      </c>
      <c r="W86" s="91">
        <f t="shared" si="1"/>
        <v>2.41003689527024</v>
      </c>
    </row>
    <row r="87" spans="1:23" x14ac:dyDescent="0.35">
      <c r="A87" s="81" t="s">
        <v>580</v>
      </c>
      <c r="B87" s="81" t="s">
        <v>648</v>
      </c>
      <c r="C87" s="89">
        <v>2.9560258753336122E-2</v>
      </c>
      <c r="D87" s="90">
        <v>0.3483533742255629</v>
      </c>
      <c r="E87" s="91">
        <v>0.20315822263521355</v>
      </c>
      <c r="G87" s="103" t="s">
        <v>422</v>
      </c>
      <c r="H87" s="101">
        <v>67.205820265011681</v>
      </c>
      <c r="I87" s="93">
        <v>105</v>
      </c>
      <c r="J87" s="94">
        <v>10</v>
      </c>
      <c r="K87" s="81"/>
      <c r="L87" s="89">
        <v>6.6258183001417628</v>
      </c>
      <c r="M87" s="90">
        <v>1.1493004370652051</v>
      </c>
      <c r="N87" s="90">
        <v>0.5008769821586383</v>
      </c>
      <c r="O87" s="90">
        <v>0.59299999999999997</v>
      </c>
      <c r="P87" s="90">
        <v>2.9260000000000002</v>
      </c>
      <c r="Q87" s="90">
        <v>-4.7140000000000004</v>
      </c>
      <c r="R87" s="90">
        <v>2.4369999999999998</v>
      </c>
      <c r="S87" s="90">
        <v>-0.55200000000000005</v>
      </c>
      <c r="T87" s="90">
        <v>-8.8550000000000004</v>
      </c>
      <c r="U87" s="90">
        <v>1.3080000000000001</v>
      </c>
      <c r="V87" s="91">
        <v>8.1769999999999996</v>
      </c>
      <c r="W87" s="91">
        <f t="shared" si="1"/>
        <v>0.27575579843038822</v>
      </c>
    </row>
    <row r="88" spans="1:23" x14ac:dyDescent="0.35">
      <c r="A88" s="81" t="s">
        <v>565</v>
      </c>
      <c r="B88" s="81" t="s">
        <v>649</v>
      </c>
      <c r="C88" s="89">
        <v>0.51489333561212103</v>
      </c>
      <c r="D88" s="90">
        <v>1.9645834232370651</v>
      </c>
      <c r="E88" s="91">
        <v>3.7392958747352045</v>
      </c>
      <c r="G88" s="103" t="s">
        <v>398</v>
      </c>
      <c r="H88" s="101">
        <v>70.898067394091115</v>
      </c>
      <c r="I88" s="93">
        <v>86</v>
      </c>
      <c r="J88" s="94">
        <v>15</v>
      </c>
      <c r="K88" s="81"/>
      <c r="L88" s="89">
        <v>-8.8150201010635656E-2</v>
      </c>
      <c r="M88" s="90">
        <v>10.915469454314421</v>
      </c>
      <c r="N88" s="90">
        <v>4.024038625768628</v>
      </c>
      <c r="O88" s="90">
        <v>3.8759999999999999</v>
      </c>
      <c r="P88" s="90">
        <v>4.3360000000000003</v>
      </c>
      <c r="Q88" s="90">
        <v>4.74</v>
      </c>
      <c r="R88" s="90">
        <v>3.4590000000000001</v>
      </c>
      <c r="S88" s="90">
        <v>4.601</v>
      </c>
      <c r="T88" s="90">
        <v>-8.6170000000000009</v>
      </c>
      <c r="U88" s="90">
        <v>3.742</v>
      </c>
      <c r="V88" s="91">
        <v>7</v>
      </c>
      <c r="W88" s="91">
        <f t="shared" si="1"/>
        <v>2.8519396489861348</v>
      </c>
    </row>
    <row r="89" spans="1:23" x14ac:dyDescent="0.35">
      <c r="A89" s="81" t="s">
        <v>565</v>
      </c>
      <c r="B89" s="81" t="s">
        <v>650</v>
      </c>
      <c r="C89" s="89">
        <v>1.7571611332634074</v>
      </c>
      <c r="D89" s="90">
        <v>3.3757795121775569</v>
      </c>
      <c r="E89" s="91">
        <v>5.3509947789500245</v>
      </c>
      <c r="G89" s="103" t="s">
        <v>567</v>
      </c>
      <c r="H89" s="101">
        <v>58.394766440551741</v>
      </c>
      <c r="I89" s="93">
        <v>127</v>
      </c>
      <c r="J89" s="94">
        <v>26</v>
      </c>
      <c r="K89" s="81"/>
      <c r="L89" s="89">
        <v>8.0260984340408665</v>
      </c>
      <c r="M89" s="90">
        <v>8.0263002263775007</v>
      </c>
      <c r="N89" s="90">
        <v>7.6119634407438159</v>
      </c>
      <c r="O89" s="90">
        <v>7.27</v>
      </c>
      <c r="P89" s="90">
        <v>7.0229999999999997</v>
      </c>
      <c r="Q89" s="90">
        <v>6.851</v>
      </c>
      <c r="R89" s="90">
        <v>6.2889999999999997</v>
      </c>
      <c r="S89" s="90">
        <v>4.6520000000000001</v>
      </c>
      <c r="T89" s="90">
        <v>-0.435</v>
      </c>
      <c r="U89" s="90">
        <v>2.0609999999999999</v>
      </c>
      <c r="V89" s="91">
        <v>2.2519999999999998</v>
      </c>
      <c r="W89" s="91">
        <f t="shared" si="1"/>
        <v>4.3633871455637907</v>
      </c>
    </row>
    <row r="90" spans="1:23" x14ac:dyDescent="0.35">
      <c r="A90" s="81" t="s">
        <v>227</v>
      </c>
      <c r="B90" s="81" t="s">
        <v>651</v>
      </c>
      <c r="C90" s="89">
        <v>1.2465800540070626</v>
      </c>
      <c r="D90" s="90">
        <v>2.186383184955365</v>
      </c>
      <c r="E90" s="91">
        <v>2.3979634558628948</v>
      </c>
      <c r="G90" s="103" t="s">
        <v>571</v>
      </c>
      <c r="H90" s="101">
        <v>81.044610107182237</v>
      </c>
      <c r="I90" s="93">
        <v>44</v>
      </c>
      <c r="J90" s="94">
        <v>29</v>
      </c>
      <c r="K90" s="81"/>
      <c r="L90" s="89">
        <v>4.1342316499835752</v>
      </c>
      <c r="M90" s="90">
        <v>2.3280042634440163</v>
      </c>
      <c r="N90" s="90">
        <v>1.9151903779433241</v>
      </c>
      <c r="O90" s="90">
        <v>3.8849999999999998</v>
      </c>
      <c r="P90" s="90">
        <v>2.3690000000000002</v>
      </c>
      <c r="Q90" s="90">
        <v>3.3119999999999998</v>
      </c>
      <c r="R90" s="90">
        <v>3.992</v>
      </c>
      <c r="S90" s="90">
        <v>2.57</v>
      </c>
      <c r="T90" s="90">
        <v>-2.2029999999999998</v>
      </c>
      <c r="U90" s="90">
        <v>4.0640000000000001</v>
      </c>
      <c r="V90" s="91">
        <v>1.976</v>
      </c>
      <c r="W90" s="91">
        <f t="shared" si="1"/>
        <v>2.2921733204091299</v>
      </c>
    </row>
    <row r="91" spans="1:23" x14ac:dyDescent="0.35">
      <c r="A91" s="81" t="s">
        <v>580</v>
      </c>
      <c r="B91" s="81" t="s">
        <v>652</v>
      </c>
      <c r="C91" s="89">
        <v>-11.570507599610414</v>
      </c>
      <c r="D91" s="90">
        <v>-8.8972805759156888</v>
      </c>
      <c r="E91" s="91">
        <v>-3.6804003540223951</v>
      </c>
      <c r="G91" s="103" t="s">
        <v>398</v>
      </c>
      <c r="H91" s="101">
        <v>70.925074776605015</v>
      </c>
      <c r="I91" s="93">
        <v>85</v>
      </c>
      <c r="J91" s="94">
        <v>9</v>
      </c>
      <c r="K91" s="81"/>
      <c r="L91" s="89">
        <v>2.5405417890992656</v>
      </c>
      <c r="M91" s="90">
        <v>3.8110224147865268</v>
      </c>
      <c r="N91" s="90">
        <v>2.4536595719223264</v>
      </c>
      <c r="O91" s="90">
        <v>0.46100000000000002</v>
      </c>
      <c r="P91" s="90">
        <v>1.556</v>
      </c>
      <c r="Q91" s="90">
        <v>0.90300000000000002</v>
      </c>
      <c r="R91" s="90">
        <v>-1.885</v>
      </c>
      <c r="S91" s="90">
        <v>-6.915</v>
      </c>
      <c r="T91" s="90">
        <v>-25.907</v>
      </c>
      <c r="U91" s="90">
        <v>-5.4</v>
      </c>
      <c r="V91" s="91">
        <v>-5.4</v>
      </c>
      <c r="W91" s="91">
        <f t="shared" si="1"/>
        <v>-6.2888404649690415</v>
      </c>
    </row>
    <row r="92" spans="1:23" x14ac:dyDescent="0.35">
      <c r="A92" s="81" t="s">
        <v>569</v>
      </c>
      <c r="B92" s="81" t="s">
        <v>653</v>
      </c>
      <c r="C92" s="89">
        <v>-1.7564836758548363</v>
      </c>
      <c r="D92" s="90">
        <v>-1.6866052500791207</v>
      </c>
      <c r="E92" s="91">
        <v>0.46596555472186996</v>
      </c>
      <c r="G92" s="103" t="s">
        <v>422</v>
      </c>
      <c r="H92" s="101">
        <v>68.290636352612694</v>
      </c>
      <c r="I92" s="93">
        <v>100</v>
      </c>
      <c r="J92" s="94">
        <v>20</v>
      </c>
      <c r="K92" s="81"/>
      <c r="L92" s="89">
        <v>6.7436269408569842</v>
      </c>
      <c r="M92" s="90">
        <v>4.1869122037746749</v>
      </c>
      <c r="N92" s="90">
        <v>2.8839688442816156</v>
      </c>
      <c r="O92" s="90">
        <v>3.2480000000000002</v>
      </c>
      <c r="P92" s="90">
        <v>1.877</v>
      </c>
      <c r="Q92" s="90">
        <v>-2.734</v>
      </c>
      <c r="R92" s="90">
        <v>-1.304</v>
      </c>
      <c r="S92" s="90">
        <v>-1.9710000000000001</v>
      </c>
      <c r="T92" s="90">
        <v>-3.9020000000000001</v>
      </c>
      <c r="U92" s="90">
        <v>2.1019999999999999</v>
      </c>
      <c r="V92" s="91">
        <v>2.093</v>
      </c>
      <c r="W92" s="91">
        <f t="shared" si="1"/>
        <v>-0.61031984767862535</v>
      </c>
    </row>
    <row r="93" spans="1:23" x14ac:dyDescent="0.35">
      <c r="A93" s="81" t="s">
        <v>569</v>
      </c>
      <c r="B93" s="81" t="s">
        <v>654</v>
      </c>
      <c r="C93" s="89">
        <v>2.2030305181955034</v>
      </c>
      <c r="D93" s="90">
        <v>1.043410797540445</v>
      </c>
      <c r="E93" s="91">
        <v>1.5173155129903693</v>
      </c>
      <c r="G93" s="103" t="s">
        <v>567</v>
      </c>
      <c r="H93" s="101">
        <v>56.232966845120316</v>
      </c>
      <c r="I93" s="93">
        <v>130</v>
      </c>
      <c r="J93" s="94">
        <v>32</v>
      </c>
      <c r="K93" s="81"/>
      <c r="L93" s="89">
        <v>7.9938156931364137</v>
      </c>
      <c r="M93" s="90">
        <v>8.6872878163968235</v>
      </c>
      <c r="N93" s="90">
        <v>0.70139310028752089</v>
      </c>
      <c r="O93" s="90">
        <v>7.0000000000000001E-3</v>
      </c>
      <c r="P93" s="90">
        <v>-1.63</v>
      </c>
      <c r="Q93" s="90">
        <v>2.4689999999999999</v>
      </c>
      <c r="R93" s="90">
        <v>1.242</v>
      </c>
      <c r="S93" s="90">
        <v>-2.516</v>
      </c>
      <c r="T93" s="90">
        <v>-2.9670000000000001</v>
      </c>
      <c r="U93" s="90">
        <v>5.0110000000000001</v>
      </c>
      <c r="V93" s="91">
        <v>4.8109999999999999</v>
      </c>
      <c r="W93" s="91">
        <f t="shared" si="1"/>
        <v>1.2803631552654071</v>
      </c>
    </row>
    <row r="94" spans="1:23" x14ac:dyDescent="0.35">
      <c r="A94" s="81" t="s">
        <v>569</v>
      </c>
      <c r="B94" s="81" t="s">
        <v>655</v>
      </c>
      <c r="C94" s="89">
        <v>5.1304452243001952</v>
      </c>
      <c r="D94" s="90">
        <v>3.4484900722276279</v>
      </c>
      <c r="E94" s="91">
        <v>1.2335060569262035</v>
      </c>
      <c r="G94" s="103" t="s">
        <v>567</v>
      </c>
      <c r="H94" s="101">
        <v>48.008478383672035</v>
      </c>
      <c r="I94" s="93">
        <v>140</v>
      </c>
      <c r="J94" s="94">
        <v>38</v>
      </c>
      <c r="K94" s="81"/>
      <c r="L94" s="89">
        <v>274.10446739057375</v>
      </c>
      <c r="M94" s="90">
        <v>-13.994834968637873</v>
      </c>
      <c r="N94" s="90">
        <v>-10.842440326997824</v>
      </c>
      <c r="O94" s="90">
        <v>-0.84299999999999997</v>
      </c>
      <c r="P94" s="90">
        <v>-1.4910000000000001</v>
      </c>
      <c r="Q94" s="90">
        <v>32.491999999999997</v>
      </c>
      <c r="R94" s="90">
        <v>7.9409999999999998</v>
      </c>
      <c r="S94" s="90">
        <v>-11.196</v>
      </c>
      <c r="T94" s="90">
        <v>-29.456</v>
      </c>
      <c r="U94" s="90">
        <v>28.335000000000001</v>
      </c>
      <c r="V94" s="91">
        <v>-12.813000000000001</v>
      </c>
      <c r="W94" s="91">
        <f t="shared" si="1"/>
        <v>2.3409980645769157</v>
      </c>
    </row>
    <row r="95" spans="1:23" x14ac:dyDescent="0.35">
      <c r="A95" s="81" t="s">
        <v>227</v>
      </c>
      <c r="B95" s="81" t="s">
        <v>656</v>
      </c>
      <c r="C95" s="89">
        <v>2.5853990379055336</v>
      </c>
      <c r="D95" s="90">
        <v>3.2350334175799356</v>
      </c>
      <c r="E95" s="91">
        <v>3.2063173772679532</v>
      </c>
      <c r="G95" s="103" t="s">
        <v>571</v>
      </c>
      <c r="H95" s="101">
        <v>80.769738018881156</v>
      </c>
      <c r="I95" s="93">
        <v>45</v>
      </c>
      <c r="J95" s="94">
        <v>30</v>
      </c>
      <c r="K95" s="81"/>
      <c r="L95" s="89">
        <v>3.8333027642866848</v>
      </c>
      <c r="M95" s="90">
        <v>3.5584246313476826</v>
      </c>
      <c r="N95" s="90">
        <v>3.5079712171273361</v>
      </c>
      <c r="O95" s="90">
        <v>2.024</v>
      </c>
      <c r="P95" s="90">
        <v>2.5190000000000001</v>
      </c>
      <c r="Q95" s="90">
        <v>4.282</v>
      </c>
      <c r="R95" s="90">
        <v>3.9929999999999999</v>
      </c>
      <c r="S95" s="90">
        <v>4.625</v>
      </c>
      <c r="T95" s="90">
        <v>-2.1999999999999999E-2</v>
      </c>
      <c r="U95" s="90">
        <v>5.9809999999999999</v>
      </c>
      <c r="V95" s="91">
        <v>1.8879999999999999</v>
      </c>
      <c r="W95" s="91">
        <f t="shared" si="1"/>
        <v>3.2206753974239444</v>
      </c>
    </row>
    <row r="96" spans="1:23" x14ac:dyDescent="0.35">
      <c r="A96" s="81" t="s">
        <v>227</v>
      </c>
      <c r="B96" s="81" t="s">
        <v>657</v>
      </c>
      <c r="C96" s="89">
        <v>1.9225945961039326</v>
      </c>
      <c r="D96" s="90">
        <v>1.8607829332780268</v>
      </c>
      <c r="E96" s="91">
        <v>2.36159954003623</v>
      </c>
      <c r="G96" s="103" t="s">
        <v>415</v>
      </c>
      <c r="H96" s="101">
        <v>96.778306193425522</v>
      </c>
      <c r="I96" s="93">
        <v>9</v>
      </c>
      <c r="J96" s="94">
        <v>7</v>
      </c>
      <c r="K96" s="81"/>
      <c r="L96" s="89">
        <v>1.6499020297865346</v>
      </c>
      <c r="M96" s="90">
        <v>3.1717904991600552</v>
      </c>
      <c r="N96" s="90">
        <v>2.6230860157719222</v>
      </c>
      <c r="O96" s="90">
        <v>2.2679999999999998</v>
      </c>
      <c r="P96" s="90">
        <v>4.9779999999999998</v>
      </c>
      <c r="Q96" s="90">
        <v>1.3169999999999999</v>
      </c>
      <c r="R96" s="90">
        <v>1.2190000000000001</v>
      </c>
      <c r="S96" s="90">
        <v>2.3199999999999998</v>
      </c>
      <c r="T96" s="90">
        <v>-0.79700000000000004</v>
      </c>
      <c r="U96" s="90">
        <v>5.1029999999999998</v>
      </c>
      <c r="V96" s="91">
        <v>1.5489999999999999</v>
      </c>
      <c r="W96" s="91">
        <f t="shared" si="1"/>
        <v>2.1111912366571284</v>
      </c>
    </row>
    <row r="97" spans="1:23" x14ac:dyDescent="0.35">
      <c r="A97" s="81" t="s">
        <v>569</v>
      </c>
      <c r="B97" s="81" t="s">
        <v>658</v>
      </c>
      <c r="C97" s="89">
        <v>0.34284241084634459</v>
      </c>
      <c r="D97" s="90">
        <v>1.7120658983774018</v>
      </c>
      <c r="E97" s="91">
        <v>2.5217225637742979</v>
      </c>
      <c r="G97" s="103" t="s">
        <v>567</v>
      </c>
      <c r="H97" s="101">
        <v>48.940679032016362</v>
      </c>
      <c r="I97" s="93">
        <v>139</v>
      </c>
      <c r="J97" s="94">
        <v>37</v>
      </c>
      <c r="K97" s="81"/>
      <c r="L97" s="89">
        <v>3.0111464075530683</v>
      </c>
      <c r="M97" s="90">
        <v>2.3003869344771051</v>
      </c>
      <c r="N97" s="90">
        <v>3.3392022440733014</v>
      </c>
      <c r="O97" s="90">
        <v>3.1320000000000001</v>
      </c>
      <c r="P97" s="90">
        <v>3.9929999999999999</v>
      </c>
      <c r="Q97" s="90">
        <v>3.9329999999999998</v>
      </c>
      <c r="R97" s="90">
        <v>3.194</v>
      </c>
      <c r="S97" s="90">
        <v>4.4109999999999996</v>
      </c>
      <c r="T97" s="90">
        <v>-7.1379999999999999</v>
      </c>
      <c r="U97" s="90">
        <v>5.74</v>
      </c>
      <c r="V97" s="91">
        <v>4.21</v>
      </c>
      <c r="W97" s="91">
        <f t="shared" si="1"/>
        <v>2.1168942310758498</v>
      </c>
    </row>
    <row r="98" spans="1:23" x14ac:dyDescent="0.35">
      <c r="A98" s="81" t="s">
        <v>569</v>
      </c>
      <c r="B98" s="81" t="s">
        <v>659</v>
      </c>
      <c r="C98" s="89">
        <v>1.446318587345985</v>
      </c>
      <c r="D98" s="90">
        <v>2.8212259957555386</v>
      </c>
      <c r="E98" s="91">
        <v>3.4233840163588436</v>
      </c>
      <c r="G98" s="103" t="s">
        <v>398</v>
      </c>
      <c r="H98" s="101">
        <v>72.879134631330203</v>
      </c>
      <c r="I98" s="93">
        <v>77</v>
      </c>
      <c r="J98" s="94">
        <v>8</v>
      </c>
      <c r="K98" s="81"/>
      <c r="L98" s="89">
        <v>1.8857995075156477</v>
      </c>
      <c r="M98" s="90">
        <v>5.1999999956050429</v>
      </c>
      <c r="N98" s="90">
        <v>5.7000000050572197</v>
      </c>
      <c r="O98" s="90">
        <v>2.95</v>
      </c>
      <c r="P98" s="90">
        <v>2.27</v>
      </c>
      <c r="Q98" s="90">
        <v>4</v>
      </c>
      <c r="R98" s="90">
        <v>4.3920000000000003</v>
      </c>
      <c r="S98" s="90">
        <v>5.4480000000000004</v>
      </c>
      <c r="T98" s="90">
        <v>0.91300000000000003</v>
      </c>
      <c r="U98" s="90">
        <v>4.5670000000000002</v>
      </c>
      <c r="V98" s="91">
        <v>0.8</v>
      </c>
      <c r="W98" s="91">
        <f t="shared" si="1"/>
        <v>3.1223050060571911</v>
      </c>
    </row>
    <row r="99" spans="1:23" x14ac:dyDescent="0.35">
      <c r="A99" s="81" t="s">
        <v>565</v>
      </c>
      <c r="B99" s="81" t="s">
        <v>660</v>
      </c>
      <c r="C99" s="89">
        <v>1.9142421361718398</v>
      </c>
      <c r="D99" s="90">
        <v>3.0011020126644361</v>
      </c>
      <c r="E99" s="91">
        <v>4.0922822936961589</v>
      </c>
      <c r="G99" s="103" t="s">
        <v>398</v>
      </c>
      <c r="H99" s="101">
        <v>76.114633172938127</v>
      </c>
      <c r="I99" s="93">
        <v>66</v>
      </c>
      <c r="J99" s="94">
        <v>9</v>
      </c>
      <c r="K99" s="81"/>
      <c r="L99" s="89">
        <v>5.4734541925385383</v>
      </c>
      <c r="M99" s="90">
        <v>4.6937225255789317</v>
      </c>
      <c r="N99" s="90">
        <v>6.0067219455820462</v>
      </c>
      <c r="O99" s="90">
        <v>5.0069999999999997</v>
      </c>
      <c r="P99" s="90">
        <v>4.45</v>
      </c>
      <c r="Q99" s="90">
        <v>5.8129999999999997</v>
      </c>
      <c r="R99" s="90">
        <v>4.843</v>
      </c>
      <c r="S99" s="90">
        <v>4.4130000000000003</v>
      </c>
      <c r="T99" s="90">
        <v>-5.5339999999999998</v>
      </c>
      <c r="U99" s="90">
        <v>3.0920000000000001</v>
      </c>
      <c r="V99" s="91">
        <v>8.6940000000000008</v>
      </c>
      <c r="W99" s="91">
        <f t="shared" si="1"/>
        <v>3.5466921531802975</v>
      </c>
    </row>
    <row r="100" spans="1:23" x14ac:dyDescent="0.35">
      <c r="A100" s="81" t="s">
        <v>569</v>
      </c>
      <c r="B100" s="81" t="s">
        <v>661</v>
      </c>
      <c r="C100" s="89">
        <v>1.8165870919236937</v>
      </c>
      <c r="D100" s="90">
        <v>2.9671130334121942</v>
      </c>
      <c r="E100" s="91">
        <v>4.1460050619633648</v>
      </c>
      <c r="G100" s="103" t="s">
        <v>567</v>
      </c>
      <c r="H100" s="101">
        <v>43.633236095724527</v>
      </c>
      <c r="I100" s="93">
        <v>146</v>
      </c>
      <c r="J100" s="94">
        <v>41</v>
      </c>
      <c r="K100" s="81"/>
      <c r="L100" s="89">
        <v>-0.83662749707312833</v>
      </c>
      <c r="M100" s="90">
        <v>2.3037669581925009</v>
      </c>
      <c r="N100" s="90">
        <v>7.1014223480749816</v>
      </c>
      <c r="O100" s="90">
        <v>6.1719999999999997</v>
      </c>
      <c r="P100" s="90">
        <v>5.8520000000000003</v>
      </c>
      <c r="Q100" s="90">
        <v>5.3049999999999997</v>
      </c>
      <c r="R100" s="90">
        <v>4.7460000000000004</v>
      </c>
      <c r="S100" s="90">
        <v>4.7649999999999997</v>
      </c>
      <c r="T100" s="90">
        <v>-1.244</v>
      </c>
      <c r="U100" s="90">
        <v>3.0550000000000002</v>
      </c>
      <c r="V100" s="91">
        <v>3.7040000000000002</v>
      </c>
      <c r="W100" s="91">
        <f t="shared" si="1"/>
        <v>3.5565590476877795</v>
      </c>
    </row>
    <row r="101" spans="1:23" x14ac:dyDescent="0.35">
      <c r="A101" s="81" t="s">
        <v>227</v>
      </c>
      <c r="B101" s="81" t="s">
        <v>662</v>
      </c>
      <c r="C101" s="89">
        <v>2.6124059576447589</v>
      </c>
      <c r="D101" s="90">
        <v>4.3931536419201889</v>
      </c>
      <c r="E101" s="91">
        <v>5.6722564665051767</v>
      </c>
      <c r="G101" s="103" t="s">
        <v>571</v>
      </c>
      <c r="H101" s="101">
        <v>86.894246999173433</v>
      </c>
      <c r="I101" s="93">
        <v>33</v>
      </c>
      <c r="J101" s="94">
        <v>22</v>
      </c>
      <c r="K101" s="81"/>
      <c r="L101" s="89">
        <v>4.1177072993516513</v>
      </c>
      <c r="M101" s="90">
        <v>5.4733556954527041</v>
      </c>
      <c r="N101" s="90">
        <v>7.6335381123007346</v>
      </c>
      <c r="O101" s="90">
        <v>9.6080000000000005</v>
      </c>
      <c r="P101" s="90">
        <v>3.3809999999999998</v>
      </c>
      <c r="Q101" s="90">
        <v>10.869</v>
      </c>
      <c r="R101" s="90">
        <v>6.1929999999999996</v>
      </c>
      <c r="S101" s="90">
        <v>7.0090000000000003</v>
      </c>
      <c r="T101" s="90">
        <v>-8.6120000000000001</v>
      </c>
      <c r="U101" s="90">
        <v>11.805999999999999</v>
      </c>
      <c r="V101" s="91">
        <v>6.851</v>
      </c>
      <c r="W101" s="91">
        <f t="shared" si="1"/>
        <v>5.0327050542126823</v>
      </c>
    </row>
    <row r="102" spans="1:23" x14ac:dyDescent="0.35">
      <c r="A102" s="81" t="s">
        <v>569</v>
      </c>
      <c r="B102" s="81" t="s">
        <v>663</v>
      </c>
      <c r="C102" s="89">
        <v>10.380851809157976</v>
      </c>
      <c r="D102" s="90">
        <v>8.3436024853472226</v>
      </c>
      <c r="E102" s="91">
        <v>5.9978829377542953</v>
      </c>
      <c r="G102" s="103" t="s">
        <v>422</v>
      </c>
      <c r="H102" s="101">
        <v>67.535233245846925</v>
      </c>
      <c r="I102" s="93">
        <v>103</v>
      </c>
      <c r="J102" s="94">
        <v>23</v>
      </c>
      <c r="K102" s="81"/>
      <c r="L102" s="89">
        <v>4.4700131823368974</v>
      </c>
      <c r="M102" s="90">
        <v>4.150813186271721</v>
      </c>
      <c r="N102" s="90">
        <v>4.2748232713028473</v>
      </c>
      <c r="O102" s="90">
        <v>5.3760000000000003</v>
      </c>
      <c r="P102" s="90">
        <v>1.2609999999999999</v>
      </c>
      <c r="Q102" s="90">
        <v>6.2709999999999999</v>
      </c>
      <c r="R102" s="90">
        <v>4.7729999999999997</v>
      </c>
      <c r="S102" s="90">
        <v>5.4290000000000003</v>
      </c>
      <c r="T102" s="90">
        <v>-0.93799999999999994</v>
      </c>
      <c r="U102" s="90">
        <v>2.4449999999999998</v>
      </c>
      <c r="V102" s="91">
        <v>4.96</v>
      </c>
      <c r="W102" s="91">
        <f t="shared" si="1"/>
        <v>7.1707427115507585</v>
      </c>
    </row>
    <row r="103" spans="1:23" x14ac:dyDescent="0.35">
      <c r="A103" s="81" t="s">
        <v>569</v>
      </c>
      <c r="B103" s="81" t="s">
        <v>664</v>
      </c>
      <c r="C103" s="89">
        <v>-1.3801179259189</v>
      </c>
      <c r="D103" s="90">
        <v>1.2027047615812192</v>
      </c>
      <c r="E103" s="91">
        <v>2.4249070445692134</v>
      </c>
      <c r="G103" s="103" t="s">
        <v>571</v>
      </c>
      <c r="H103" s="101">
        <v>86.159393229935986</v>
      </c>
      <c r="I103" s="93">
        <v>35</v>
      </c>
      <c r="J103" s="94">
        <v>1</v>
      </c>
      <c r="K103" s="81"/>
      <c r="L103" s="89">
        <v>3.4961183375797935</v>
      </c>
      <c r="M103" s="90">
        <v>3.3604061030308432</v>
      </c>
      <c r="N103" s="90">
        <v>3.7445757725785316</v>
      </c>
      <c r="O103" s="90">
        <v>3.6909999999999998</v>
      </c>
      <c r="P103" s="90">
        <v>3.8620000000000001</v>
      </c>
      <c r="Q103" s="90">
        <v>3.9380000000000002</v>
      </c>
      <c r="R103" s="90">
        <v>4.0069999999999997</v>
      </c>
      <c r="S103" s="90">
        <v>2.891</v>
      </c>
      <c r="T103" s="90">
        <v>-14.598000000000001</v>
      </c>
      <c r="U103" s="90">
        <v>3.4990000000000001</v>
      </c>
      <c r="V103" s="91">
        <v>8.3000000000000007</v>
      </c>
      <c r="W103" s="91">
        <f t="shared" si="1"/>
        <v>1.8138059030752163</v>
      </c>
    </row>
    <row r="104" spans="1:23" x14ac:dyDescent="0.35">
      <c r="A104" s="81" t="s">
        <v>573</v>
      </c>
      <c r="B104" s="81" t="s">
        <v>665</v>
      </c>
      <c r="C104" s="89">
        <v>-0.23058449292154837</v>
      </c>
      <c r="D104" s="90">
        <v>0.18053445950247937</v>
      </c>
      <c r="E104" s="91">
        <v>1.3300326593307599</v>
      </c>
      <c r="G104" s="103" t="s">
        <v>398</v>
      </c>
      <c r="H104" s="101">
        <v>70.665681404041052</v>
      </c>
      <c r="I104" s="93">
        <v>87</v>
      </c>
      <c r="J104" s="94">
        <v>11</v>
      </c>
      <c r="K104" s="81"/>
      <c r="L104" s="89">
        <v>3.6423226794134638</v>
      </c>
      <c r="M104" s="90">
        <v>1.3540919615167941</v>
      </c>
      <c r="N104" s="90">
        <v>2.8043401283809737</v>
      </c>
      <c r="O104" s="90">
        <v>3.2930000000000001</v>
      </c>
      <c r="P104" s="90">
        <v>2.6309999999999998</v>
      </c>
      <c r="Q104" s="90">
        <v>2.113</v>
      </c>
      <c r="R104" s="90">
        <v>2.1949999999999998</v>
      </c>
      <c r="S104" s="90">
        <v>-0.19900000000000001</v>
      </c>
      <c r="T104" s="90">
        <v>-7.9880000000000004</v>
      </c>
      <c r="U104" s="90">
        <v>4.7210000000000001</v>
      </c>
      <c r="V104" s="91">
        <v>3.0659999999999998</v>
      </c>
      <c r="W104" s="91">
        <f t="shared" si="1"/>
        <v>0.75528355941661962</v>
      </c>
    </row>
    <row r="105" spans="1:23" x14ac:dyDescent="0.35">
      <c r="A105" s="81" t="s">
        <v>227</v>
      </c>
      <c r="B105" s="81" t="s">
        <v>666</v>
      </c>
      <c r="C105" s="89">
        <v>-0.11659435485397163</v>
      </c>
      <c r="D105" s="90">
        <v>1.5069892590011902</v>
      </c>
      <c r="E105" s="91">
        <v>3.001683990106474</v>
      </c>
      <c r="G105" s="103" t="s">
        <v>571</v>
      </c>
      <c r="H105" s="101">
        <v>79.52270940766131</v>
      </c>
      <c r="I105" s="93">
        <v>52</v>
      </c>
      <c r="J105" s="94">
        <v>33</v>
      </c>
      <c r="K105" s="81"/>
      <c r="L105" s="89">
        <v>-0.58973412591981322</v>
      </c>
      <c r="M105" s="90">
        <v>9.0438654824314977</v>
      </c>
      <c r="N105" s="90">
        <v>4.9996256689180685</v>
      </c>
      <c r="O105" s="90">
        <v>-0.33800000000000002</v>
      </c>
      <c r="P105" s="90">
        <v>4.4089999999999998</v>
      </c>
      <c r="Q105" s="90">
        <v>4.2</v>
      </c>
      <c r="R105" s="90">
        <v>4.0999999999999996</v>
      </c>
      <c r="S105" s="90">
        <v>3.6</v>
      </c>
      <c r="T105" s="90">
        <v>-8.3000000000000007</v>
      </c>
      <c r="U105" s="90">
        <v>13.945</v>
      </c>
      <c r="V105" s="91">
        <v>-5.5759999999999996</v>
      </c>
      <c r="W105" s="91">
        <f t="shared" si="1"/>
        <v>2.2543366245538321</v>
      </c>
    </row>
    <row r="106" spans="1:23" x14ac:dyDescent="0.35">
      <c r="A106" s="81" t="s">
        <v>565</v>
      </c>
      <c r="B106" s="81" t="s">
        <v>667</v>
      </c>
      <c r="C106" s="89">
        <v>0.5652165458427838</v>
      </c>
      <c r="D106" s="90">
        <v>3.0624452280082259</v>
      </c>
      <c r="E106" s="91">
        <v>4.33160969781623</v>
      </c>
      <c r="G106" s="103" t="s">
        <v>571</v>
      </c>
      <c r="H106" s="101">
        <v>78.890549447741549</v>
      </c>
      <c r="I106" s="93">
        <v>56</v>
      </c>
      <c r="J106" s="94">
        <v>8</v>
      </c>
      <c r="K106" s="81"/>
      <c r="L106" s="89">
        <v>12.319819848483753</v>
      </c>
      <c r="M106" s="90">
        <v>11.648916189886327</v>
      </c>
      <c r="N106" s="90">
        <v>7.8852254815193961</v>
      </c>
      <c r="O106" s="90">
        <v>2.41</v>
      </c>
      <c r="P106" s="90">
        <v>1.49</v>
      </c>
      <c r="Q106" s="90">
        <v>5.6369999999999996</v>
      </c>
      <c r="R106" s="90">
        <v>7.7450000000000001</v>
      </c>
      <c r="S106" s="90">
        <v>5.6020000000000003</v>
      </c>
      <c r="T106" s="90">
        <v>-4.5579999999999998</v>
      </c>
      <c r="U106" s="90">
        <v>1.637</v>
      </c>
      <c r="V106" s="91">
        <v>4.8460000000000001</v>
      </c>
      <c r="W106" s="91">
        <f t="shared" si="1"/>
        <v>3.6970274629122279</v>
      </c>
    </row>
    <row r="107" spans="1:23" x14ac:dyDescent="0.35">
      <c r="A107" s="81" t="s">
        <v>569</v>
      </c>
      <c r="B107" s="81" t="s">
        <v>668</v>
      </c>
      <c r="C107" s="89">
        <v>2.7484311837486786</v>
      </c>
      <c r="D107" s="90">
        <v>3.8040844105169391</v>
      </c>
      <c r="E107" s="91">
        <v>4.437166103247403</v>
      </c>
      <c r="G107" s="103" t="s">
        <v>398</v>
      </c>
      <c r="H107" s="101">
        <v>76.129604349240608</v>
      </c>
      <c r="I107" s="93">
        <v>65</v>
      </c>
      <c r="J107" s="94">
        <v>4</v>
      </c>
      <c r="K107" s="81"/>
      <c r="L107" s="89">
        <v>1.2735415748875247</v>
      </c>
      <c r="M107" s="90">
        <v>4.8919045547561728</v>
      </c>
      <c r="N107" s="90">
        <v>5.1501913509219497</v>
      </c>
      <c r="O107" s="90">
        <v>4.3449999999999998</v>
      </c>
      <c r="P107" s="90">
        <v>0.52100000000000002</v>
      </c>
      <c r="Q107" s="90">
        <v>5.0579999999999998</v>
      </c>
      <c r="R107" s="90">
        <v>3.0659999999999998</v>
      </c>
      <c r="S107" s="90">
        <v>2.891</v>
      </c>
      <c r="T107" s="90">
        <v>-7.1870000000000003</v>
      </c>
      <c r="U107" s="90">
        <v>7.93</v>
      </c>
      <c r="V107" s="91">
        <v>1.135</v>
      </c>
      <c r="W107" s="91">
        <f t="shared" si="1"/>
        <v>4.1206252568821711</v>
      </c>
    </row>
    <row r="108" spans="1:23" x14ac:dyDescent="0.35">
      <c r="A108" s="81" t="s">
        <v>569</v>
      </c>
      <c r="B108" s="81" t="s">
        <v>669</v>
      </c>
      <c r="C108" s="89">
        <v>1.7345974801987962</v>
      </c>
      <c r="D108" s="90">
        <v>2.1902907307407293</v>
      </c>
      <c r="E108" s="91">
        <v>3.9391606371984134</v>
      </c>
      <c r="G108" s="103" t="s">
        <v>422</v>
      </c>
      <c r="H108" s="101">
        <v>66.134592515292979</v>
      </c>
      <c r="I108" s="93">
        <v>110</v>
      </c>
      <c r="J108" s="94">
        <v>25</v>
      </c>
      <c r="K108" s="81"/>
      <c r="L108" s="89">
        <v>7.2584392525877934</v>
      </c>
      <c r="M108" s="90">
        <v>6.9636071348707169</v>
      </c>
      <c r="N108" s="90">
        <v>7.3985127971386246</v>
      </c>
      <c r="O108" s="90">
        <v>6.7229999999999999</v>
      </c>
      <c r="P108" s="90">
        <v>3.8239999999999998</v>
      </c>
      <c r="Q108" s="90">
        <v>3.7410000000000001</v>
      </c>
      <c r="R108" s="90">
        <v>3.444</v>
      </c>
      <c r="S108" s="90">
        <v>2.3149999999999999</v>
      </c>
      <c r="T108" s="90">
        <v>-1.1990000000000001</v>
      </c>
      <c r="U108" s="90">
        <v>2.3279999999999998</v>
      </c>
      <c r="V108" s="91">
        <v>4.1479999999999997</v>
      </c>
      <c r="W108" s="91">
        <f t="shared" si="1"/>
        <v>3.0647256839695713</v>
      </c>
    </row>
    <row r="109" spans="1:23" x14ac:dyDescent="0.35">
      <c r="A109" s="81" t="s">
        <v>565</v>
      </c>
      <c r="B109" s="81" t="s">
        <v>670</v>
      </c>
      <c r="C109" s="89">
        <v>-4.7700497073887238</v>
      </c>
      <c r="D109" s="90">
        <v>-0.38368451177455132</v>
      </c>
      <c r="E109" s="91">
        <v>3.2897594501001937</v>
      </c>
      <c r="G109" s="103" t="s">
        <v>422</v>
      </c>
      <c r="H109" s="101">
        <v>65.606474585171327</v>
      </c>
      <c r="I109" s="93">
        <v>111</v>
      </c>
      <c r="J109" s="94">
        <v>22</v>
      </c>
      <c r="K109" s="81"/>
      <c r="L109" s="89">
        <v>6.4857540044064299</v>
      </c>
      <c r="M109" s="90">
        <v>7.8986694782381086</v>
      </c>
      <c r="N109" s="90">
        <v>8.1996637504261933</v>
      </c>
      <c r="O109" s="90">
        <v>7.4729999999999999</v>
      </c>
      <c r="P109" s="90">
        <v>6.4080000000000004</v>
      </c>
      <c r="Q109" s="90">
        <v>5.75</v>
      </c>
      <c r="R109" s="90">
        <v>6.4050000000000002</v>
      </c>
      <c r="S109" s="90">
        <v>6.75</v>
      </c>
      <c r="T109" s="90">
        <v>3.1890000000000001</v>
      </c>
      <c r="U109" s="90">
        <v>-17.937999999999999</v>
      </c>
      <c r="V109" s="91">
        <v>1.9710000000000001</v>
      </c>
      <c r="W109" s="91">
        <f t="shared" si="1"/>
        <v>1.4530374691628212</v>
      </c>
    </row>
    <row r="110" spans="1:23" x14ac:dyDescent="0.35">
      <c r="A110" s="81" t="s">
        <v>569</v>
      </c>
      <c r="B110" s="81" t="s">
        <v>671</v>
      </c>
      <c r="C110" s="89">
        <v>5.9000128031017951</v>
      </c>
      <c r="D110" s="90">
        <v>3.7913046668829331</v>
      </c>
      <c r="E110" s="91">
        <v>3.4125855123770643</v>
      </c>
      <c r="G110" s="103" t="s">
        <v>398</v>
      </c>
      <c r="H110" s="101">
        <v>72.202169838266542</v>
      </c>
      <c r="I110" s="93">
        <v>79</v>
      </c>
      <c r="J110" s="94">
        <v>10</v>
      </c>
      <c r="K110" s="81"/>
      <c r="L110" s="89">
        <v>5.061682013267613</v>
      </c>
      <c r="M110" s="90">
        <v>5.6147197006409399</v>
      </c>
      <c r="N110" s="90">
        <v>5.7577888470497651</v>
      </c>
      <c r="O110" s="90">
        <v>4.2640000000000002</v>
      </c>
      <c r="P110" s="90">
        <v>3.4000000000000002E-2</v>
      </c>
      <c r="Q110" s="90">
        <v>-1.0269999999999999</v>
      </c>
      <c r="R110" s="90">
        <v>1.06</v>
      </c>
      <c r="S110" s="90">
        <v>-0.83899999999999997</v>
      </c>
      <c r="T110" s="90">
        <v>-8.0359999999999996</v>
      </c>
      <c r="U110" s="90">
        <v>2.6560000000000001</v>
      </c>
      <c r="V110" s="91">
        <v>3.8420000000000001</v>
      </c>
      <c r="W110" s="91">
        <f t="shared" si="1"/>
        <v>3.6019450896299987</v>
      </c>
    </row>
    <row r="111" spans="1:23" x14ac:dyDescent="0.35">
      <c r="A111" s="81" t="s">
        <v>565</v>
      </c>
      <c r="B111" s="81" t="s">
        <v>672</v>
      </c>
      <c r="C111" s="89">
        <v>2.509308980392877</v>
      </c>
      <c r="D111" s="90">
        <v>4.3365366697670549</v>
      </c>
      <c r="E111" s="91">
        <v>4.4414058742941132</v>
      </c>
      <c r="G111" s="103" t="s">
        <v>567</v>
      </c>
      <c r="H111" s="101">
        <v>47.880656607147813</v>
      </c>
      <c r="I111" s="93">
        <v>141</v>
      </c>
      <c r="J111" s="94">
        <v>29</v>
      </c>
      <c r="K111" s="81"/>
      <c r="L111" s="89">
        <v>4.6701221485020756</v>
      </c>
      <c r="M111" s="90">
        <v>3.525153173819251</v>
      </c>
      <c r="N111" s="90">
        <v>6.0114828408077567</v>
      </c>
      <c r="O111" s="90">
        <v>3.976</v>
      </c>
      <c r="P111" s="90">
        <v>0.433</v>
      </c>
      <c r="Q111" s="90">
        <v>8.9770000000000003</v>
      </c>
      <c r="R111" s="90">
        <v>7.6219999999999999</v>
      </c>
      <c r="S111" s="90">
        <v>6.657</v>
      </c>
      <c r="T111" s="90">
        <v>-2.37</v>
      </c>
      <c r="U111" s="90">
        <v>4.2469999999999999</v>
      </c>
      <c r="V111" s="91">
        <v>5.8380000000000001</v>
      </c>
      <c r="W111" s="91">
        <f t="shared" si="1"/>
        <v>4.3889712720305845</v>
      </c>
    </row>
    <row r="112" spans="1:23" x14ac:dyDescent="0.35">
      <c r="A112" s="81" t="s">
        <v>227</v>
      </c>
      <c r="B112" s="81" t="s">
        <v>673</v>
      </c>
      <c r="C112" s="89">
        <v>1.7497887812736312</v>
      </c>
      <c r="D112" s="90">
        <v>1.8172353151896914</v>
      </c>
      <c r="E112" s="91">
        <v>1.7415218308118652</v>
      </c>
      <c r="G112" s="103" t="s">
        <v>415</v>
      </c>
      <c r="H112" s="101">
        <v>97.320188246923195</v>
      </c>
      <c r="I112" s="93">
        <v>6</v>
      </c>
      <c r="J112" s="94">
        <v>4</v>
      </c>
      <c r="K112" s="81"/>
      <c r="L112" s="89">
        <v>-1.0303540066027346</v>
      </c>
      <c r="M112" s="90">
        <v>-0.13017522863902575</v>
      </c>
      <c r="N112" s="90">
        <v>1.4233954098743582</v>
      </c>
      <c r="O112" s="90">
        <v>1.958</v>
      </c>
      <c r="P112" s="90">
        <v>2.1920000000000002</v>
      </c>
      <c r="Q112" s="90">
        <v>2.911</v>
      </c>
      <c r="R112" s="90">
        <v>2.3610000000000002</v>
      </c>
      <c r="S112" s="90">
        <v>1.956</v>
      </c>
      <c r="T112" s="90">
        <v>-3.9129999999999998</v>
      </c>
      <c r="U112" s="90">
        <v>4.883</v>
      </c>
      <c r="V112" s="91">
        <v>4.5179999999999998</v>
      </c>
      <c r="W112" s="91">
        <f t="shared" si="1"/>
        <v>1.7793785730007783</v>
      </c>
    </row>
    <row r="113" spans="1:23" x14ac:dyDescent="0.35">
      <c r="A113" s="81" t="s">
        <v>565</v>
      </c>
      <c r="B113" s="81" t="s">
        <v>674</v>
      </c>
      <c r="C113" s="89">
        <v>1.6101427265492019</v>
      </c>
      <c r="D113" s="90">
        <v>2.5126996765094445</v>
      </c>
      <c r="E113" s="91">
        <v>2.926527233523446</v>
      </c>
      <c r="G113" s="103" t="s">
        <v>415</v>
      </c>
      <c r="H113" s="101">
        <v>98.673978139326721</v>
      </c>
      <c r="I113" s="93">
        <v>1</v>
      </c>
      <c r="J113" s="94">
        <v>1</v>
      </c>
      <c r="K113" s="81"/>
      <c r="L113" s="89">
        <v>2.2395634845413639</v>
      </c>
      <c r="M113" s="90">
        <v>2.6288005896782796</v>
      </c>
      <c r="N113" s="90">
        <v>3.6255957672075687</v>
      </c>
      <c r="O113" s="90">
        <v>3.6909999999999998</v>
      </c>
      <c r="P113" s="90">
        <v>3.8839999999999999</v>
      </c>
      <c r="Q113" s="90">
        <v>3.46</v>
      </c>
      <c r="R113" s="90">
        <v>3.524</v>
      </c>
      <c r="S113" s="90">
        <v>3.0750000000000002</v>
      </c>
      <c r="T113" s="90">
        <v>-1.4770000000000001</v>
      </c>
      <c r="U113" s="90">
        <v>6.0880000000000001</v>
      </c>
      <c r="V113" s="91">
        <v>2.4350000000000001</v>
      </c>
      <c r="W113" s="91">
        <f t="shared" si="1"/>
        <v>2.7196134550164452</v>
      </c>
    </row>
    <row r="114" spans="1:23" x14ac:dyDescent="0.35">
      <c r="A114" s="81" t="s">
        <v>573</v>
      </c>
      <c r="B114" s="81" t="s">
        <v>675</v>
      </c>
      <c r="C114" s="89">
        <v>4.0750139508862748</v>
      </c>
      <c r="D114" s="90">
        <v>0.946067021483743</v>
      </c>
      <c r="E114" s="91">
        <v>2.8253976939387693</v>
      </c>
      <c r="G114" s="103" t="s">
        <v>422</v>
      </c>
      <c r="H114" s="101">
        <v>64.641996561099731</v>
      </c>
      <c r="I114" s="93">
        <v>115</v>
      </c>
      <c r="J114" s="94">
        <v>15</v>
      </c>
      <c r="K114" s="81"/>
      <c r="L114" s="89">
        <v>6.4967472990321502</v>
      </c>
      <c r="M114" s="90">
        <v>4.9267922688301464</v>
      </c>
      <c r="N114" s="90">
        <v>4.7858161704434874</v>
      </c>
      <c r="O114" s="90">
        <v>4.7919999999999998</v>
      </c>
      <c r="P114" s="90">
        <v>4.5629999999999997</v>
      </c>
      <c r="Q114" s="90">
        <v>4.6310000000000002</v>
      </c>
      <c r="R114" s="90">
        <v>-3.363</v>
      </c>
      <c r="S114" s="90">
        <v>-3.78</v>
      </c>
      <c r="T114" s="90">
        <v>-1.7889999999999999</v>
      </c>
      <c r="U114" s="90">
        <v>10.345000000000001</v>
      </c>
      <c r="V114" s="91">
        <v>4.024</v>
      </c>
      <c r="W114" s="91">
        <f t="shared" si="1"/>
        <v>1.8857323577112561</v>
      </c>
    </row>
    <row r="115" spans="1:23" x14ac:dyDescent="0.35">
      <c r="A115" s="81" t="s">
        <v>569</v>
      </c>
      <c r="B115" s="81" t="s">
        <v>676</v>
      </c>
      <c r="C115" s="89">
        <v>5.2681473931170952</v>
      </c>
      <c r="D115" s="90">
        <v>5.8171216819006277</v>
      </c>
      <c r="E115" s="91">
        <v>5.6255556295670361</v>
      </c>
      <c r="G115" s="103" t="s">
        <v>422</v>
      </c>
      <c r="H115" s="101">
        <v>68.812447501404833</v>
      </c>
      <c r="I115" s="93">
        <v>98</v>
      </c>
      <c r="J115" s="94">
        <v>19</v>
      </c>
      <c r="K115" s="81"/>
      <c r="L115" s="89">
        <v>10.599907397446637</v>
      </c>
      <c r="M115" s="90">
        <v>5.5657295960540178</v>
      </c>
      <c r="N115" s="90">
        <v>6.5644262265084619</v>
      </c>
      <c r="O115" s="90">
        <v>4.3929999999999998</v>
      </c>
      <c r="P115" s="90">
        <v>5.7409999999999997</v>
      </c>
      <c r="Q115" s="90">
        <v>5.0010000000000003</v>
      </c>
      <c r="R115" s="90">
        <v>7.0069999999999997</v>
      </c>
      <c r="S115" s="90">
        <v>6.1429999999999998</v>
      </c>
      <c r="T115" s="90">
        <v>3.55</v>
      </c>
      <c r="U115" s="90">
        <v>1.399</v>
      </c>
      <c r="V115" s="91">
        <v>11.111000000000001</v>
      </c>
      <c r="W115" s="91">
        <f t="shared" si="1"/>
        <v>5.7213386557338319</v>
      </c>
    </row>
    <row r="116" spans="1:23" x14ac:dyDescent="0.35">
      <c r="A116" s="81" t="s">
        <v>569</v>
      </c>
      <c r="B116" s="81" t="s">
        <v>677</v>
      </c>
      <c r="C116" s="89">
        <v>1.6711254984559387</v>
      </c>
      <c r="D116" s="90">
        <v>1.8286894595159531</v>
      </c>
      <c r="E116" s="91">
        <v>2.3705025942777347</v>
      </c>
      <c r="G116" s="103" t="s">
        <v>567</v>
      </c>
      <c r="H116" s="101">
        <v>54.117482987279544</v>
      </c>
      <c r="I116" s="93">
        <v>136</v>
      </c>
      <c r="J116" s="94">
        <v>35</v>
      </c>
      <c r="K116" s="81"/>
      <c r="L116" s="89">
        <v>4.2300611751055515</v>
      </c>
      <c r="M116" s="90">
        <v>6.6713353928837664</v>
      </c>
      <c r="N116" s="90">
        <v>6.3097186557238203</v>
      </c>
      <c r="O116" s="90">
        <v>2.653</v>
      </c>
      <c r="P116" s="90">
        <v>-1.617</v>
      </c>
      <c r="Q116" s="90">
        <v>0.80600000000000005</v>
      </c>
      <c r="R116" s="90">
        <v>1.923</v>
      </c>
      <c r="S116" s="90">
        <v>2.2080000000000002</v>
      </c>
      <c r="T116" s="90">
        <v>-1.794</v>
      </c>
      <c r="U116" s="90">
        <v>3.6469999999999998</v>
      </c>
      <c r="V116" s="91">
        <v>3.2519999999999998</v>
      </c>
      <c r="W116" s="91">
        <f t="shared" si="1"/>
        <v>2.0995960268968439</v>
      </c>
    </row>
    <row r="117" spans="1:23" x14ac:dyDescent="0.35">
      <c r="A117" s="81" t="s">
        <v>227</v>
      </c>
      <c r="B117" s="81" t="s">
        <v>678</v>
      </c>
      <c r="C117" s="89">
        <v>-7.5001429328758196E-2</v>
      </c>
      <c r="D117" s="90">
        <v>1.3021650287798892</v>
      </c>
      <c r="E117" s="91">
        <v>2.0797979747829265</v>
      </c>
      <c r="G117" s="103" t="s">
        <v>571</v>
      </c>
      <c r="H117" s="101">
        <v>78.35616814320835</v>
      </c>
      <c r="I117" s="93">
        <v>58</v>
      </c>
      <c r="J117" s="94">
        <v>35</v>
      </c>
      <c r="K117" s="81"/>
      <c r="L117" s="89">
        <v>-0.45618322360793873</v>
      </c>
      <c r="M117" s="90">
        <v>2.9252576645048585</v>
      </c>
      <c r="N117" s="90">
        <v>3.6291235127637393</v>
      </c>
      <c r="O117" s="90">
        <v>3.8559999999999999</v>
      </c>
      <c r="P117" s="90">
        <v>2.8479999999999999</v>
      </c>
      <c r="Q117" s="90">
        <v>1.0820000000000001</v>
      </c>
      <c r="R117" s="90">
        <v>2.8809999999999998</v>
      </c>
      <c r="S117" s="90">
        <v>3.91</v>
      </c>
      <c r="T117" s="90">
        <v>-4.6879999999999997</v>
      </c>
      <c r="U117" s="90">
        <v>3.931</v>
      </c>
      <c r="V117" s="91">
        <v>2.2170000000000001</v>
      </c>
      <c r="W117" s="91">
        <f t="shared" si="1"/>
        <v>1.6909815017814078</v>
      </c>
    </row>
    <row r="118" spans="1:23" x14ac:dyDescent="0.35">
      <c r="A118" s="81" t="s">
        <v>227</v>
      </c>
      <c r="B118" s="81" t="s">
        <v>679</v>
      </c>
      <c r="C118" s="89">
        <v>2.1276786032802697</v>
      </c>
      <c r="D118" s="90">
        <v>2.0038500872442633</v>
      </c>
      <c r="E118" s="91">
        <v>1.8376731142071945</v>
      </c>
      <c r="G118" s="103" t="s">
        <v>415</v>
      </c>
      <c r="H118" s="101">
        <v>96.569623372049904</v>
      </c>
      <c r="I118" s="93">
        <v>10</v>
      </c>
      <c r="J118" s="94">
        <v>8</v>
      </c>
      <c r="K118" s="81"/>
      <c r="L118" s="89">
        <v>2.7030738548426481</v>
      </c>
      <c r="M118" s="90">
        <v>1.0340729135363009</v>
      </c>
      <c r="N118" s="90">
        <v>1.9695443007938924</v>
      </c>
      <c r="O118" s="90">
        <v>1.857</v>
      </c>
      <c r="P118" s="90">
        <v>1.165</v>
      </c>
      <c r="Q118" s="90">
        <v>2.464</v>
      </c>
      <c r="R118" s="90">
        <v>0.82899999999999996</v>
      </c>
      <c r="S118" s="90">
        <v>1.1240000000000001</v>
      </c>
      <c r="T118" s="90">
        <v>-1.278</v>
      </c>
      <c r="U118" s="90">
        <v>3.8980000000000001</v>
      </c>
      <c r="V118" s="91">
        <v>3.2810000000000001</v>
      </c>
      <c r="W118" s="91">
        <f t="shared" si="1"/>
        <v>1.9207616007257289</v>
      </c>
    </row>
    <row r="119" spans="1:23" x14ac:dyDescent="0.35">
      <c r="A119" s="81" t="s">
        <v>580</v>
      </c>
      <c r="B119" s="81" t="s">
        <v>680</v>
      </c>
      <c r="C119" s="89">
        <v>1.2841572452507943</v>
      </c>
      <c r="D119" s="90">
        <v>3.5695383112497314</v>
      </c>
      <c r="E119" s="91">
        <v>3.4884405409466579</v>
      </c>
      <c r="G119" s="103" t="s">
        <v>571</v>
      </c>
      <c r="H119" s="101">
        <v>83.929015692724803</v>
      </c>
      <c r="I119" s="93">
        <v>38</v>
      </c>
      <c r="J119" s="94">
        <v>3</v>
      </c>
      <c r="K119" s="81"/>
      <c r="L119" s="89">
        <v>9.3317368265983944</v>
      </c>
      <c r="M119" s="90">
        <v>4.373453291056836</v>
      </c>
      <c r="N119" s="90">
        <v>2.7522002596044053</v>
      </c>
      <c r="O119" s="90">
        <v>5.0170000000000003</v>
      </c>
      <c r="P119" s="90">
        <v>5.0460000000000003</v>
      </c>
      <c r="Q119" s="90">
        <v>0.30399999999999999</v>
      </c>
      <c r="R119" s="90">
        <v>1.2869999999999999</v>
      </c>
      <c r="S119" s="90">
        <v>-1.1299999999999999</v>
      </c>
      <c r="T119" s="90">
        <v>-3.2</v>
      </c>
      <c r="U119" s="90">
        <v>2.9020000000000001</v>
      </c>
      <c r="V119" s="91">
        <v>4.3109999999999999</v>
      </c>
      <c r="W119" s="91">
        <f t="shared" si="1"/>
        <v>3.5289894260981947</v>
      </c>
    </row>
    <row r="120" spans="1:23" x14ac:dyDescent="0.35">
      <c r="A120" s="81" t="s">
        <v>565</v>
      </c>
      <c r="B120" s="81" t="s">
        <v>681</v>
      </c>
      <c r="C120" s="89">
        <v>-2.8988961286927073</v>
      </c>
      <c r="D120" s="90">
        <v>0.9425802646799708</v>
      </c>
      <c r="E120" s="91">
        <v>2.8446311877570185</v>
      </c>
      <c r="G120" s="103" t="s">
        <v>398</v>
      </c>
      <c r="H120" s="101">
        <v>69.599146780385112</v>
      </c>
      <c r="I120" s="93">
        <v>90</v>
      </c>
      <c r="J120" s="94">
        <v>17</v>
      </c>
      <c r="K120" s="81"/>
      <c r="L120" s="89">
        <v>2.8731257161786412</v>
      </c>
      <c r="M120" s="90">
        <v>4.4745926000517917</v>
      </c>
      <c r="N120" s="90">
        <v>5.7909341243793389</v>
      </c>
      <c r="O120" s="90">
        <v>4.0579999999999998</v>
      </c>
      <c r="P120" s="90">
        <v>4.5629999999999997</v>
      </c>
      <c r="Q120" s="90">
        <v>4.609</v>
      </c>
      <c r="R120" s="90">
        <v>6.0960000000000001</v>
      </c>
      <c r="S120" s="90">
        <v>3.12</v>
      </c>
      <c r="T120" s="90">
        <v>-0.94299999999999995</v>
      </c>
      <c r="U120" s="90">
        <v>5.742</v>
      </c>
      <c r="V120" s="91">
        <v>5.9669999999999996</v>
      </c>
      <c r="W120" s="91">
        <f t="shared" si="1"/>
        <v>1.8936057262184947</v>
      </c>
    </row>
    <row r="121" spans="1:23" x14ac:dyDescent="0.35">
      <c r="A121" s="81" t="s">
        <v>573</v>
      </c>
      <c r="B121" s="81" t="s">
        <v>682</v>
      </c>
      <c r="C121" s="89">
        <v>1.349334889011633</v>
      </c>
      <c r="D121" s="90">
        <v>2.1324418529624634</v>
      </c>
      <c r="E121" s="91">
        <v>3.875737232948695</v>
      </c>
      <c r="G121" s="103" t="s">
        <v>422</v>
      </c>
      <c r="H121" s="101">
        <v>61.957917699729606</v>
      </c>
      <c r="I121" s="93">
        <v>122</v>
      </c>
      <c r="J121" s="94">
        <v>19</v>
      </c>
      <c r="K121" s="81"/>
      <c r="L121" s="89">
        <v>9.7789039456094482</v>
      </c>
      <c r="M121" s="90">
        <v>6.9032725658169563</v>
      </c>
      <c r="N121" s="90">
        <v>5.0667432180278205</v>
      </c>
      <c r="O121" s="90">
        <v>5.7329999999999997</v>
      </c>
      <c r="P121" s="90">
        <v>4.9530000000000003</v>
      </c>
      <c r="Q121" s="90">
        <v>5.5910000000000002</v>
      </c>
      <c r="R121" s="90">
        <v>3.6850000000000001</v>
      </c>
      <c r="S121" s="90">
        <v>2.98</v>
      </c>
      <c r="T121" s="90">
        <v>-17.945</v>
      </c>
      <c r="U121" s="90">
        <v>15.336</v>
      </c>
      <c r="V121" s="91">
        <v>10</v>
      </c>
      <c r="W121" s="91">
        <f t="shared" si="1"/>
        <v>3.0040895429555792</v>
      </c>
    </row>
    <row r="122" spans="1:23" x14ac:dyDescent="0.35">
      <c r="A122" s="81" t="s">
        <v>565</v>
      </c>
      <c r="B122" s="81" t="s">
        <v>683</v>
      </c>
      <c r="C122" s="89">
        <v>0.50696592980361554</v>
      </c>
      <c r="D122" s="90">
        <v>1.127965129390196</v>
      </c>
      <c r="E122" s="91">
        <v>3.7955054005958777</v>
      </c>
      <c r="G122" s="103" t="s">
        <v>567</v>
      </c>
      <c r="H122" s="101">
        <v>55.401075093758223</v>
      </c>
      <c r="I122" s="93">
        <v>131</v>
      </c>
      <c r="J122" s="94">
        <v>27</v>
      </c>
      <c r="K122" s="81"/>
      <c r="L122" s="89">
        <v>4.6571195968623904</v>
      </c>
      <c r="M122" s="90">
        <v>3.8249463280067437</v>
      </c>
      <c r="N122" s="90">
        <v>13.543770621654581</v>
      </c>
      <c r="O122" s="90">
        <v>6.5759999999999996</v>
      </c>
      <c r="P122" s="90">
        <v>5.492</v>
      </c>
      <c r="Q122" s="90">
        <v>3.5350000000000001</v>
      </c>
      <c r="R122" s="90">
        <v>-0.27900000000000003</v>
      </c>
      <c r="S122" s="90">
        <v>4.4800000000000004</v>
      </c>
      <c r="T122" s="90">
        <v>-3.1669999999999998</v>
      </c>
      <c r="U122" s="90">
        <v>7.0000000000000007E-2</v>
      </c>
      <c r="V122" s="91">
        <v>4.5359999999999996</v>
      </c>
      <c r="W122" s="91">
        <f t="shared" si="1"/>
        <v>2.4617352649930369</v>
      </c>
    </row>
    <row r="123" spans="1:23" x14ac:dyDescent="0.35">
      <c r="A123" s="81" t="s">
        <v>573</v>
      </c>
      <c r="B123" s="81" t="s">
        <v>684</v>
      </c>
      <c r="C123" s="89">
        <v>1.1388134852348575</v>
      </c>
      <c r="D123" s="90">
        <v>1.2311721995777125</v>
      </c>
      <c r="E123" s="91">
        <v>3.152890592174673</v>
      </c>
      <c r="G123" s="103" t="s">
        <v>422</v>
      </c>
      <c r="H123" s="101">
        <v>63.814130726333779</v>
      </c>
      <c r="I123" s="93">
        <v>118</v>
      </c>
      <c r="J123" s="94">
        <v>17</v>
      </c>
      <c r="K123" s="81"/>
      <c r="L123" s="89">
        <v>-0.53851294250305837</v>
      </c>
      <c r="M123" s="90">
        <v>8.4174952847030529</v>
      </c>
      <c r="N123" s="90">
        <v>4.8608903705532152</v>
      </c>
      <c r="O123" s="90">
        <v>2.9569999999999999</v>
      </c>
      <c r="P123" s="90">
        <v>4.2679999999999998</v>
      </c>
      <c r="Q123" s="90">
        <v>4.8099999999999996</v>
      </c>
      <c r="R123" s="90">
        <v>3.2040000000000002</v>
      </c>
      <c r="S123" s="90">
        <v>-0.40200000000000002</v>
      </c>
      <c r="T123" s="90">
        <v>-0.82</v>
      </c>
      <c r="U123" s="90">
        <v>4.0170000000000003</v>
      </c>
      <c r="V123" s="91">
        <v>0.2</v>
      </c>
      <c r="W123" s="91">
        <f t="shared" si="1"/>
        <v>2.1920313958761928</v>
      </c>
    </row>
    <row r="124" spans="1:23" x14ac:dyDescent="0.35">
      <c r="A124" s="81" t="s">
        <v>573</v>
      </c>
      <c r="B124" s="81" t="s">
        <v>685</v>
      </c>
      <c r="C124" s="89">
        <v>1.205712245399182</v>
      </c>
      <c r="D124" s="90">
        <v>1.959755918859285</v>
      </c>
      <c r="E124" s="91">
        <v>2.7687545080362863</v>
      </c>
      <c r="G124" s="103" t="s">
        <v>422</v>
      </c>
      <c r="H124" s="101">
        <v>62.494421901152251</v>
      </c>
      <c r="I124" s="93">
        <v>121</v>
      </c>
      <c r="J124" s="94">
        <v>18</v>
      </c>
      <c r="K124" s="81"/>
      <c r="L124" s="89">
        <v>6.1397247056043467</v>
      </c>
      <c r="M124" s="90">
        <v>5.8525182108492944</v>
      </c>
      <c r="N124" s="90">
        <v>2.3821573718054045</v>
      </c>
      <c r="O124" s="90">
        <v>3.2519999999999998</v>
      </c>
      <c r="P124" s="90">
        <v>3.9529999999999998</v>
      </c>
      <c r="Q124" s="90">
        <v>2.5190000000000001</v>
      </c>
      <c r="R124" s="90">
        <v>3.9769999999999999</v>
      </c>
      <c r="S124" s="90">
        <v>2.2330000000000001</v>
      </c>
      <c r="T124" s="90">
        <v>-11.013999999999999</v>
      </c>
      <c r="U124" s="90">
        <v>13.551</v>
      </c>
      <c r="V124" s="91">
        <v>2.7010000000000001</v>
      </c>
      <c r="W124" s="91">
        <f t="shared" si="1"/>
        <v>2.3642552134477857</v>
      </c>
    </row>
    <row r="125" spans="1:23" x14ac:dyDescent="0.35">
      <c r="A125" s="81" t="s">
        <v>565</v>
      </c>
      <c r="B125" s="81" t="s">
        <v>686</v>
      </c>
      <c r="C125" s="89">
        <v>0.96069279950485864</v>
      </c>
      <c r="D125" s="90">
        <v>3.0362820733681239</v>
      </c>
      <c r="E125" s="91">
        <v>4.8545875775876546</v>
      </c>
      <c r="G125" s="103" t="s">
        <v>398</v>
      </c>
      <c r="H125" s="101">
        <v>74.806556985260698</v>
      </c>
      <c r="I125" s="93">
        <v>69</v>
      </c>
      <c r="J125" s="94">
        <v>10</v>
      </c>
      <c r="K125" s="81"/>
      <c r="L125" s="89">
        <v>6.8969517105747951</v>
      </c>
      <c r="M125" s="90">
        <v>6.7505313017782687</v>
      </c>
      <c r="N125" s="90">
        <v>6.3479874825028357</v>
      </c>
      <c r="O125" s="90">
        <v>6.3479999999999999</v>
      </c>
      <c r="P125" s="90">
        <v>7.149</v>
      </c>
      <c r="Q125" s="90">
        <v>6.931</v>
      </c>
      <c r="R125" s="90">
        <v>6.3410000000000002</v>
      </c>
      <c r="S125" s="90">
        <v>6.1189999999999998</v>
      </c>
      <c r="T125" s="90">
        <v>-9.5180000000000007</v>
      </c>
      <c r="U125" s="90">
        <v>5.7030000000000003</v>
      </c>
      <c r="V125" s="91">
        <v>7.5990000000000002</v>
      </c>
      <c r="W125" s="91">
        <f t="shared" si="1"/>
        <v>3.9454348254778893</v>
      </c>
    </row>
    <row r="126" spans="1:23" x14ac:dyDescent="0.35">
      <c r="A126" s="81" t="s">
        <v>227</v>
      </c>
      <c r="B126" s="81" t="s">
        <v>687</v>
      </c>
      <c r="C126" s="89">
        <v>3.162865203018228</v>
      </c>
      <c r="D126" s="90">
        <v>3.8363783613865499</v>
      </c>
      <c r="E126" s="91">
        <v>3.5697088266716248</v>
      </c>
      <c r="G126" s="103" t="s">
        <v>571</v>
      </c>
      <c r="H126" s="101">
        <v>85.420553644487129</v>
      </c>
      <c r="I126" s="93">
        <v>36</v>
      </c>
      <c r="J126" s="94">
        <v>23</v>
      </c>
      <c r="K126" s="81"/>
      <c r="L126" s="89">
        <v>1.6079066445646626</v>
      </c>
      <c r="M126" s="90">
        <v>1.3918923212492256</v>
      </c>
      <c r="N126" s="90">
        <v>3.3184475370007722</v>
      </c>
      <c r="O126" s="90">
        <v>4.383</v>
      </c>
      <c r="P126" s="90">
        <v>2.9540000000000002</v>
      </c>
      <c r="Q126" s="90">
        <v>5.14</v>
      </c>
      <c r="R126" s="90">
        <v>5.9450000000000003</v>
      </c>
      <c r="S126" s="90">
        <v>4.45</v>
      </c>
      <c r="T126" s="90">
        <v>-2.02</v>
      </c>
      <c r="U126" s="90">
        <v>6.8479999999999999</v>
      </c>
      <c r="V126" s="91">
        <v>4.8739999999999997</v>
      </c>
      <c r="W126" s="91">
        <f t="shared" si="1"/>
        <v>3.7030435940290873</v>
      </c>
    </row>
    <row r="127" spans="1:23" x14ac:dyDescent="0.35">
      <c r="A127" s="81" t="s">
        <v>227</v>
      </c>
      <c r="B127" s="81" t="s">
        <v>688</v>
      </c>
      <c r="C127" s="89">
        <v>1.0661443105445922</v>
      </c>
      <c r="D127" s="90">
        <v>1.7172276328006886</v>
      </c>
      <c r="E127" s="91">
        <v>1.5719478894561822</v>
      </c>
      <c r="G127" s="103" t="s">
        <v>415</v>
      </c>
      <c r="H127" s="101">
        <v>91.026987497789847</v>
      </c>
      <c r="I127" s="93">
        <v>25</v>
      </c>
      <c r="J127" s="94">
        <v>16</v>
      </c>
      <c r="K127" s="81"/>
      <c r="L127" s="89">
        <v>-4.0572943594235547</v>
      </c>
      <c r="M127" s="90">
        <v>-0.92264378725787455</v>
      </c>
      <c r="N127" s="90">
        <v>0.79219053837650444</v>
      </c>
      <c r="O127" s="90">
        <v>1.792</v>
      </c>
      <c r="P127" s="90">
        <v>2.0190000000000001</v>
      </c>
      <c r="Q127" s="90">
        <v>3.5059999999999998</v>
      </c>
      <c r="R127" s="90">
        <v>2.8490000000000002</v>
      </c>
      <c r="S127" s="90">
        <v>2.6829999999999998</v>
      </c>
      <c r="T127" s="90">
        <v>-8.3010000000000002</v>
      </c>
      <c r="U127" s="90">
        <v>5.5030000000000001</v>
      </c>
      <c r="V127" s="91">
        <v>6.726</v>
      </c>
      <c r="W127" s="91">
        <f t="shared" si="1"/>
        <v>1.6445877611284354</v>
      </c>
    </row>
    <row r="128" spans="1:23" x14ac:dyDescent="0.35">
      <c r="A128" s="81" t="s">
        <v>580</v>
      </c>
      <c r="B128" s="81" t="s">
        <v>689</v>
      </c>
      <c r="C128" s="89">
        <v>0.67674745765720079</v>
      </c>
      <c r="D128" s="90">
        <v>0.80775193577011795</v>
      </c>
      <c r="E128" s="91">
        <v>2.0997114519337501</v>
      </c>
      <c r="G128" s="103" t="s">
        <v>571</v>
      </c>
      <c r="H128" s="101">
        <v>78.783055534449289</v>
      </c>
      <c r="I128" s="93">
        <v>57</v>
      </c>
      <c r="J128" s="94">
        <v>6</v>
      </c>
      <c r="K128" s="81"/>
      <c r="L128" s="89">
        <v>4.730011843607838</v>
      </c>
      <c r="M128" s="90">
        <v>5.5560406430660754</v>
      </c>
      <c r="N128" s="90">
        <v>5.3343232919645871</v>
      </c>
      <c r="O128" s="90">
        <v>4.7530000000000001</v>
      </c>
      <c r="P128" s="90">
        <v>3.0640000000000001</v>
      </c>
      <c r="Q128" s="90">
        <v>-1.498</v>
      </c>
      <c r="R128" s="90">
        <v>1.2350000000000001</v>
      </c>
      <c r="S128" s="90">
        <v>0.68799999999999994</v>
      </c>
      <c r="T128" s="90">
        <v>-3.5579999999999998</v>
      </c>
      <c r="U128" s="90">
        <v>1.589</v>
      </c>
      <c r="V128" s="91">
        <v>4.2409999999999997</v>
      </c>
      <c r="W128" s="91">
        <f t="shared" si="1"/>
        <v>1.453731693851934</v>
      </c>
    </row>
    <row r="129" spans="1:23" x14ac:dyDescent="0.35">
      <c r="A129" s="81" t="s">
        <v>227</v>
      </c>
      <c r="B129" s="81" t="s">
        <v>690</v>
      </c>
      <c r="C129" s="89">
        <v>1.9886029006319417</v>
      </c>
      <c r="D129" s="90">
        <v>2.9733514596169686</v>
      </c>
      <c r="E129" s="91">
        <v>3.7501787507027151</v>
      </c>
      <c r="G129" s="103" t="s">
        <v>571</v>
      </c>
      <c r="H129" s="101">
        <v>84.261081453729389</v>
      </c>
      <c r="I129" s="93">
        <v>37</v>
      </c>
      <c r="J129" s="94">
        <v>24</v>
      </c>
      <c r="K129" s="81"/>
      <c r="L129" s="89">
        <v>2.0771650065377472</v>
      </c>
      <c r="M129" s="90">
        <v>3.5145518040847694</v>
      </c>
      <c r="N129" s="90">
        <v>3.4108091001793088</v>
      </c>
      <c r="O129" s="90">
        <v>3.1629999999999998</v>
      </c>
      <c r="P129" s="90">
        <v>2.8530000000000002</v>
      </c>
      <c r="Q129" s="90">
        <v>8.2129999999999992</v>
      </c>
      <c r="R129" s="90">
        <v>6.03</v>
      </c>
      <c r="S129" s="90">
        <v>3.8439999999999999</v>
      </c>
      <c r="T129" s="90">
        <v>-3.6920000000000002</v>
      </c>
      <c r="U129" s="90">
        <v>5.8739999999999997</v>
      </c>
      <c r="V129" s="91">
        <v>4.7910000000000004</v>
      </c>
      <c r="W129" s="91">
        <f t="shared" si="1"/>
        <v>3.3617651051598418</v>
      </c>
    </row>
    <row r="130" spans="1:23" x14ac:dyDescent="0.35">
      <c r="A130" s="81" t="s">
        <v>227</v>
      </c>
      <c r="B130" s="81" t="s">
        <v>691</v>
      </c>
      <c r="C130" s="89">
        <v>0.31321455831558875</v>
      </c>
      <c r="D130" s="90">
        <v>1.1211784185926943</v>
      </c>
      <c r="E130" s="91">
        <v>0.80914098391451361</v>
      </c>
      <c r="G130" s="103" t="s">
        <v>398</v>
      </c>
      <c r="H130" s="101">
        <v>76.528749373407479</v>
      </c>
      <c r="I130" s="93">
        <v>64</v>
      </c>
      <c r="J130" s="94">
        <v>36</v>
      </c>
      <c r="K130" s="81"/>
      <c r="L130" s="89">
        <v>4.0240861571797915</v>
      </c>
      <c r="M130" s="90">
        <v>1.7554221491628001</v>
      </c>
      <c r="N130" s="90">
        <v>0.736267221403759</v>
      </c>
      <c r="O130" s="90">
        <v>-1.9730000000000001</v>
      </c>
      <c r="P130" s="90">
        <v>0.19400000000000001</v>
      </c>
      <c r="Q130" s="90">
        <v>1.8260000000000001</v>
      </c>
      <c r="R130" s="90">
        <v>2.8069999999999999</v>
      </c>
      <c r="S130" s="90">
        <v>2.198</v>
      </c>
      <c r="T130" s="90">
        <v>-2.6539999999999999</v>
      </c>
      <c r="U130" s="90">
        <v>5.6239999999999997</v>
      </c>
      <c r="V130" s="91">
        <v>-2.0510000000000002</v>
      </c>
      <c r="W130" s="91">
        <f t="shared" si="1"/>
        <v>0.96515970125360395</v>
      </c>
    </row>
    <row r="131" spans="1:23" x14ac:dyDescent="0.35">
      <c r="A131" s="81" t="s">
        <v>569</v>
      </c>
      <c r="B131" s="81" t="s">
        <v>692</v>
      </c>
      <c r="C131" s="89">
        <v>4.5886571318858538</v>
      </c>
      <c r="D131" s="90">
        <v>6.3388189685080754</v>
      </c>
      <c r="E131" s="91">
        <v>6.1347836953729917</v>
      </c>
      <c r="G131" s="103" t="s">
        <v>398</v>
      </c>
      <c r="H131" s="101">
        <v>76.577775011818801</v>
      </c>
      <c r="I131" s="93">
        <v>63</v>
      </c>
      <c r="J131" s="94">
        <v>3</v>
      </c>
      <c r="K131" s="81"/>
      <c r="L131" s="89">
        <v>8.6415388651712988</v>
      </c>
      <c r="M131" s="90">
        <v>4.7198554996618309</v>
      </c>
      <c r="N131" s="90">
        <v>6.1642772027561934</v>
      </c>
      <c r="O131" s="90">
        <v>8.8539999999999992</v>
      </c>
      <c r="P131" s="90">
        <v>5.9720000000000004</v>
      </c>
      <c r="Q131" s="90">
        <v>3.9729999999999999</v>
      </c>
      <c r="R131" s="90">
        <v>8.5779999999999994</v>
      </c>
      <c r="S131" s="90">
        <v>9.4689999999999994</v>
      </c>
      <c r="T131" s="90">
        <v>-3.3570000000000002</v>
      </c>
      <c r="U131" s="90">
        <v>10.874000000000001</v>
      </c>
      <c r="V131" s="91">
        <v>6.7629999999999999</v>
      </c>
      <c r="W131" s="91">
        <f t="shared" si="1"/>
        <v>6.2368013319405335</v>
      </c>
    </row>
    <row r="132" spans="1:23" x14ac:dyDescent="0.35">
      <c r="A132" s="81" t="s">
        <v>580</v>
      </c>
      <c r="B132" s="81" t="s">
        <v>693</v>
      </c>
      <c r="C132" s="89">
        <v>2.4790435166051283</v>
      </c>
      <c r="D132" s="90">
        <v>2.0533451948943071</v>
      </c>
      <c r="E132" s="91">
        <v>2.158001329255721</v>
      </c>
      <c r="G132" s="103" t="s">
        <v>571</v>
      </c>
      <c r="H132" s="101">
        <v>76.963439522680929</v>
      </c>
      <c r="I132" s="93">
        <v>61</v>
      </c>
      <c r="J132" s="94">
        <v>8</v>
      </c>
      <c r="K132" s="81"/>
      <c r="L132" s="89">
        <v>5.4114449021643543</v>
      </c>
      <c r="M132" s="90">
        <v>2.6992547225567329</v>
      </c>
      <c r="N132" s="90">
        <v>3.6524816975790095</v>
      </c>
      <c r="O132" s="90">
        <v>4.6900000000000004</v>
      </c>
      <c r="P132" s="90">
        <v>2.363</v>
      </c>
      <c r="Q132" s="90">
        <v>-7.0000000000000007E-2</v>
      </c>
      <c r="R132" s="90">
        <v>2.762</v>
      </c>
      <c r="S132" s="90">
        <v>0.83199999999999996</v>
      </c>
      <c r="T132" s="90">
        <v>-4.3410000000000002</v>
      </c>
      <c r="U132" s="90">
        <v>3.9220000000000002</v>
      </c>
      <c r="V132" s="91">
        <v>8.7439999999999998</v>
      </c>
      <c r="W132" s="91">
        <f t="shared" si="1"/>
        <v>2.105673262075014</v>
      </c>
    </row>
    <row r="133" spans="1:23" x14ac:dyDescent="0.35">
      <c r="A133" s="81" t="s">
        <v>569</v>
      </c>
      <c r="B133" s="81" t="s">
        <v>694</v>
      </c>
      <c r="C133" s="89">
        <v>4.0137946463164598</v>
      </c>
      <c r="D133" s="90">
        <v>4.5694149693751296</v>
      </c>
      <c r="E133" s="91">
        <v>5.2331571951220512</v>
      </c>
      <c r="G133" s="103" t="s">
        <v>398</v>
      </c>
      <c r="H133" s="101">
        <v>69.313365081609845</v>
      </c>
      <c r="I133" s="93">
        <v>93</v>
      </c>
      <c r="J133" s="94">
        <v>15</v>
      </c>
      <c r="K133" s="81"/>
      <c r="L133" s="89">
        <v>5.1173942367478444</v>
      </c>
      <c r="M133" s="90">
        <v>2.8221056497235883</v>
      </c>
      <c r="N133" s="90">
        <v>6.6135001033739647</v>
      </c>
      <c r="O133" s="90">
        <v>6.367</v>
      </c>
      <c r="P133" s="90">
        <v>6.3559999999999999</v>
      </c>
      <c r="Q133" s="90">
        <v>7.407</v>
      </c>
      <c r="R133" s="90">
        <v>6.2089999999999996</v>
      </c>
      <c r="S133" s="90">
        <v>4.6139999999999999</v>
      </c>
      <c r="T133" s="90">
        <v>1.3260000000000001</v>
      </c>
      <c r="U133" s="90">
        <v>6.0670000000000002</v>
      </c>
      <c r="V133" s="91">
        <v>4.7089999999999996</v>
      </c>
      <c r="W133" s="91">
        <f t="shared" si="1"/>
        <v>4.9012860822485909</v>
      </c>
    </row>
    <row r="134" spans="1:23" x14ac:dyDescent="0.35">
      <c r="A134" s="81" t="s">
        <v>227</v>
      </c>
      <c r="B134" s="81" t="s">
        <v>695</v>
      </c>
      <c r="C134" s="89">
        <v>2.9071913241700997</v>
      </c>
      <c r="D134" s="90">
        <v>3.5107747978878168</v>
      </c>
      <c r="E134" s="91">
        <v>2.5987412011468258</v>
      </c>
      <c r="G134" s="103" t="s">
        <v>398</v>
      </c>
      <c r="H134" s="101">
        <v>74.50245157918026</v>
      </c>
      <c r="I134" s="93">
        <v>71</v>
      </c>
      <c r="J134" s="94">
        <v>38</v>
      </c>
      <c r="K134" s="81"/>
      <c r="L134" s="89">
        <v>-0.68154236933475798</v>
      </c>
      <c r="M134" s="90">
        <v>2.892636733558092</v>
      </c>
      <c r="N134" s="90">
        <v>-1.5895103199025831</v>
      </c>
      <c r="O134" s="90">
        <v>1.776</v>
      </c>
      <c r="P134" s="90">
        <v>3.339</v>
      </c>
      <c r="Q134" s="90">
        <v>2.101</v>
      </c>
      <c r="R134" s="90">
        <v>4.4950000000000001</v>
      </c>
      <c r="S134" s="90">
        <v>4.3319999999999999</v>
      </c>
      <c r="T134" s="90">
        <v>-0.90300000000000002</v>
      </c>
      <c r="U134" s="90">
        <v>7.55</v>
      </c>
      <c r="V134" s="91">
        <v>2.2509999999999999</v>
      </c>
      <c r="W134" s="91">
        <f t="shared" si="1"/>
        <v>3.0547579995173213</v>
      </c>
    </row>
    <row r="135" spans="1:23" x14ac:dyDescent="0.35">
      <c r="A135" s="81" t="s">
        <v>569</v>
      </c>
      <c r="B135" s="81" t="s">
        <v>696</v>
      </c>
      <c r="C135" s="89">
        <v>1.6001817079933423</v>
      </c>
      <c r="D135" s="90">
        <v>2.5822705421283176</v>
      </c>
      <c r="E135" s="90">
        <v>2.323464181185142</v>
      </c>
      <c r="G135" s="103" t="s">
        <v>567</v>
      </c>
      <c r="H135" s="101">
        <v>58.993492167204309</v>
      </c>
      <c r="I135" s="93">
        <v>126</v>
      </c>
      <c r="J135" s="93">
        <v>30</v>
      </c>
      <c r="K135" s="108"/>
      <c r="L135" s="89">
        <v>15.18176908302255</v>
      </c>
      <c r="M135" s="90">
        <v>20.715768285872748</v>
      </c>
      <c r="N135" s="90">
        <v>4.5567723661529431</v>
      </c>
      <c r="O135" s="90">
        <v>-20.492999999999999</v>
      </c>
      <c r="P135" s="90">
        <v>6.3540000000000001</v>
      </c>
      <c r="Q135" s="90">
        <v>3.7650000000000001</v>
      </c>
      <c r="R135" s="90">
        <v>3.4649999999999999</v>
      </c>
      <c r="S135" s="90">
        <v>5.2539999999999996</v>
      </c>
      <c r="T135" s="90">
        <v>-1.9690000000000001</v>
      </c>
      <c r="U135" s="90">
        <v>4.1050000000000004</v>
      </c>
      <c r="V135" s="90">
        <v>2.766</v>
      </c>
      <c r="W135" s="91">
        <f t="shared" si="1"/>
        <v>2.4528673616567298</v>
      </c>
    </row>
    <row r="136" spans="1:23" x14ac:dyDescent="0.35">
      <c r="A136" s="81" t="s">
        <v>565</v>
      </c>
      <c r="B136" s="81" t="s">
        <v>697</v>
      </c>
      <c r="C136" s="89">
        <v>2.254611894692915</v>
      </c>
      <c r="D136" s="90">
        <v>2.3804077568891469</v>
      </c>
      <c r="E136" s="90">
        <v>3.1207966515608421</v>
      </c>
      <c r="G136" s="103" t="s">
        <v>415</v>
      </c>
      <c r="H136" s="101">
        <v>97.805585083414968</v>
      </c>
      <c r="I136" s="93">
        <v>4</v>
      </c>
      <c r="J136" s="93">
        <v>2</v>
      </c>
      <c r="K136" s="108"/>
      <c r="L136" s="89">
        <v>4.461608951013317</v>
      </c>
      <c r="M136" s="90">
        <v>4.8372986457609866</v>
      </c>
      <c r="N136" s="90">
        <v>3.9380027286605586</v>
      </c>
      <c r="O136" s="90">
        <v>2.9769999999999999</v>
      </c>
      <c r="P136" s="90">
        <v>3.6019999999999999</v>
      </c>
      <c r="Q136" s="90">
        <v>4.5449999999999999</v>
      </c>
      <c r="R136" s="90">
        <v>3.5750000000000002</v>
      </c>
      <c r="S136" s="90">
        <v>1.331</v>
      </c>
      <c r="T136" s="90">
        <v>-3.9009999999999998</v>
      </c>
      <c r="U136" s="90">
        <v>8.8819999999999997</v>
      </c>
      <c r="V136" s="90">
        <v>3.6469999999999998</v>
      </c>
      <c r="W136" s="91">
        <f t="shared" si="1"/>
        <v>2.7506022042249945</v>
      </c>
    </row>
    <row r="137" spans="1:23" x14ac:dyDescent="0.35">
      <c r="A137" s="81" t="s">
        <v>227</v>
      </c>
      <c r="B137" s="81" t="s">
        <v>698</v>
      </c>
      <c r="C137" s="89">
        <v>0.39781205843958389</v>
      </c>
      <c r="D137" s="90">
        <v>0.97590941056187042</v>
      </c>
      <c r="E137" s="90">
        <v>1.8214852479931931</v>
      </c>
      <c r="G137" s="103" t="s">
        <v>571</v>
      </c>
      <c r="H137" s="101">
        <v>80.276897229698847</v>
      </c>
      <c r="I137" s="93">
        <v>47</v>
      </c>
      <c r="J137" s="93">
        <v>32</v>
      </c>
      <c r="K137" s="108"/>
      <c r="L137" s="89">
        <v>1.8958108123027844</v>
      </c>
      <c r="M137" s="90">
        <v>0.67084458223160615</v>
      </c>
      <c r="N137" s="90">
        <v>2.7524343314004627</v>
      </c>
      <c r="O137" s="90">
        <v>5.1669999999999998</v>
      </c>
      <c r="P137" s="90">
        <v>1.944</v>
      </c>
      <c r="Q137" s="90">
        <v>2.9380000000000002</v>
      </c>
      <c r="R137" s="90">
        <v>4.0309999999999997</v>
      </c>
      <c r="S137" s="90">
        <v>2.5190000000000001</v>
      </c>
      <c r="T137" s="90">
        <v>-3.375</v>
      </c>
      <c r="U137" s="90">
        <v>3.0139999999999998</v>
      </c>
      <c r="V137" s="90">
        <v>1.6679999999999999</v>
      </c>
      <c r="W137" s="91">
        <f t="shared" si="1"/>
        <v>1.3986973292775318</v>
      </c>
    </row>
    <row r="138" spans="1:23" x14ac:dyDescent="0.35">
      <c r="A138" s="81" t="s">
        <v>227</v>
      </c>
      <c r="B138" s="81" t="s">
        <v>699</v>
      </c>
      <c r="C138" s="89">
        <v>2.9453399614758569</v>
      </c>
      <c r="D138" s="90">
        <v>3.265722456681952</v>
      </c>
      <c r="E138" s="90">
        <v>2.8132202997918521</v>
      </c>
      <c r="G138" s="103" t="s">
        <v>415</v>
      </c>
      <c r="H138" s="101">
        <v>88.920325519387234</v>
      </c>
      <c r="I138" s="93">
        <v>30</v>
      </c>
      <c r="J138" s="93">
        <v>19</v>
      </c>
      <c r="K138" s="108"/>
      <c r="L138" s="89">
        <v>-2.6394387292630763</v>
      </c>
      <c r="M138" s="90">
        <v>-1.029283831306939</v>
      </c>
      <c r="N138" s="90">
        <v>2.7681580195902979</v>
      </c>
      <c r="O138" s="90">
        <v>2.21</v>
      </c>
      <c r="P138" s="90">
        <v>3.1920000000000002</v>
      </c>
      <c r="Q138" s="90">
        <v>4.8159999999999998</v>
      </c>
      <c r="R138" s="90">
        <v>4.4550000000000001</v>
      </c>
      <c r="S138" s="90">
        <v>3.4510000000000001</v>
      </c>
      <c r="T138" s="90">
        <v>-4.3209999999999997</v>
      </c>
      <c r="U138" s="90">
        <v>8.2110000000000003</v>
      </c>
      <c r="V138" s="90">
        <v>5.3739999999999997</v>
      </c>
      <c r="W138" s="91">
        <f t="shared" si="1"/>
        <v>3.0394713782369021</v>
      </c>
    </row>
    <row r="139" spans="1:23" x14ac:dyDescent="0.35">
      <c r="A139" s="81" t="s">
        <v>569</v>
      </c>
      <c r="B139" s="81" t="s">
        <v>700</v>
      </c>
      <c r="C139" s="89">
        <v>8.8409433265779214E-2</v>
      </c>
      <c r="D139" s="90">
        <v>2.1857023030043443</v>
      </c>
      <c r="E139" s="90">
        <v>1.8249844059199605</v>
      </c>
      <c r="G139" s="103" t="s">
        <v>398</v>
      </c>
      <c r="H139" s="101">
        <v>75.182844770260857</v>
      </c>
      <c r="I139" s="93">
        <v>68</v>
      </c>
      <c r="J139" s="93">
        <v>5</v>
      </c>
      <c r="K139" s="108"/>
      <c r="L139" s="89">
        <v>2.2133548084844037</v>
      </c>
      <c r="M139" s="90">
        <v>2.4852005003105813</v>
      </c>
      <c r="N139" s="90">
        <v>1.8469916036571876</v>
      </c>
      <c r="O139" s="90">
        <v>1.3220000000000001</v>
      </c>
      <c r="P139" s="90">
        <v>0.66500000000000004</v>
      </c>
      <c r="Q139" s="90">
        <v>1.1579999999999999</v>
      </c>
      <c r="R139" s="90">
        <v>1.522</v>
      </c>
      <c r="S139" s="90">
        <v>0.30299999999999999</v>
      </c>
      <c r="T139" s="90">
        <v>-6.3419999999999996</v>
      </c>
      <c r="U139" s="90">
        <v>4.9130000000000003</v>
      </c>
      <c r="V139" s="90">
        <v>2.0419999999999998</v>
      </c>
      <c r="W139" s="91">
        <f t="shared" ref="W139:W165" si="2">AVERAGE(D139,E139)</f>
        <v>2.0053433544621524</v>
      </c>
    </row>
    <row r="140" spans="1:23" x14ac:dyDescent="0.35">
      <c r="A140" s="81" t="s">
        <v>227</v>
      </c>
      <c r="B140" s="81" t="s">
        <v>701</v>
      </c>
      <c r="C140" s="89">
        <v>-0.43793400391870518</v>
      </c>
      <c r="D140" s="90">
        <v>0.55931383652465527</v>
      </c>
      <c r="E140" s="90">
        <v>1.23940470018431</v>
      </c>
      <c r="G140" s="103" t="s">
        <v>415</v>
      </c>
      <c r="H140" s="101">
        <v>90.367632171249966</v>
      </c>
      <c r="I140" s="93">
        <v>27</v>
      </c>
      <c r="J140" s="93">
        <v>17</v>
      </c>
      <c r="K140" s="108"/>
      <c r="L140" s="89">
        <v>-2.9594413017355699</v>
      </c>
      <c r="M140" s="90">
        <v>-1.4353942591932869</v>
      </c>
      <c r="N140" s="90">
        <v>1.3839079426702983</v>
      </c>
      <c r="O140" s="90">
        <v>3.8370000000000002</v>
      </c>
      <c r="P140" s="90">
        <v>3.0379999999999998</v>
      </c>
      <c r="Q140" s="90">
        <v>2.9769999999999999</v>
      </c>
      <c r="R140" s="90">
        <v>2.2829999999999999</v>
      </c>
      <c r="S140" s="90">
        <v>1.9830000000000001</v>
      </c>
      <c r="T140" s="90">
        <v>-11.324999999999999</v>
      </c>
      <c r="U140" s="90">
        <v>5.5220000000000002</v>
      </c>
      <c r="V140" s="90">
        <v>5.4749999999999996</v>
      </c>
      <c r="W140" s="91">
        <f t="shared" si="2"/>
        <v>0.89935926835448265</v>
      </c>
    </row>
    <row r="141" spans="1:23" x14ac:dyDescent="0.35">
      <c r="A141" s="81" t="s">
        <v>565</v>
      </c>
      <c r="B141" s="81" t="s">
        <v>702</v>
      </c>
      <c r="C141" s="89">
        <v>-3.0583991155611168</v>
      </c>
      <c r="D141" s="90">
        <v>7.8407546755454582E-2</v>
      </c>
      <c r="E141" s="90">
        <v>2.1593525209882225</v>
      </c>
      <c r="G141" s="103" t="s">
        <v>398</v>
      </c>
      <c r="H141" s="101">
        <v>73.00518117550061</v>
      </c>
      <c r="I141" s="93">
        <v>76</v>
      </c>
      <c r="J141" s="93">
        <v>13</v>
      </c>
      <c r="K141" s="108"/>
      <c r="L141" s="89">
        <v>9.1445722464256534</v>
      </c>
      <c r="M141" s="90">
        <v>3.3957326498342781</v>
      </c>
      <c r="N141" s="90">
        <v>4.960700591697301</v>
      </c>
      <c r="O141" s="90">
        <v>4.2060000000000004</v>
      </c>
      <c r="P141" s="90">
        <v>5.0540000000000003</v>
      </c>
      <c r="Q141" s="90">
        <v>6.4610000000000003</v>
      </c>
      <c r="R141" s="90">
        <v>2.31</v>
      </c>
      <c r="S141" s="90">
        <v>-0.22</v>
      </c>
      <c r="T141" s="90">
        <v>-3.472</v>
      </c>
      <c r="U141" s="90">
        <v>3.327</v>
      </c>
      <c r="V141" s="90">
        <v>-8.6590000000000007</v>
      </c>
      <c r="W141" s="91">
        <f t="shared" si="2"/>
        <v>1.1188800338718385</v>
      </c>
    </row>
    <row r="142" spans="1:23" x14ac:dyDescent="0.35">
      <c r="A142" s="81" t="s">
        <v>569</v>
      </c>
      <c r="B142" s="81" t="s">
        <v>703</v>
      </c>
      <c r="C142" s="89">
        <v>-2.6688383810210325</v>
      </c>
      <c r="D142" s="90">
        <v>-1.5401833642449736</v>
      </c>
      <c r="E142" s="90">
        <v>1.2842213840550842</v>
      </c>
      <c r="G142" s="103" t="s">
        <v>567</v>
      </c>
      <c r="H142" s="101">
        <v>29.302112762792021</v>
      </c>
      <c r="I142" s="93">
        <v>156</v>
      </c>
      <c r="J142" s="93">
        <v>47</v>
      </c>
      <c r="K142" s="108"/>
      <c r="L142" s="89">
        <v>-1.4398357186292348</v>
      </c>
      <c r="M142" s="90">
        <v>4.3946958327458523</v>
      </c>
      <c r="N142" s="90">
        <v>2.6794256681504725</v>
      </c>
      <c r="O142" s="90">
        <v>4.9059999999999997</v>
      </c>
      <c r="P142" s="90">
        <v>4.7</v>
      </c>
      <c r="Q142" s="90">
        <v>0.76800000000000002</v>
      </c>
      <c r="R142" s="90">
        <v>-2.29</v>
      </c>
      <c r="S142" s="90">
        <v>-2.5</v>
      </c>
      <c r="T142" s="90">
        <v>-3.63</v>
      </c>
      <c r="U142" s="90">
        <v>0.5</v>
      </c>
      <c r="V142" s="90">
        <v>-2.5</v>
      </c>
      <c r="W142" s="91">
        <f t="shared" si="2"/>
        <v>-0.12798099009494468</v>
      </c>
    </row>
    <row r="143" spans="1:23" x14ac:dyDescent="0.35">
      <c r="A143" s="81" t="s">
        <v>573</v>
      </c>
      <c r="B143" s="81" t="s">
        <v>704</v>
      </c>
      <c r="C143" s="89">
        <v>-6.0912921553037958</v>
      </c>
      <c r="D143" s="90">
        <v>-2.539464764773447</v>
      </c>
      <c r="E143" s="90">
        <v>-1.6533032843941364</v>
      </c>
      <c r="G143" s="103" t="s">
        <v>398</v>
      </c>
      <c r="H143" s="101">
        <v>69.385821977853183</v>
      </c>
      <c r="I143" s="93">
        <v>92</v>
      </c>
      <c r="J143" s="93">
        <v>12</v>
      </c>
      <c r="K143" s="108"/>
      <c r="L143" s="89">
        <v>2.6903497466884523</v>
      </c>
      <c r="M143" s="90">
        <v>2.9334416518612043</v>
      </c>
      <c r="N143" s="90">
        <v>0.25550303164546423</v>
      </c>
      <c r="O143" s="90">
        <v>-3.4140000000000001</v>
      </c>
      <c r="P143" s="90">
        <v>-4.9119999999999999</v>
      </c>
      <c r="Q143" s="90">
        <v>1.5660000000000001</v>
      </c>
      <c r="R143" s="90">
        <v>4.9480000000000004</v>
      </c>
      <c r="S143" s="90">
        <v>1.0980000000000001</v>
      </c>
      <c r="T143" s="90">
        <v>-15.906000000000001</v>
      </c>
      <c r="U143" s="90">
        <v>-2.742</v>
      </c>
      <c r="V143" s="90">
        <v>1.3280000000000001</v>
      </c>
      <c r="W143" s="91">
        <f t="shared" si="2"/>
        <v>-2.0963840245837915</v>
      </c>
    </row>
    <row r="144" spans="1:23" x14ac:dyDescent="0.35">
      <c r="A144" s="81" t="s">
        <v>227</v>
      </c>
      <c r="B144" s="81" t="s">
        <v>705</v>
      </c>
      <c r="C144" s="89">
        <v>1.8041121232050594</v>
      </c>
      <c r="D144" s="90">
        <v>1.5622302939160004</v>
      </c>
      <c r="E144" s="90">
        <v>2.0743232215396867</v>
      </c>
      <c r="G144" s="103" t="s">
        <v>415</v>
      </c>
      <c r="H144" s="101">
        <v>96.904206369440487</v>
      </c>
      <c r="I144" s="93">
        <v>7</v>
      </c>
      <c r="J144" s="93">
        <v>5</v>
      </c>
      <c r="K144" s="108"/>
      <c r="L144" s="89">
        <v>-0.58830456899072281</v>
      </c>
      <c r="M144" s="90">
        <v>1.1877757159060018</v>
      </c>
      <c r="N144" s="90">
        <v>2.6577982753164227</v>
      </c>
      <c r="O144" s="90">
        <v>4.4889999999999999</v>
      </c>
      <c r="P144" s="90">
        <v>2.0710000000000002</v>
      </c>
      <c r="Q144" s="90">
        <v>2.5680000000000001</v>
      </c>
      <c r="R144" s="90">
        <v>1.95</v>
      </c>
      <c r="S144" s="90">
        <v>1.986</v>
      </c>
      <c r="T144" s="90">
        <v>-2.17</v>
      </c>
      <c r="U144" s="90">
        <v>5.3860000000000001</v>
      </c>
      <c r="V144" s="90">
        <v>2.6419999999999999</v>
      </c>
      <c r="W144" s="91">
        <f t="shared" si="2"/>
        <v>1.8182767577278436</v>
      </c>
    </row>
    <row r="145" spans="1:23" x14ac:dyDescent="0.35">
      <c r="A145" s="81" t="s">
        <v>227</v>
      </c>
      <c r="B145" s="81" t="s">
        <v>706</v>
      </c>
      <c r="C145" s="89">
        <v>1.2890197152698013</v>
      </c>
      <c r="D145" s="90">
        <v>2.1594279609995271</v>
      </c>
      <c r="E145" s="90">
        <v>1.9949438623463989</v>
      </c>
      <c r="G145" s="103" t="s">
        <v>415</v>
      </c>
      <c r="H145" s="101">
        <v>98.385388118004073</v>
      </c>
      <c r="I145" s="93">
        <v>2</v>
      </c>
      <c r="J145" s="93">
        <v>1</v>
      </c>
      <c r="K145" s="108"/>
      <c r="L145" s="89">
        <v>1.0060240943135659</v>
      </c>
      <c r="M145" s="90">
        <v>1.852039766494749</v>
      </c>
      <c r="N145" s="90">
        <v>2.4492180871562819</v>
      </c>
      <c r="O145" s="90">
        <v>1.59</v>
      </c>
      <c r="P145" s="90">
        <v>2.073</v>
      </c>
      <c r="Q145" s="90">
        <v>1.427</v>
      </c>
      <c r="R145" s="90">
        <v>2.867</v>
      </c>
      <c r="S145" s="90">
        <v>1.161</v>
      </c>
      <c r="T145" s="90">
        <v>-2.5070000000000001</v>
      </c>
      <c r="U145" s="90">
        <v>4.2210000000000001</v>
      </c>
      <c r="V145" s="90">
        <v>2.1339999999999999</v>
      </c>
      <c r="W145" s="91">
        <f t="shared" si="2"/>
        <v>2.077185911672963</v>
      </c>
    </row>
    <row r="146" spans="1:23" x14ac:dyDescent="0.35">
      <c r="A146" s="81" t="s">
        <v>565</v>
      </c>
      <c r="B146" s="81" t="s">
        <v>707</v>
      </c>
      <c r="C146" s="89">
        <v>4.1942484708972883</v>
      </c>
      <c r="D146" s="90">
        <v>3.7202264352869774</v>
      </c>
      <c r="E146" s="90">
        <v>3.3189477234561782</v>
      </c>
      <c r="G146" s="103" t="s">
        <v>398</v>
      </c>
      <c r="H146" s="101">
        <v>74.109663332036064</v>
      </c>
      <c r="I146" s="93">
        <v>72</v>
      </c>
      <c r="J146" s="93">
        <v>11</v>
      </c>
      <c r="K146" s="108"/>
      <c r="L146" s="89">
        <v>2.2704029453876053</v>
      </c>
      <c r="M146" s="90">
        <v>2.5430680885972134</v>
      </c>
      <c r="N146" s="90">
        <v>4.9538203190596066</v>
      </c>
      <c r="O146" s="90">
        <v>1.466</v>
      </c>
      <c r="P146" s="90">
        <v>2.165</v>
      </c>
      <c r="Q146" s="90">
        <v>3.3109999999999999</v>
      </c>
      <c r="R146" s="90">
        <v>2.7869999999999999</v>
      </c>
      <c r="S146" s="90">
        <v>3.0640000000000001</v>
      </c>
      <c r="T146" s="90">
        <v>3.387</v>
      </c>
      <c r="U146" s="90">
        <v>6.5279999999999996</v>
      </c>
      <c r="V146" s="90">
        <v>2.452</v>
      </c>
      <c r="W146" s="91">
        <f t="shared" si="2"/>
        <v>3.5195870793715778</v>
      </c>
    </row>
    <row r="147" spans="1:23" x14ac:dyDescent="0.35">
      <c r="A147" s="81" t="s">
        <v>565</v>
      </c>
      <c r="B147" s="81" t="s">
        <v>708</v>
      </c>
      <c r="C147" s="89">
        <v>7.1805428191797027</v>
      </c>
      <c r="D147" s="90">
        <v>7.3081795758255463</v>
      </c>
      <c r="E147" s="90">
        <v>7.0632908095879854</v>
      </c>
      <c r="G147" s="103" t="s">
        <v>422</v>
      </c>
      <c r="H147" s="101">
        <v>65.502149613905985</v>
      </c>
      <c r="I147" s="93">
        <v>113</v>
      </c>
      <c r="J147" s="93">
        <v>23</v>
      </c>
      <c r="K147" s="108"/>
      <c r="L147" s="89">
        <v>7.4999994632152305</v>
      </c>
      <c r="M147" s="90">
        <v>7.3999997470037826</v>
      </c>
      <c r="N147" s="90">
        <v>6.7000006901625362</v>
      </c>
      <c r="O147" s="90">
        <v>6</v>
      </c>
      <c r="P147" s="90">
        <v>6.9</v>
      </c>
      <c r="Q147" s="90">
        <v>7.1</v>
      </c>
      <c r="R147" s="90">
        <v>7.6</v>
      </c>
      <c r="S147" s="90">
        <v>7.4</v>
      </c>
      <c r="T147" s="90">
        <v>4.3899999999999997</v>
      </c>
      <c r="U147" s="90">
        <v>9.4</v>
      </c>
      <c r="V147" s="90">
        <v>8</v>
      </c>
      <c r="W147" s="91">
        <f t="shared" si="2"/>
        <v>7.1857351927067654</v>
      </c>
    </row>
    <row r="148" spans="1:23" x14ac:dyDescent="0.35">
      <c r="A148" s="81" t="s">
        <v>569</v>
      </c>
      <c r="B148" s="81" t="s">
        <v>709</v>
      </c>
      <c r="C148" s="89">
        <v>3.6476767570704727</v>
      </c>
      <c r="D148" s="90">
        <v>4.4330707554891102</v>
      </c>
      <c r="E148" s="90">
        <v>5.5432278987954442</v>
      </c>
      <c r="G148" s="103" t="s">
        <v>422</v>
      </c>
      <c r="H148" s="101">
        <v>68.134404341049418</v>
      </c>
      <c r="I148" s="93">
        <v>101</v>
      </c>
      <c r="J148" s="93">
        <v>21</v>
      </c>
      <c r="K148" s="108"/>
      <c r="L148" s="89">
        <v>4.500153559821273</v>
      </c>
      <c r="M148" s="90">
        <v>6.7815856006531599</v>
      </c>
      <c r="N148" s="90">
        <v>6.732461868324811</v>
      </c>
      <c r="O148" s="90">
        <v>6.1609999999999996</v>
      </c>
      <c r="P148" s="90">
        <v>6.867</v>
      </c>
      <c r="Q148" s="90">
        <v>6.7729999999999997</v>
      </c>
      <c r="R148" s="90">
        <v>6.9589999999999996</v>
      </c>
      <c r="S148" s="90">
        <v>6.9889999999999999</v>
      </c>
      <c r="T148" s="90">
        <v>4.8159999999999998</v>
      </c>
      <c r="U148" s="90">
        <v>4.9470000000000001</v>
      </c>
      <c r="V148" s="90">
        <v>4.6879999999999997</v>
      </c>
      <c r="W148" s="91">
        <f t="shared" si="2"/>
        <v>4.9881493271422777</v>
      </c>
    </row>
    <row r="149" spans="1:23" x14ac:dyDescent="0.35">
      <c r="A149" s="81" t="s">
        <v>565</v>
      </c>
      <c r="B149" s="81" t="s">
        <v>710</v>
      </c>
      <c r="C149" s="89">
        <v>-0.75178730142027028</v>
      </c>
      <c r="D149" s="90">
        <v>0.80617945124625834</v>
      </c>
      <c r="E149" s="90">
        <v>1.8254251122560072</v>
      </c>
      <c r="G149" s="103" t="s">
        <v>422</v>
      </c>
      <c r="H149" s="101">
        <v>67.301316099527455</v>
      </c>
      <c r="I149" s="93">
        <v>104</v>
      </c>
      <c r="J149" s="93">
        <v>19</v>
      </c>
      <c r="K149" s="108"/>
      <c r="L149" s="89">
        <v>7.2427962024964359</v>
      </c>
      <c r="M149" s="90">
        <v>2.6874955632055553</v>
      </c>
      <c r="N149" s="90">
        <v>0.98442510993386245</v>
      </c>
      <c r="O149" s="90">
        <v>3.1339999999999999</v>
      </c>
      <c r="P149" s="90">
        <v>3.4350000000000001</v>
      </c>
      <c r="Q149" s="90">
        <v>4.1779999999999999</v>
      </c>
      <c r="R149" s="90">
        <v>4.2229999999999999</v>
      </c>
      <c r="S149" s="90">
        <v>2.1150000000000002</v>
      </c>
      <c r="T149" s="90">
        <v>-6.1609999999999996</v>
      </c>
      <c r="U149" s="90">
        <v>1.5629999999999999</v>
      </c>
      <c r="V149" s="90">
        <v>2.6440000000000001</v>
      </c>
      <c r="W149" s="91">
        <f t="shared" si="2"/>
        <v>1.3158022817511328</v>
      </c>
    </row>
    <row r="150" spans="1:23" x14ac:dyDescent="0.35">
      <c r="A150" s="81" t="s">
        <v>569</v>
      </c>
      <c r="B150" s="81" t="s">
        <v>711</v>
      </c>
      <c r="C150" s="89">
        <v>4.1237007551626403</v>
      </c>
      <c r="D150" s="90">
        <v>4.5599643087248731</v>
      </c>
      <c r="E150" s="90">
        <v>5.0461931715429786</v>
      </c>
      <c r="G150" s="103" t="s">
        <v>398</v>
      </c>
      <c r="H150" s="101">
        <v>71.06383353175876</v>
      </c>
      <c r="I150" s="93">
        <v>84</v>
      </c>
      <c r="J150" s="93">
        <v>12</v>
      </c>
      <c r="K150" s="108"/>
      <c r="L150" s="89">
        <v>6.543507029266066</v>
      </c>
      <c r="M150" s="90">
        <v>6.1123430766482372</v>
      </c>
      <c r="N150" s="90">
        <v>5.9205885732303445</v>
      </c>
      <c r="O150" s="90">
        <v>5.74</v>
      </c>
      <c r="P150" s="90">
        <v>5.6</v>
      </c>
      <c r="Q150" s="90">
        <v>4.3479999999999999</v>
      </c>
      <c r="R150" s="90">
        <v>4.9669999999999996</v>
      </c>
      <c r="S150" s="90">
        <v>5.4640000000000004</v>
      </c>
      <c r="T150" s="90">
        <v>1.758</v>
      </c>
      <c r="U150" s="90">
        <v>5.2590000000000003</v>
      </c>
      <c r="V150" s="90">
        <v>5.399</v>
      </c>
      <c r="W150" s="91">
        <f t="shared" si="2"/>
        <v>4.8030787401339259</v>
      </c>
    </row>
    <row r="151" spans="1:23" x14ac:dyDescent="0.35">
      <c r="A151" s="81" t="s">
        <v>573</v>
      </c>
      <c r="B151" s="81" t="s">
        <v>712</v>
      </c>
      <c r="C151" s="89">
        <v>-2.1662761553291388</v>
      </c>
      <c r="D151" s="90">
        <v>-0.32249691451342599</v>
      </c>
      <c r="E151" s="90">
        <v>-0.73360970360328848</v>
      </c>
      <c r="G151" s="103" t="s">
        <v>422</v>
      </c>
      <c r="H151" s="101">
        <v>65.576173252463747</v>
      </c>
      <c r="I151" s="93">
        <v>112</v>
      </c>
      <c r="J151" s="93">
        <v>14</v>
      </c>
      <c r="K151" s="108"/>
      <c r="L151" s="89">
        <v>1.2699643652024184</v>
      </c>
      <c r="M151" s="90">
        <v>2.2290748047658071</v>
      </c>
      <c r="N151" s="90">
        <v>-0.91254496880826241</v>
      </c>
      <c r="O151" s="90">
        <v>-0.75600000000000001</v>
      </c>
      <c r="P151" s="90">
        <v>-6.7640000000000002</v>
      </c>
      <c r="Q151" s="90">
        <v>-4.7069999999999999</v>
      </c>
      <c r="R151" s="90">
        <v>-0.871</v>
      </c>
      <c r="S151" s="90">
        <v>0.11</v>
      </c>
      <c r="T151" s="90">
        <v>-7.6779999999999999</v>
      </c>
      <c r="U151" s="90">
        <v>-1.0269999999999999</v>
      </c>
      <c r="V151" s="90">
        <v>2.4809999999999999</v>
      </c>
      <c r="W151" s="91">
        <f t="shared" si="2"/>
        <v>-0.52805330905835723</v>
      </c>
    </row>
    <row r="152" spans="1:23" x14ac:dyDescent="0.35">
      <c r="A152" s="81" t="s">
        <v>569</v>
      </c>
      <c r="B152" s="81" t="s">
        <v>713</v>
      </c>
      <c r="C152" s="89">
        <v>-0.76139414796470017</v>
      </c>
      <c r="D152" s="90">
        <v>1.515468696628397</v>
      </c>
      <c r="E152" s="90">
        <v>1.7677168413122724</v>
      </c>
      <c r="G152" s="103" t="s">
        <v>422</v>
      </c>
      <c r="H152" s="101">
        <v>68.074683718311135</v>
      </c>
      <c r="I152" s="93">
        <v>102</v>
      </c>
      <c r="J152" s="93">
        <v>22</v>
      </c>
      <c r="K152" s="108"/>
      <c r="L152" s="89">
        <v>3.9976740023093633</v>
      </c>
      <c r="M152" s="90">
        <v>2.8755238423073424</v>
      </c>
      <c r="N152" s="90">
        <v>2.9713983451090038</v>
      </c>
      <c r="O152" s="90">
        <v>0.96799999999999997</v>
      </c>
      <c r="P152" s="90">
        <v>1.117</v>
      </c>
      <c r="Q152" s="90">
        <v>2.238</v>
      </c>
      <c r="R152" s="90">
        <v>2.625</v>
      </c>
      <c r="S152" s="90">
        <v>1.5880000000000001</v>
      </c>
      <c r="T152" s="90">
        <v>-8.8179999999999996</v>
      </c>
      <c r="U152" s="90">
        <v>4.4050000000000002</v>
      </c>
      <c r="V152" s="90">
        <v>2.5219999999999998</v>
      </c>
      <c r="W152" s="91">
        <f t="shared" si="2"/>
        <v>1.6415927689703347</v>
      </c>
    </row>
    <row r="153" spans="1:23" x14ac:dyDescent="0.35">
      <c r="A153" s="81" t="s">
        <v>580</v>
      </c>
      <c r="B153" s="81" t="s">
        <v>714</v>
      </c>
      <c r="C153" s="89">
        <v>6.2162334826369348</v>
      </c>
      <c r="D153" s="90">
        <v>4.4468380199269797</v>
      </c>
      <c r="E153" s="90">
        <v>5.2521474880545149</v>
      </c>
      <c r="G153" s="103" t="s">
        <v>571</v>
      </c>
      <c r="H153" s="101">
        <v>79.725975588542326</v>
      </c>
      <c r="I153" s="93">
        <v>49</v>
      </c>
      <c r="J153" s="93">
        <v>4</v>
      </c>
      <c r="K153" s="108"/>
      <c r="L153" s="89">
        <v>4.7899402070344061</v>
      </c>
      <c r="M153" s="90">
        <v>8.4913093926863557</v>
      </c>
      <c r="N153" s="90">
        <v>5.1666907030455222</v>
      </c>
      <c r="O153" s="90">
        <v>6.0839999999999996</v>
      </c>
      <c r="P153" s="90">
        <v>3.323</v>
      </c>
      <c r="Q153" s="90">
        <v>7.5019999999999998</v>
      </c>
      <c r="R153" s="90">
        <v>2.98</v>
      </c>
      <c r="S153" s="90">
        <v>0.78400000000000003</v>
      </c>
      <c r="T153" s="90">
        <v>1.94</v>
      </c>
      <c r="U153" s="90">
        <v>11.353</v>
      </c>
      <c r="V153" s="90">
        <v>5.5659999999999998</v>
      </c>
      <c r="W153" s="91">
        <f t="shared" si="2"/>
        <v>4.8494927539907469</v>
      </c>
    </row>
    <row r="154" spans="1:23" x14ac:dyDescent="0.35">
      <c r="A154" s="81" t="s">
        <v>565</v>
      </c>
      <c r="B154" s="81" t="s">
        <v>715</v>
      </c>
      <c r="C154" s="89">
        <v>5.7825311290508274</v>
      </c>
      <c r="D154" s="90">
        <v>5.9692666570670072</v>
      </c>
      <c r="E154" s="90">
        <v>6.9419375690879193</v>
      </c>
      <c r="G154" s="103" t="s">
        <v>398</v>
      </c>
      <c r="H154" s="101">
        <v>73.971445285212496</v>
      </c>
      <c r="I154" s="93">
        <v>74</v>
      </c>
      <c r="J154" s="93">
        <v>12</v>
      </c>
      <c r="K154" s="108"/>
      <c r="L154" s="89">
        <v>11.099999961554488</v>
      </c>
      <c r="M154" s="90">
        <v>10.200000101398992</v>
      </c>
      <c r="N154" s="90">
        <v>10.299999970545908</v>
      </c>
      <c r="O154" s="90">
        <v>2.9860000000000002</v>
      </c>
      <c r="P154" s="90">
        <v>-0.97699999999999998</v>
      </c>
      <c r="Q154" s="90">
        <v>4.7069999999999999</v>
      </c>
      <c r="R154" s="90">
        <v>0.88200000000000001</v>
      </c>
      <c r="S154" s="90">
        <v>-3.3889999999999998</v>
      </c>
      <c r="T154" s="90">
        <v>-2.9369999999999998</v>
      </c>
      <c r="U154" s="90">
        <v>4.62</v>
      </c>
      <c r="V154" s="90">
        <v>1.7889999999999999</v>
      </c>
      <c r="W154" s="91">
        <f t="shared" si="2"/>
        <v>6.4556021130774628</v>
      </c>
    </row>
    <row r="155" spans="1:23" x14ac:dyDescent="0.35">
      <c r="A155" s="81" t="s">
        <v>569</v>
      </c>
      <c r="B155" s="81" t="s">
        <v>716</v>
      </c>
      <c r="C155" s="89">
        <v>3.8036415692147996</v>
      </c>
      <c r="D155" s="90">
        <v>4.8231874950755982</v>
      </c>
      <c r="E155" s="90">
        <v>4.6664450945707259</v>
      </c>
      <c r="G155" s="103" t="s">
        <v>398</v>
      </c>
      <c r="H155" s="101">
        <v>69.556086736265442</v>
      </c>
      <c r="I155" s="93">
        <v>91</v>
      </c>
      <c r="J155" s="93">
        <v>14</v>
      </c>
      <c r="K155" s="108"/>
      <c r="L155" s="89">
        <v>3.8374556059033003</v>
      </c>
      <c r="M155" s="90">
        <v>3.586905826320109</v>
      </c>
      <c r="N155" s="90">
        <v>5.1063073243118193</v>
      </c>
      <c r="O155" s="90">
        <v>8.0060000000000002</v>
      </c>
      <c r="P155" s="90">
        <v>0.159</v>
      </c>
      <c r="Q155" s="90">
        <v>6.83</v>
      </c>
      <c r="R155" s="90">
        <v>5.5019999999999998</v>
      </c>
      <c r="S155" s="90">
        <v>7.782</v>
      </c>
      <c r="T155" s="90">
        <v>-1.3009999999999999</v>
      </c>
      <c r="U155" s="90">
        <v>6.0039999999999996</v>
      </c>
      <c r="V155" s="90">
        <v>4.9329999999999998</v>
      </c>
      <c r="W155" s="91">
        <f t="shared" si="2"/>
        <v>4.7448162948231616</v>
      </c>
    </row>
    <row r="156" spans="1:23" x14ac:dyDescent="0.35">
      <c r="A156" s="81" t="s">
        <v>227</v>
      </c>
      <c r="B156" s="81" t="s">
        <v>717</v>
      </c>
      <c r="C156" s="89">
        <v>-11.461901799668306</v>
      </c>
      <c r="D156" s="90">
        <v>-5.8295559101049328</v>
      </c>
      <c r="E156" s="90">
        <v>-4.15839598326132</v>
      </c>
      <c r="G156" s="103" t="s">
        <v>398</v>
      </c>
      <c r="H156" s="101">
        <v>74.079326507080765</v>
      </c>
      <c r="I156" s="93">
        <v>73</v>
      </c>
      <c r="J156" s="93">
        <v>39</v>
      </c>
      <c r="K156" s="108"/>
      <c r="L156" s="89">
        <v>0.23868172076808841</v>
      </c>
      <c r="M156" s="90">
        <v>-2.66978900718703E-2</v>
      </c>
      <c r="N156" s="90">
        <v>-6.5526312936576572</v>
      </c>
      <c r="O156" s="90">
        <v>-9.7880000000000003</v>
      </c>
      <c r="P156" s="90">
        <v>2.4169999999999998</v>
      </c>
      <c r="Q156" s="90">
        <v>2.36</v>
      </c>
      <c r="R156" s="90">
        <v>3.488</v>
      </c>
      <c r="S156" s="90">
        <v>3.1989999999999998</v>
      </c>
      <c r="T156" s="90">
        <v>-3.7530000000000001</v>
      </c>
      <c r="U156" s="90">
        <v>3.3530000000000002</v>
      </c>
      <c r="V156" s="90">
        <v>-30.26</v>
      </c>
      <c r="W156" s="91">
        <f t="shared" si="2"/>
        <v>-4.9939759466831264</v>
      </c>
    </row>
    <row r="157" spans="1:23" x14ac:dyDescent="0.35">
      <c r="A157" s="81" t="s">
        <v>580</v>
      </c>
      <c r="B157" s="81" t="s">
        <v>718</v>
      </c>
      <c r="C157" s="89">
        <v>1.9883983839421138</v>
      </c>
      <c r="D157" s="90">
        <v>1.9344501122165347</v>
      </c>
      <c r="E157" s="90">
        <v>2.9471413005852209</v>
      </c>
      <c r="G157" s="103" t="s">
        <v>415</v>
      </c>
      <c r="H157" s="101">
        <v>91.971735408895199</v>
      </c>
      <c r="I157" s="93">
        <v>22</v>
      </c>
      <c r="J157" s="93">
        <v>1</v>
      </c>
      <c r="K157" s="108"/>
      <c r="L157" s="89">
        <v>4.4846260849086921</v>
      </c>
      <c r="M157" s="90">
        <v>5.0533458252665762</v>
      </c>
      <c r="N157" s="90">
        <v>4.2843036857947956</v>
      </c>
      <c r="O157" s="90">
        <v>6.7869999999999999</v>
      </c>
      <c r="P157" s="90">
        <v>5.5609999999999999</v>
      </c>
      <c r="Q157" s="90">
        <v>0.73499999999999999</v>
      </c>
      <c r="R157" s="90">
        <v>1.3140000000000001</v>
      </c>
      <c r="S157" s="90">
        <v>1.1080000000000001</v>
      </c>
      <c r="T157" s="90">
        <v>-4.9569999999999999</v>
      </c>
      <c r="U157" s="90">
        <v>3.9159999999999999</v>
      </c>
      <c r="V157" s="90">
        <v>7.4109999999999996</v>
      </c>
      <c r="W157" s="91">
        <f t="shared" si="2"/>
        <v>2.4407957064008778</v>
      </c>
    </row>
    <row r="158" spans="1:23" x14ac:dyDescent="0.35">
      <c r="A158" s="81" t="s">
        <v>227</v>
      </c>
      <c r="B158" s="81" t="s">
        <v>719</v>
      </c>
      <c r="C158" s="89">
        <v>-0.15570963242206304</v>
      </c>
      <c r="D158" s="90">
        <v>0.73784192060712961</v>
      </c>
      <c r="E158" s="90">
        <v>1.4574433295258649</v>
      </c>
      <c r="G158" s="103" t="s">
        <v>415</v>
      </c>
      <c r="H158" s="101">
        <v>95.869504572225566</v>
      </c>
      <c r="I158" s="93">
        <v>16</v>
      </c>
      <c r="J158" s="93">
        <v>11</v>
      </c>
      <c r="K158" s="108"/>
      <c r="L158" s="89">
        <v>1.4789239471568232</v>
      </c>
      <c r="M158" s="90">
        <v>2.1394857010831609</v>
      </c>
      <c r="N158" s="90">
        <v>2.6074759063105102</v>
      </c>
      <c r="O158" s="90">
        <v>2.3929999999999998</v>
      </c>
      <c r="P158" s="90">
        <v>2.165</v>
      </c>
      <c r="Q158" s="90">
        <v>2.444</v>
      </c>
      <c r="R158" s="90">
        <v>1.7050000000000001</v>
      </c>
      <c r="S158" s="90">
        <v>1.6040000000000001</v>
      </c>
      <c r="T158" s="90">
        <v>-11.031000000000001</v>
      </c>
      <c r="U158" s="90">
        <v>7.5970000000000004</v>
      </c>
      <c r="V158" s="90">
        <v>4.0449999999999999</v>
      </c>
      <c r="W158" s="91">
        <f t="shared" si="2"/>
        <v>1.0976426250664972</v>
      </c>
    </row>
    <row r="159" spans="1:23" x14ac:dyDescent="0.35">
      <c r="A159" s="81" t="s">
        <v>573</v>
      </c>
      <c r="B159" s="81" t="s">
        <v>720</v>
      </c>
      <c r="C159" s="89">
        <v>1.6858959431595322</v>
      </c>
      <c r="D159" s="90">
        <v>2.0522235488571683</v>
      </c>
      <c r="E159" s="90">
        <v>2.1214909700318696</v>
      </c>
      <c r="G159" s="103" t="s">
        <v>415</v>
      </c>
      <c r="H159" s="101">
        <v>95.916666666666671</v>
      </c>
      <c r="I159" s="93">
        <v>14</v>
      </c>
      <c r="J159" s="93">
        <v>1</v>
      </c>
      <c r="K159" s="108"/>
      <c r="L159" s="89">
        <v>2.249545852369943</v>
      </c>
      <c r="M159" s="90">
        <v>1.8420810710110016</v>
      </c>
      <c r="N159" s="90">
        <v>2.4519730353603584</v>
      </c>
      <c r="O159" s="90">
        <v>2.7069999999999999</v>
      </c>
      <c r="P159" s="90">
        <v>1.6679999999999999</v>
      </c>
      <c r="Q159" s="90">
        <v>2.242</v>
      </c>
      <c r="R159" s="90">
        <v>2.9449999999999998</v>
      </c>
      <c r="S159" s="90">
        <v>2.2949999999999999</v>
      </c>
      <c r="T159" s="90">
        <v>-2.7679999999999998</v>
      </c>
      <c r="U159" s="90">
        <v>5.9470000000000001</v>
      </c>
      <c r="V159" s="90">
        <v>2.0680000000000001</v>
      </c>
      <c r="W159" s="91">
        <f t="shared" si="2"/>
        <v>2.0868572594445189</v>
      </c>
    </row>
    <row r="160" spans="1:23" x14ac:dyDescent="0.35">
      <c r="A160" s="81" t="s">
        <v>573</v>
      </c>
      <c r="B160" s="81" t="s">
        <v>721</v>
      </c>
      <c r="C160" s="89">
        <v>0.91343850289404838</v>
      </c>
      <c r="D160" s="90">
        <v>2.2569945604846264</v>
      </c>
      <c r="E160" s="90">
        <v>2.3762166744240032</v>
      </c>
      <c r="G160" s="103" t="s">
        <v>571</v>
      </c>
      <c r="H160" s="101">
        <v>81.172173305315454</v>
      </c>
      <c r="I160" s="93">
        <v>43</v>
      </c>
      <c r="J160" s="93">
        <v>5</v>
      </c>
      <c r="K160" s="108"/>
      <c r="L160" s="89">
        <v>3.5381787068568795</v>
      </c>
      <c r="M160" s="90">
        <v>4.6375386431141186</v>
      </c>
      <c r="N160" s="90">
        <v>3.2387912162160193</v>
      </c>
      <c r="O160" s="90">
        <v>0.371</v>
      </c>
      <c r="P160" s="90">
        <v>1.69</v>
      </c>
      <c r="Q160" s="90">
        <v>1.6279999999999999</v>
      </c>
      <c r="R160" s="90">
        <v>0.47799999999999998</v>
      </c>
      <c r="S160" s="90">
        <v>0.35</v>
      </c>
      <c r="T160" s="90">
        <v>-6.1150000000000002</v>
      </c>
      <c r="U160" s="90">
        <v>4.4020000000000001</v>
      </c>
      <c r="V160" s="90">
        <v>4.8860000000000001</v>
      </c>
      <c r="W160" s="91">
        <f t="shared" si="2"/>
        <v>2.3166056174543148</v>
      </c>
    </row>
    <row r="161" spans="1:23" x14ac:dyDescent="0.35">
      <c r="A161" s="81" t="s">
        <v>565</v>
      </c>
      <c r="B161" s="81" t="s">
        <v>722</v>
      </c>
      <c r="C161" s="89">
        <v>4.966226080132774</v>
      </c>
      <c r="D161" s="90">
        <v>5.1922367720162121</v>
      </c>
      <c r="E161" s="90">
        <v>5.7634254597189516</v>
      </c>
      <c r="G161" s="103" t="s">
        <v>422</v>
      </c>
      <c r="H161" s="101">
        <v>68.759088115548678</v>
      </c>
      <c r="I161" s="93">
        <v>99</v>
      </c>
      <c r="J161" s="93">
        <v>18</v>
      </c>
      <c r="K161" s="108"/>
      <c r="L161" s="89">
        <v>7.1024448870695505</v>
      </c>
      <c r="M161" s="90">
        <v>7.2965503696402285</v>
      </c>
      <c r="N161" s="90">
        <v>6.8738384408295845</v>
      </c>
      <c r="O161" s="90">
        <v>7.2190000000000003</v>
      </c>
      <c r="P161" s="90">
        <v>5.9320000000000004</v>
      </c>
      <c r="Q161" s="90">
        <v>4.3949999999999996</v>
      </c>
      <c r="R161" s="90">
        <v>5.88</v>
      </c>
      <c r="S161" s="90">
        <v>5.9820000000000002</v>
      </c>
      <c r="T161" s="90">
        <v>1.996</v>
      </c>
      <c r="U161" s="90">
        <v>7.4029999999999996</v>
      </c>
      <c r="V161" s="90">
        <v>5.6689999999999996</v>
      </c>
      <c r="W161" s="91">
        <f t="shared" si="2"/>
        <v>5.4778311158675823</v>
      </c>
    </row>
    <row r="162" spans="1:23" x14ac:dyDescent="0.35">
      <c r="A162" s="81" t="s">
        <v>565</v>
      </c>
      <c r="B162" s="81" t="s">
        <v>723</v>
      </c>
      <c r="C162" s="89">
        <v>6.367284609117374</v>
      </c>
      <c r="D162" s="90">
        <v>8.0753375154714711</v>
      </c>
      <c r="E162" s="90">
        <v>8.6445538917790046</v>
      </c>
      <c r="G162" s="103" t="s">
        <v>422</v>
      </c>
      <c r="H162" s="101">
        <v>62.623537935388953</v>
      </c>
      <c r="I162" s="93">
        <v>120</v>
      </c>
      <c r="J162" s="93">
        <v>24</v>
      </c>
      <c r="K162" s="108"/>
      <c r="L162" s="89">
        <v>12.410056463111571</v>
      </c>
      <c r="M162" s="90">
        <v>7.2891294784445284</v>
      </c>
      <c r="N162" s="90">
        <v>9.6841913021478785</v>
      </c>
      <c r="O162" s="90">
        <v>6.9870000000000001</v>
      </c>
      <c r="P162" s="90">
        <v>6.69</v>
      </c>
      <c r="Q162" s="90">
        <v>6.94</v>
      </c>
      <c r="R162" s="90">
        <v>7.4649999999999999</v>
      </c>
      <c r="S162" s="90">
        <v>7.359</v>
      </c>
      <c r="T162" s="90">
        <v>2.867</v>
      </c>
      <c r="U162" s="90">
        <v>2.5619999999999998</v>
      </c>
      <c r="V162" s="90">
        <v>8.0180000000000007</v>
      </c>
      <c r="W162" s="91">
        <f t="shared" si="2"/>
        <v>8.3599457036252378</v>
      </c>
    </row>
    <row r="163" spans="1:23" x14ac:dyDescent="0.35">
      <c r="A163" s="81" t="s">
        <v>580</v>
      </c>
      <c r="B163" s="81" t="s">
        <v>724</v>
      </c>
      <c r="C163" s="89">
        <v>-1.1017371120758623</v>
      </c>
      <c r="D163" s="90">
        <v>-1.4008554823266794</v>
      </c>
      <c r="E163" s="90">
        <v>0.43888765074564517</v>
      </c>
      <c r="G163" s="103" t="s">
        <v>567</v>
      </c>
      <c r="H163" s="101">
        <v>44.737558430285063</v>
      </c>
      <c r="I163" s="93">
        <v>145</v>
      </c>
      <c r="J163" s="93">
        <v>11</v>
      </c>
      <c r="K163" s="108"/>
      <c r="L163" s="89">
        <v>16.665428768467855</v>
      </c>
      <c r="M163" s="90">
        <v>1.9894927620720551</v>
      </c>
      <c r="N163" s="90">
        <v>2.3769293269800476</v>
      </c>
      <c r="O163" s="90">
        <v>-27.995000000000001</v>
      </c>
      <c r="P163" s="90">
        <v>-9.375</v>
      </c>
      <c r="Q163" s="90">
        <v>-5.0720000000000001</v>
      </c>
      <c r="R163" s="90">
        <v>0.752</v>
      </c>
      <c r="S163" s="90">
        <v>1.4</v>
      </c>
      <c r="T163" s="90">
        <v>-8.5</v>
      </c>
      <c r="U163" s="90">
        <v>-1</v>
      </c>
      <c r="V163" s="90">
        <v>1.5</v>
      </c>
      <c r="W163" s="91">
        <f t="shared" si="2"/>
        <v>-0.48098391579051714</v>
      </c>
    </row>
    <row r="164" spans="1:23" x14ac:dyDescent="0.35">
      <c r="A164" s="81" t="s">
        <v>569</v>
      </c>
      <c r="B164" s="81" t="s">
        <v>725</v>
      </c>
      <c r="C164" s="89">
        <v>1.6991659105087376</v>
      </c>
      <c r="D164" s="90">
        <v>2.110140268966143</v>
      </c>
      <c r="E164" s="90">
        <v>3.0449788505192199</v>
      </c>
      <c r="G164" s="103" t="s">
        <v>422</v>
      </c>
      <c r="H164" s="101">
        <v>61.004320674622747</v>
      </c>
      <c r="I164" s="93">
        <v>124</v>
      </c>
      <c r="J164" s="93">
        <v>29</v>
      </c>
      <c r="K164" s="108"/>
      <c r="L164" s="89">
        <v>7.5975932105319126</v>
      </c>
      <c r="M164" s="90">
        <v>5.0572317397973361</v>
      </c>
      <c r="N164" s="90">
        <v>4.6979923625298614</v>
      </c>
      <c r="O164" s="90">
        <v>2.92</v>
      </c>
      <c r="P164" s="90">
        <v>3.7770000000000001</v>
      </c>
      <c r="Q164" s="90">
        <v>3.504</v>
      </c>
      <c r="R164" s="90">
        <v>4.0350000000000001</v>
      </c>
      <c r="S164" s="90">
        <v>1.4410000000000001</v>
      </c>
      <c r="T164" s="90">
        <v>-2.7850000000000001</v>
      </c>
      <c r="U164" s="90">
        <v>4.5990000000000002</v>
      </c>
      <c r="V164" s="90">
        <v>3.4409999999999998</v>
      </c>
      <c r="W164" s="91">
        <f t="shared" si="2"/>
        <v>2.5775595597426815</v>
      </c>
    </row>
    <row r="165" spans="1:23" x14ac:dyDescent="0.35">
      <c r="A165" s="81" t="s">
        <v>569</v>
      </c>
      <c r="B165" s="81" t="s">
        <v>726</v>
      </c>
      <c r="C165" s="89">
        <v>3.5464749905308901</v>
      </c>
      <c r="D165" s="90">
        <v>2.7818952866475843</v>
      </c>
      <c r="E165" s="90">
        <v>2.7261309103552733</v>
      </c>
      <c r="G165" s="103" t="s">
        <v>567</v>
      </c>
      <c r="H165" s="101">
        <v>55.033873809516088</v>
      </c>
      <c r="I165" s="93">
        <v>133</v>
      </c>
      <c r="J165" s="93">
        <v>33</v>
      </c>
      <c r="K165" s="108"/>
      <c r="L165" s="89">
        <v>17.615397198362849</v>
      </c>
      <c r="M165" s="90">
        <v>10.75800212279124</v>
      </c>
      <c r="N165" s="90">
        <v>3.9762602630956336</v>
      </c>
      <c r="O165" s="90">
        <v>1.794</v>
      </c>
      <c r="P165" s="90">
        <v>0.47799999999999998</v>
      </c>
      <c r="Q165" s="90">
        <v>4.9829999999999997</v>
      </c>
      <c r="R165" s="90">
        <v>4.7320000000000002</v>
      </c>
      <c r="S165" s="90">
        <v>-6.1219999999999999</v>
      </c>
      <c r="T165" s="90">
        <v>-7.8250000000000002</v>
      </c>
      <c r="U165" s="90">
        <v>8.4619999999999997</v>
      </c>
      <c r="V165" s="90">
        <v>3.0289999999999999</v>
      </c>
      <c r="W165" s="91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28"/>
  <sheetViews>
    <sheetView zoomScale="86" zoomScaleNormal="190" workbookViewId="0">
      <selection activeCell="B13" sqref="B1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508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387</v>
      </c>
      <c r="G2" s="39" t="s">
        <v>386</v>
      </c>
      <c r="H2" s="39" t="s">
        <v>477</v>
      </c>
      <c r="I2" s="39" t="s">
        <v>409</v>
      </c>
      <c r="J2" s="39" t="s">
        <v>471</v>
      </c>
      <c r="L2" s="46" t="s">
        <v>474</v>
      </c>
      <c r="M2" s="39" t="s">
        <v>475</v>
      </c>
      <c r="N2" s="39" t="s">
        <v>476</v>
      </c>
      <c r="O2" t="s">
        <v>488</v>
      </c>
      <c r="P2" t="s">
        <v>489</v>
      </c>
      <c r="Q2" t="s">
        <v>491</v>
      </c>
    </row>
    <row r="3" spans="1:21" x14ac:dyDescent="0.35">
      <c r="A3" t="s">
        <v>431</v>
      </c>
      <c r="B3" t="s">
        <v>469</v>
      </c>
      <c r="C3" t="str" cm="1">
        <f t="array" ref="C3">_xll.FDSB(B3,"FG_COMPANY_NAME")</f>
        <v>New Zealand Dollar per U.S. Dollar</v>
      </c>
      <c r="D3" cm="1">
        <f t="array" ref="D3">_xll.FDSB(B3,"FG_PRICE(0)")</f>
        <v>1.6609917000000001</v>
      </c>
      <c r="E3" cm="1">
        <f t="array" ref="E3">_xll.FDSB(B3,"FG_PRICE_CHANGE(0,-1AY)")</f>
        <v>5.0743340000000003</v>
      </c>
      <c r="F3" cm="1">
        <f t="array" ref="F3">_xll.FDSB(B3,"FG_PRICE_CHANGE(0,-1AM)")</f>
        <v>0.59796570000000004</v>
      </c>
      <c r="G3" cm="1">
        <f t="array" ref="G3">_xll.FDSB(B3,"FG_PRICE_CHANGE(0,-3AM)")</f>
        <v>2.0430207</v>
      </c>
      <c r="H3" cm="1">
        <f t="array" ref="H3">_xll.FDSB(B3,"FG_PRICE_CHANGE(0,-6AM)")</f>
        <v>-1.1709988</v>
      </c>
      <c r="I3" cm="1">
        <f t="array" ref="I3">_xll.FDS(B3,"STD(FG_PRICE_CHANGE(0,-1AY,AM))")</f>
        <v>1.9932559695893499</v>
      </c>
      <c r="J3" cm="1">
        <f t="array" ref="J3">_xll.FDS(B3,"STD(FG_PRICE_CHANGE(0,-3AY,M))")*SQRT(12)</f>
        <v>11.98615098528186</v>
      </c>
      <c r="L3">
        <f>(1-(_xlfn.PERCENTRANK.EXC($F$3:$F$15,F3)))*100</f>
        <v>50</v>
      </c>
      <c r="M3">
        <f>(1-(_xlfn.PERCENTRANK.EXC($G$3:$G$15,G3)))*100</f>
        <v>35.799999999999997</v>
      </c>
      <c r="N3">
        <f>(1-(_xlfn.PERCENTRANK.EXC($H$3:$H$15,H3)))*100</f>
        <v>78.600000000000009</v>
      </c>
      <c r="O3">
        <f>SUMPRODUCT($L$1:$N$1,L3:N3)</f>
        <v>55.760000000000005</v>
      </c>
      <c r="P3">
        <f>100- (_xlfn.PERCENTRANK.EXC($J$3:$J$15,J3)*100)</f>
        <v>7.1999999999999886</v>
      </c>
      <c r="Q3">
        <f>VLOOKUP(A3,CAD!$A$3:$J$15, 10, FALSE)</f>
        <v>7.1</v>
      </c>
      <c r="S3">
        <f t="shared" ref="S3:S11" si="0">SUMPRODUCT($O$1:$Q$1,O3:Q3)</f>
        <v>31.46</v>
      </c>
      <c r="U3" cm="1">
        <f t="array" ref="U3">_xlfn.PERCENTRANK.EXC(_xlfn._xlws.FILTER(S$3:S$15, ISNUMBER(S$3:S$15)),S3)*100</f>
        <v>14.2</v>
      </c>
    </row>
    <row r="4" spans="1:21" x14ac:dyDescent="0.35">
      <c r="A4" t="s">
        <v>44</v>
      </c>
      <c r="B4" t="s">
        <v>466</v>
      </c>
      <c r="C4" t="str" cm="1">
        <f t="array" ref="C4">_xll.FDSB(B4,"FG_COMPANY_NAME")</f>
        <v>Australian Dollar per U.S. Dollar</v>
      </c>
      <c r="D4" cm="1">
        <f t="array" ref="D4">_xll.FDSB(B4,"FG_PRICE(0)")</f>
        <v>1.5135462</v>
      </c>
      <c r="E4" cm="1">
        <f t="array" ref="E4">_xll.FDSB(B4,"FG_PRICE_CHANGE(0,-1AY)")</f>
        <v>2.2627473</v>
      </c>
      <c r="F4" cm="1">
        <f t="array" ref="F4">_xll.FDSB(B4,"FG_PRICE_CHANGE(0,-1AM)")</f>
        <v>0.24217367000000001</v>
      </c>
      <c r="G4" cm="1">
        <f t="array" ref="G4">_xll.FDSB(B4,"FG_PRICE_CHANGE(0,-3AM)")</f>
        <v>-1.3092220000000001</v>
      </c>
      <c r="H4" cm="1">
        <f t="array" ref="H4">_xll.FDSB(B4,"FG_PRICE_CHANGE(0,-6AM)")</f>
        <v>-2.7622222999999999</v>
      </c>
      <c r="I4" cm="1">
        <f t="array" ref="I4">_xll.FDS(B4,"STD(FG_PRICE_CHANGE(0,-1AY,AM))")</f>
        <v>1.60927750022522</v>
      </c>
      <c r="J4" cm="1">
        <f t="array" ref="J4">_xll.FDS(B4,"STD(FG_PRICE_CHANGE(0,-3AY,M))")*SQRT(12)</f>
        <v>10.585560571795845</v>
      </c>
      <c r="L4">
        <f t="shared" ref="L4:L15" si="1">(1-(_xlfn.PERCENTRANK.EXC($F$3:$F$15,F4)))*100</f>
        <v>71.500000000000014</v>
      </c>
      <c r="M4">
        <f t="shared" ref="M4:M15" si="2">(1-(_xlfn.PERCENTRANK.EXC($G$3:$G$15,G4)))*100</f>
        <v>92.9</v>
      </c>
      <c r="N4">
        <f t="shared" ref="N4:N15" si="3">(1-(_xlfn.PERCENTRANK.EXC($H$3:$H$15,H4)))*100</f>
        <v>92.9</v>
      </c>
      <c r="O4">
        <f t="shared" ref="O4:O11" si="4">SUMPRODUCT($L$1:$N$1,L4:N4)</f>
        <v>88.62</v>
      </c>
      <c r="P4">
        <f t="shared" ref="P4:P15" si="5">100- (_xlfn.PERCENTRANK.EXC($J$3:$J$15,J4)*100)</f>
        <v>14.299999999999997</v>
      </c>
      <c r="Q4">
        <f>VLOOKUP(A4,CAD!$A$3:$J$15, 10, FALSE)</f>
        <v>50</v>
      </c>
      <c r="S4">
        <f t="shared" si="0"/>
        <v>58.6</v>
      </c>
      <c r="U4" cm="1">
        <f t="array" ref="U4">_xlfn.PERCENTRANK.EXC(_xlfn._xlws.FILTER(S$3:S$15, ISNUMBER(S$3:S$15)),S4)*100</f>
        <v>57.099999999999994</v>
      </c>
    </row>
    <row r="5" spans="1:21" x14ac:dyDescent="0.35">
      <c r="A5" t="s">
        <v>49</v>
      </c>
      <c r="B5" t="s">
        <v>467</v>
      </c>
      <c r="C5" t="str" cm="1">
        <f t="array" ref="C5">_xll.FDSB(B5,"FG_COMPANY_NAME")</f>
        <v>Canadian Dollar per U.S. Dollar</v>
      </c>
      <c r="D5" cm="1">
        <f t="array" ref="D5">_xll.FDSB(B5,"FG_PRICE(0)")</f>
        <v>1.3692500000000001</v>
      </c>
      <c r="E5" cm="1">
        <f t="array" ref="E5">_xll.FDSB(B5,"FG_PRICE_CHANGE(0,-1AY)")</f>
        <v>2.2171617000000001</v>
      </c>
      <c r="F5" cm="1">
        <f t="array" ref="F5">_xll.FDSB(B5,"FG_PRICE_CHANGE(0,-1AM)")</f>
        <v>0.73571204999999995</v>
      </c>
      <c r="G5" cm="1">
        <f t="array" ref="G5">_xll.FDSB(B5,"FG_PRICE_CHANGE(0,-3AM)")</f>
        <v>1.7160058</v>
      </c>
      <c r="H5" cm="1">
        <f t="array" ref="H5">_xll.FDSB(B5,"FG_PRICE_CHANGE(0,-6AM)")</f>
        <v>-0.42542219999999997</v>
      </c>
      <c r="I5" cm="1">
        <f t="array" ref="I5">_xll.FDS(B5,"STD(FG_PRICE_CHANGE(0,-1AY,AM))")</f>
        <v>0.89633579474225</v>
      </c>
      <c r="J5" cm="1">
        <f t="array" ref="J5">_xll.FDS(B5,"STD(FG_PRICE_CHANGE(0,-3AY,M))")*SQRT(12)</f>
        <v>6.397403714440232</v>
      </c>
      <c r="L5">
        <f t="shared" si="1"/>
        <v>42.900000000000006</v>
      </c>
      <c r="M5">
        <f t="shared" si="2"/>
        <v>42.900000000000006</v>
      </c>
      <c r="N5">
        <f t="shared" si="3"/>
        <v>57.2</v>
      </c>
      <c r="O5">
        <f t="shared" si="4"/>
        <v>48.620000000000005</v>
      </c>
      <c r="P5">
        <f t="shared" si="5"/>
        <v>71.5</v>
      </c>
      <c r="Q5">
        <f>VLOOKUP(A5,CAD!$A$3:$J$15, 10, FALSE)</f>
        <v>35.699999999999996</v>
      </c>
      <c r="S5">
        <f t="shared" si="0"/>
        <v>52.900000000000006</v>
      </c>
      <c r="U5" cm="1">
        <f t="array" ref="U5">_xlfn.PERCENTRANK.EXC(_xlfn._xlws.FILTER(S$3:S$15, ISNUMBER(S$3:S$15)),S5)*100</f>
        <v>50</v>
      </c>
    </row>
    <row r="6" spans="1:21" x14ac:dyDescent="0.35">
      <c r="A6" t="s">
        <v>11</v>
      </c>
      <c r="B6" t="s">
        <v>464</v>
      </c>
      <c r="C6" t="str" cm="1">
        <f t="array" ref="C6">_xll.FDSB(B6,"FG_COMPANY_NAME")</f>
        <v>Euro per U.S. Dollar</v>
      </c>
      <c r="D6" cm="1">
        <f t="array" ref="D6">_xll.FDSB(B6,"FG_PRICE(0)")</f>
        <v>0.92794509999999997</v>
      </c>
      <c r="E6" cm="1">
        <f t="array" ref="E6">_xll.FDSB(B6,"FG_PRICE_CHANGE(0,-1AY)")</f>
        <v>1.6610145999999999</v>
      </c>
      <c r="F6" cm="1">
        <f t="array" ref="F6">_xll.FDSB(B6,"FG_PRICE_CHANGE(0,-1AM)")</f>
        <v>0.75163840000000004</v>
      </c>
      <c r="G6" cm="1">
        <f t="array" ref="G6">_xll.FDSB(B6,"FG_PRICE_CHANGE(0,-3AM)")</f>
        <v>9.2792509999999995E-2</v>
      </c>
      <c r="H6" cm="1">
        <f t="array" ref="H6">_xll.FDSB(B6,"FG_PRICE_CHANGE(0,-6AM)")</f>
        <v>-0.56604147000000005</v>
      </c>
      <c r="I6" cm="1">
        <f t="array" ref="I6">_xll.FDS(B6,"STD(FG_PRICE_CHANGE(0,-1AY,AM))")</f>
        <v>1.4563675963942599</v>
      </c>
      <c r="J6" cm="1">
        <f t="array" ref="J6">_xll.FDS(B6,"STD(FG_PRICE_CHANGE(0,-3AY,M))")*SQRT(12)</f>
        <v>7.5501095316907598</v>
      </c>
      <c r="L6">
        <f t="shared" si="1"/>
        <v>35.799999999999997</v>
      </c>
      <c r="M6">
        <f t="shared" si="2"/>
        <v>64.3</v>
      </c>
      <c r="N6">
        <f t="shared" si="3"/>
        <v>71.500000000000014</v>
      </c>
      <c r="O6">
        <f t="shared" si="4"/>
        <v>61.480000000000004</v>
      </c>
      <c r="P6">
        <f t="shared" si="5"/>
        <v>57.2</v>
      </c>
      <c r="Q6">
        <f>VLOOKUP(A6,CAD!$A$3:$J$15, 10, FALSE)</f>
        <v>78.5</v>
      </c>
      <c r="S6">
        <f t="shared" si="0"/>
        <v>63.600000000000009</v>
      </c>
      <c r="U6" cm="1">
        <f t="array" ref="U6">_xlfn.PERCENTRANK.EXC(_xlfn._xlws.FILTER(S$3:S$15, ISNUMBER(S$3:S$15)),S6)*100</f>
        <v>71.399999999999991</v>
      </c>
    </row>
    <row r="7" spans="1:21" x14ac:dyDescent="0.35">
      <c r="A7" t="s">
        <v>46</v>
      </c>
      <c r="B7" t="s">
        <v>465</v>
      </c>
      <c r="C7" t="str" cm="1">
        <f t="array" ref="C7">_xll.FDSB(B7,"FG_COMPANY_NAME")</f>
        <v>Japanese Yen per U.S. Dollar</v>
      </c>
      <c r="D7" cm="1">
        <f t="array" ref="D7">_xll.FDSB(B7,"FG_PRICE(0)")</f>
        <v>155.57499999999999</v>
      </c>
      <c r="E7" cm="1">
        <f t="array" ref="E7">_xll.FDSB(B7,"FG_PRICE_CHANGE(0,-1AY)")</f>
        <v>15.193808000000001</v>
      </c>
      <c r="F7" cm="1">
        <f t="array" ref="F7">_xll.FDSB(B7,"FG_PRICE_CHANGE(0,-1AM)")</f>
        <v>2.5915742000000002</v>
      </c>
      <c r="G7" cm="1">
        <f t="array" ref="G7">_xll.FDSB(B7,"FG_PRICE_CHANGE(0,-3AM)")</f>
        <v>4.1854978000000003</v>
      </c>
      <c r="H7" cm="1">
        <f t="array" ref="H7">_xll.FDSB(B7,"FG_PRICE_CHANGE(0,-6AM)")</f>
        <v>3.0639289999999999</v>
      </c>
      <c r="I7" cm="1">
        <f t="array" ref="I7">_xll.FDS(B7,"STD(FG_PRICE_CHANGE(0,-1AY,AM))")</f>
        <v>2.21772991607599</v>
      </c>
      <c r="J7" cm="1">
        <f t="array" ref="J7">_xll.FDS(B7,"STD(FG_PRICE_CHANGE(0,-3AY,M))")*SQRT(12)</f>
        <v>10.535136724189327</v>
      </c>
      <c r="L7">
        <f t="shared" si="1"/>
        <v>14.3</v>
      </c>
      <c r="M7">
        <f t="shared" si="2"/>
        <v>7.1999999999999957</v>
      </c>
      <c r="N7">
        <f t="shared" si="3"/>
        <v>7.1999999999999957</v>
      </c>
      <c r="O7">
        <f t="shared" si="4"/>
        <v>8.6199999999999974</v>
      </c>
      <c r="P7">
        <f t="shared" si="5"/>
        <v>21.5</v>
      </c>
      <c r="Q7">
        <f>VLOOKUP(A7,CAD!$A$3:$J$15, 10, FALSE)</f>
        <v>64.2</v>
      </c>
      <c r="S7">
        <f t="shared" si="0"/>
        <v>23.6</v>
      </c>
      <c r="U7" cm="1">
        <f t="array" ref="U7">_xlfn.PERCENTRANK.EXC(_xlfn._xlws.FILTER(S$3:S$15, ISNUMBER(S$3:S$15)),S7)*100</f>
        <v>7.1</v>
      </c>
    </row>
    <row r="8" spans="1:21" x14ac:dyDescent="0.35">
      <c r="A8" t="s">
        <v>42</v>
      </c>
      <c r="B8" t="s">
        <v>470</v>
      </c>
      <c r="C8" t="str" cm="1">
        <f t="array" ref="C8">_xll.FDSB(B8,"FG_COMPANY_NAME")</f>
        <v>Swiss Franc per U.S. Dollar</v>
      </c>
      <c r="D8" cm="1">
        <f t="array" ref="D8">_xll.FDSB(B8,"FG_PRICE(0)")</f>
        <v>0.90674999999999994</v>
      </c>
      <c r="E8" cm="1">
        <f t="array" ref="E8">_xll.FDSB(B8,"FG_PRICE_CHANGE(0,-1AY)")</f>
        <v>1.7277241000000001</v>
      </c>
      <c r="F8" cm="1">
        <f t="array" ref="F8">_xll.FDSB(B8,"FG_PRICE_CHANGE(0,-1AM)")</f>
        <v>0.34861565</v>
      </c>
      <c r="G8" cm="1">
        <f t="array" ref="G8">_xll.FDSB(B8,"FG_PRICE_CHANGE(0,-3AM)")</f>
        <v>3.6285758000000001</v>
      </c>
      <c r="H8" cm="1">
        <f t="array" ref="H8">_xll.FDSB(B8,"FG_PRICE_CHANGE(0,-6AM)")</f>
        <v>0.8228183</v>
      </c>
      <c r="I8" cm="1">
        <f t="array" ref="I8">_xll.FDS(B8,"STD(FG_PRICE_CHANGE(0,-1AY,AM))")</f>
        <v>1.96805922484328</v>
      </c>
      <c r="J8" cm="1">
        <f t="array" ref="J8">_xll.FDS(B8,"STD(FG_PRICE_CHANGE(0,-3AY,M))")*SQRT(12)</f>
        <v>8.5062012550428463</v>
      </c>
      <c r="L8">
        <f t="shared" si="1"/>
        <v>64.3</v>
      </c>
      <c r="M8">
        <f t="shared" si="2"/>
        <v>28.6</v>
      </c>
      <c r="N8">
        <f t="shared" si="3"/>
        <v>21.499999999999996</v>
      </c>
      <c r="O8">
        <f t="shared" si="4"/>
        <v>32.9</v>
      </c>
      <c r="P8">
        <f t="shared" si="5"/>
        <v>42.900000000000006</v>
      </c>
      <c r="Q8">
        <f>VLOOKUP(A8,CAD!$A$3:$J$15, 10, FALSE)</f>
        <v>85.7</v>
      </c>
      <c r="S8">
        <f t="shared" si="0"/>
        <v>46.46</v>
      </c>
      <c r="U8" cm="1">
        <f t="array" ref="U8">_xlfn.PERCENTRANK.EXC(_xlfn._xlws.FILTER(S$3:S$15, ISNUMBER(S$3:S$15)),S8)*100</f>
        <v>35.699999999999996</v>
      </c>
    </row>
    <row r="9" spans="1:21" x14ac:dyDescent="0.35">
      <c r="A9" t="s">
        <v>48</v>
      </c>
      <c r="B9" t="s">
        <v>468</v>
      </c>
      <c r="C9" t="str" cm="1">
        <f t="array" ref="C9">_xll.FDSB(B9,"FG_COMPANY_NAME")</f>
        <v>British Pounds per U.S. Dollar</v>
      </c>
      <c r="D9" cm="1">
        <f t="array" ref="D9">_xll.FDSB(B9,"FG_PRICE(0)")</f>
        <v>0.79920080000000004</v>
      </c>
      <c r="E9" cm="1">
        <f t="array" ref="E9">_xll.FDSB(B9,"FG_PRICE_CHANGE(0,-1AY)")</f>
        <v>0.82317589999999996</v>
      </c>
      <c r="F9" cm="1">
        <f t="array" ref="F9">_xll.FDSB(B9,"FG_PRICE_CHANGE(0,-1AM)")</f>
        <v>1.3026952999999999</v>
      </c>
      <c r="G9" cm="1">
        <f t="array" ref="G9">_xll.FDSB(B9,"FG_PRICE_CHANGE(0,-3AM)")</f>
        <v>0.97103119999999998</v>
      </c>
      <c r="H9" cm="1">
        <f t="array" ref="H9">_xll.FDSB(B9,"FG_PRICE_CHANGE(0,-6AM)")</f>
        <v>-1.802206</v>
      </c>
      <c r="I9" cm="1">
        <f t="array" ref="I9">_xll.FDS(B9,"STD(FG_PRICE_CHANGE(0,-1AY,AM))")</f>
        <v>1.5708379098743499</v>
      </c>
      <c r="J9" cm="1">
        <f t="array" ref="J9">_xll.FDS(B9,"STD(FG_PRICE_CHANGE(0,-3AY,M))")*SQRT(12)</f>
        <v>8.3339900064387091</v>
      </c>
      <c r="L9">
        <f t="shared" si="1"/>
        <v>21.499999999999996</v>
      </c>
      <c r="M9">
        <f t="shared" si="2"/>
        <v>50</v>
      </c>
      <c r="N9">
        <f t="shared" si="3"/>
        <v>85.8</v>
      </c>
      <c r="O9">
        <f>SUMPRODUCT($L$1:$N$1,L9:N9)</f>
        <v>58.620000000000005</v>
      </c>
      <c r="P9">
        <f t="shared" si="5"/>
        <v>50</v>
      </c>
      <c r="Q9">
        <f>VLOOKUP(A9,CAD!$A$3:$J$15, 10, FALSE)</f>
        <v>28.499999999999996</v>
      </c>
      <c r="S9">
        <f t="shared" si="0"/>
        <v>50.010000000000005</v>
      </c>
      <c r="U9" cm="1">
        <f t="array" ref="U9">_xlfn.PERCENTRANK.EXC(_xlfn._xlws.FILTER(S$3:S$15, ISNUMBER(S$3:S$15)),S9)*100</f>
        <v>42.8</v>
      </c>
    </row>
    <row r="10" spans="1:21" x14ac:dyDescent="0.35">
      <c r="A10" t="s">
        <v>51</v>
      </c>
      <c r="B10" t="s">
        <v>554</v>
      </c>
      <c r="C10" t="str" cm="1">
        <f t="array" ref="C10">_xll.FDSB(B10,"FG_COMPANY_NAME")</f>
        <v>U.S. Dollar per U.S. Dollar</v>
      </c>
      <c r="D10" cm="1">
        <f t="array" ref="D10">_xll.FDSB(B10,"FG_PRICE(0)")</f>
        <v>1</v>
      </c>
      <c r="E10" cm="1">
        <f t="array" ref="E10">_xll.FDSB(B10,"FG_PRICE_CHANGE(0,-1AY)")</f>
        <v>0</v>
      </c>
      <c r="F10" cm="1">
        <f t="array" ref="F10">_xll.FDSB(B10,"FG_PRICE_CHANGE(0,-1AM)")</f>
        <v>0</v>
      </c>
      <c r="G10" cm="1">
        <f t="array" ref="G10">_xll.FDSB(B10,"FG_PRICE_CHANGE(0,-3AM)")</f>
        <v>0</v>
      </c>
      <c r="H10" cm="1">
        <f t="array" ref="H10">_xll.FDSB(B10,"FG_PRICE_CHANGE(0,-6AM)")</f>
        <v>0</v>
      </c>
      <c r="I10" cm="1">
        <f t="array" ref="I10">_xll.FDS(B10,"STD(FG_PRICE_CHANGE(0,-1AY,AM))")</f>
        <v>0</v>
      </c>
      <c r="J10" cm="1">
        <f t="array" ref="J10">_xll.FDS(B10,"STD(FG_PRICE_CHANGE(0,-3AY,M))")*SQRT(12)</f>
        <v>0</v>
      </c>
      <c r="L10">
        <f t="shared" si="1"/>
        <v>92.9</v>
      </c>
      <c r="M10">
        <f t="shared" si="2"/>
        <v>85.8</v>
      </c>
      <c r="N10">
        <f t="shared" si="3"/>
        <v>50</v>
      </c>
      <c r="O10">
        <f t="shared" si="4"/>
        <v>72.900000000000006</v>
      </c>
      <c r="P10">
        <f t="shared" si="5"/>
        <v>92.9</v>
      </c>
      <c r="Q10">
        <f>VLOOKUP(A10,CAD!$A$3:$J$15, 10, FALSE)</f>
        <v>14.2</v>
      </c>
      <c r="S10">
        <f t="shared" si="0"/>
        <v>67.160000000000011</v>
      </c>
      <c r="U10" cm="1">
        <f t="array" ref="U10">_xlfn.PERCENTRANK.EXC(_xlfn._xlws.FILTER(S$3:S$15, ISNUMBER(S$3:S$15)),S10)*100</f>
        <v>78.5</v>
      </c>
    </row>
    <row r="11" spans="1:21" x14ac:dyDescent="0.35">
      <c r="A11" t="s">
        <v>1</v>
      </c>
      <c r="B11" t="s">
        <v>554</v>
      </c>
      <c r="C11" t="str" cm="1">
        <f t="array" ref="C11">_xll.FDSB(B11,"FG_COMPANY_NAME")</f>
        <v>U.S. Dollar per U.S. Dollar</v>
      </c>
      <c r="D11" cm="1">
        <f t="array" ref="D11">_xll.FDSB(B11,"FG_PRICE(0)")</f>
        <v>1</v>
      </c>
      <c r="E11" cm="1">
        <f t="array" ref="E11">_xll.FDSB(B11,"FG_PRICE_CHANGE(0,-1AY)")</f>
        <v>0</v>
      </c>
      <c r="F11" cm="1">
        <f t="array" ref="F11">_xll.FDSB(B11,"FG_PRICE_CHANGE(0,-1AM)")</f>
        <v>0</v>
      </c>
      <c r="G11" cm="1">
        <f t="array" ref="G11">_xll.FDSB(B11,"FG_PRICE_CHANGE(0,-3AM)")</f>
        <v>0</v>
      </c>
      <c r="H11" cm="1">
        <f t="array" ref="H11">_xll.FDSB(B11,"FG_PRICE_CHANGE(0,-6AM)")</f>
        <v>0</v>
      </c>
      <c r="I11" cm="1">
        <f t="array" ref="I11">_xll.FDS(B11,"STD(FG_PRICE_CHANGE(0,-1AY,AM))")</f>
        <v>0</v>
      </c>
      <c r="J11" cm="1">
        <f t="array" ref="J11">_xll.FDS(B11,"STD(FG_PRICE_CHANGE(0,-3AY,M))")*SQRT(12)</f>
        <v>0</v>
      </c>
      <c r="L11">
        <f t="shared" si="1"/>
        <v>92.9</v>
      </c>
      <c r="M11">
        <f t="shared" si="2"/>
        <v>85.8</v>
      </c>
      <c r="N11">
        <f t="shared" si="3"/>
        <v>50</v>
      </c>
      <c r="O11">
        <f t="shared" si="4"/>
        <v>72.900000000000006</v>
      </c>
      <c r="P11">
        <f t="shared" si="5"/>
        <v>92.9</v>
      </c>
      <c r="Q11">
        <f>VLOOKUP(A11,CAD!$A$3:$J$15, 10, FALSE)</f>
        <v>14.2</v>
      </c>
      <c r="S11">
        <f t="shared" si="0"/>
        <v>67.160000000000011</v>
      </c>
      <c r="U11" cm="1">
        <f t="array" ref="U11">_xlfn.PERCENTRANK.EXC(_xlfn._xlws.FILTER(S$3:S$15, ISNUMBER(S$3:S$15)),S11)*100</f>
        <v>78.5</v>
      </c>
    </row>
    <row r="12" spans="1:21" x14ac:dyDescent="0.35">
      <c r="A12" t="s">
        <v>865</v>
      </c>
      <c r="B12" t="s">
        <v>470</v>
      </c>
      <c r="C12" t="str" cm="1">
        <f t="array" ref="C12">_xll.FDSB(B12,"FG_COMPANY_NAME")</f>
        <v>Swiss Franc per U.S. Dollar</v>
      </c>
      <c r="D12" cm="1">
        <f t="array" ref="D12">_xll.FDSB(B12,"FG_PRICE(0)")</f>
        <v>0.90674999999999994</v>
      </c>
      <c r="E12" cm="1">
        <f t="array" ref="E12">_xll.FDSB(B12,"FG_PRICE_CHANGE(0,-1AY)")</f>
        <v>1.7277241000000001</v>
      </c>
      <c r="F12" cm="1">
        <f t="array" ref="F12">_xll.FDSB(B12,"FG_PRICE_CHANGE(0,-1AM)")</f>
        <v>0.34861565</v>
      </c>
      <c r="G12" cm="1">
        <f t="array" ref="G12">_xll.FDSB(B12,"FG_PRICE_CHANGE(0,-3AM)")</f>
        <v>3.6285758000000001</v>
      </c>
      <c r="H12" cm="1">
        <f t="array" ref="H12">_xll.FDSB(B12,"FG_PRICE_CHANGE(0,-6AM)")</f>
        <v>0.8228183</v>
      </c>
      <c r="I12" cm="1">
        <f t="array" ref="I12">_xll.FDS(B12,"STD(FG_PRICE_CHANGE(0,-1AY,AM))")</f>
        <v>1.96805922484328</v>
      </c>
      <c r="J12" cm="1">
        <f t="array" ref="J12">_xll.FDS(B12,"STD(FG_PRICE_CHANGE(0,-3AY,M))")*SQRT(12)</f>
        <v>8.5062012550428463</v>
      </c>
      <c r="L12">
        <f t="shared" si="1"/>
        <v>64.3</v>
      </c>
      <c r="M12">
        <f t="shared" si="2"/>
        <v>28.6</v>
      </c>
      <c r="N12">
        <f t="shared" si="3"/>
        <v>21.499999999999996</v>
      </c>
      <c r="O12">
        <f t="shared" ref="O12:O15" si="6">SUMPRODUCT($L$1:$N$1,L12:N12)</f>
        <v>32.9</v>
      </c>
      <c r="P12">
        <f t="shared" si="5"/>
        <v>42.900000000000006</v>
      </c>
      <c r="Q12">
        <f>VLOOKUP(A12,CAD!$A$3:$J$15, 10, FALSE)</f>
        <v>35.699999999999996</v>
      </c>
      <c r="S12">
        <f t="shared" ref="S12:S15" si="7">SUMPRODUCT($O$1:$Q$1,O12:Q12)</f>
        <v>36.46</v>
      </c>
      <c r="U12" cm="1">
        <f t="array" ref="U12">_xlfn.PERCENTRANK.EXC(_xlfn._xlws.FILTER(S$3:S$15, ISNUMBER(S$3:S$15)),S12)*100</f>
        <v>28.499999999999996</v>
      </c>
    </row>
    <row r="13" spans="1:21" s="183" customFormat="1" x14ac:dyDescent="0.35">
      <c r="A13" s="183" t="s">
        <v>867</v>
      </c>
      <c r="B13" s="183" t="s">
        <v>880</v>
      </c>
      <c r="C13" s="183" t="str" cm="1">
        <f t="array" ref="C13">_xll.FDSB(B13,"FG_COMPANY_NAME")</f>
        <v>Netherlands Antilles Guilder per U.S. Dollar</v>
      </c>
      <c r="D13" s="183" cm="1">
        <f t="array" ref="D13">_xll.FDSB(B13,"FG_PRICE(0)")</f>
        <v>1.79</v>
      </c>
      <c r="E13" s="183" cm="1">
        <f t="array" ref="E13">_xll.FDSB(B13,"FG_PRICE_CHANGE(0,-1AY)")</f>
        <v>0</v>
      </c>
      <c r="F13" s="183" cm="1">
        <f t="array" ref="F13">_xll.FDSB(B13,"FG_PRICE_CHANGE(0,-1AM)")</f>
        <v>0</v>
      </c>
      <c r="G13" s="183" cm="1">
        <f t="array" ref="G13">_xll.FDSB(B13,"FG_PRICE_CHANGE(0,-3AM)")</f>
        <v>0</v>
      </c>
      <c r="H13" s="183" cm="1">
        <f t="array" ref="H13">_xll.FDSB(B13,"FG_PRICE_CHANGE(0,-6AM)")</f>
        <v>0</v>
      </c>
      <c r="I13" s="183" cm="1">
        <f t="array" ref="I13">_xll.FDS(B13,"STD(FG_PRICE_CHANGE(0,-1AY,AM))")</f>
        <v>2.1880900858870001E-2</v>
      </c>
      <c r="J13" s="183" cm="1">
        <f t="array" ref="J13">_xll.FDS(B13,"STD(FG_PRICE_CHANGE(0,-3AY,M))")*SQRT(12)</f>
        <v>0.2059757180491337</v>
      </c>
      <c r="L13" s="183">
        <f t="shared" si="1"/>
        <v>92.9</v>
      </c>
      <c r="M13" s="183">
        <f t="shared" si="2"/>
        <v>85.8</v>
      </c>
      <c r="N13" s="183">
        <f t="shared" si="3"/>
        <v>50</v>
      </c>
      <c r="O13" s="183">
        <f t="shared" si="6"/>
        <v>72.900000000000006</v>
      </c>
      <c r="P13" s="183">
        <f t="shared" si="5"/>
        <v>78.599999999999994</v>
      </c>
      <c r="Q13" s="183">
        <f>VLOOKUP(A13,CAD!$A$3:$J$15, 10, FALSE)</f>
        <v>92.800000000000011</v>
      </c>
      <c r="S13" s="183">
        <f t="shared" si="7"/>
        <v>78.59</v>
      </c>
      <c r="U13" s="183" cm="1">
        <f t="array" ref="U13">_xlfn.PERCENTRANK.EXC(_xlfn._xlws.FILTER(S$3:S$15, ISNUMBER(S$3:S$15)),S13)*100</f>
        <v>92.800000000000011</v>
      </c>
    </row>
    <row r="14" spans="1:21" x14ac:dyDescent="0.35">
      <c r="A14" t="s">
        <v>864</v>
      </c>
      <c r="B14" t="s">
        <v>881</v>
      </c>
      <c r="C14" t="str" cm="1">
        <f t="array" ref="C14">_xll.FDSB(B14,"FG_COMPANY_NAME")</f>
        <v>Swedish Krona per U.S. Dollar</v>
      </c>
      <c r="D14" cm="1">
        <f t="array" ref="D14">_xll.FDSB(B14,"FG_PRICE(0)")</f>
        <v>10.856999999999999</v>
      </c>
      <c r="E14" cm="1">
        <f t="array" ref="E14">_xll.FDSB(B14,"FG_PRICE_CHANGE(0,-1AY)")</f>
        <v>6.4375280000000004</v>
      </c>
      <c r="F14" cm="1">
        <f t="array" ref="F14">_xll.FDSB(B14,"FG_PRICE_CHANGE(0,-1AM)")</f>
        <v>2.7993679999999999</v>
      </c>
      <c r="G14" cm="1">
        <f t="array" ref="G14">_xll.FDSB(B14,"FG_PRICE_CHANGE(0,-3AM)")</f>
        <v>3.8013697</v>
      </c>
      <c r="H14" cm="1">
        <f t="array" ref="H14">_xll.FDSB(B14,"FG_PRICE_CHANGE(0,-6AM)")</f>
        <v>0.13835430000000001</v>
      </c>
      <c r="I14" cm="1">
        <f t="array" ref="I14">_xll.FDS(B14,"STD(FG_PRICE_CHANGE(0,-1AY,AM))")</f>
        <v>3.0057069677961099</v>
      </c>
      <c r="J14" cm="1">
        <f t="array" ref="J14">_xll.FDS(B14,"STD(FG_PRICE_CHANGE(0,-3AY,M))")*SQRT(12)</f>
        <v>10.098055290056976</v>
      </c>
      <c r="L14">
        <f t="shared" si="1"/>
        <v>7.1999999999999957</v>
      </c>
      <c r="M14">
        <f t="shared" si="2"/>
        <v>14.3</v>
      </c>
      <c r="N14">
        <f t="shared" si="3"/>
        <v>28.6</v>
      </c>
      <c r="O14">
        <f t="shared" si="6"/>
        <v>18.600000000000001</v>
      </c>
      <c r="P14">
        <f t="shared" si="5"/>
        <v>28.600000000000009</v>
      </c>
      <c r="Q14">
        <f>VLOOKUP(A14,CAD!$A$3:$J$15, 10, FALSE)</f>
        <v>71.399999999999991</v>
      </c>
      <c r="S14">
        <f t="shared" si="7"/>
        <v>32.160000000000004</v>
      </c>
      <c r="U14" cm="1">
        <f t="array" ref="U14">_xlfn.PERCENTRANK.EXC(_xlfn._xlws.FILTER(S$3:S$15, ISNUMBER(S$3:S$15)),S14)*100</f>
        <v>21.4</v>
      </c>
    </row>
    <row r="15" spans="1:21" x14ac:dyDescent="0.35">
      <c r="A15" t="s">
        <v>866</v>
      </c>
      <c r="B15" t="s">
        <v>882</v>
      </c>
      <c r="C15" t="str" cm="1">
        <f t="array" ref="C15">_xll.FDSB(B15,"FG_COMPANY_NAME")</f>
        <v>Italian Lira per U.S. Dollar</v>
      </c>
      <c r="D15" cm="1">
        <f t="array" ref="D15">_xll.FDSB(B15,"FG_PRICE(0)")</f>
        <v>1796.7521999999999</v>
      </c>
      <c r="E15" cm="1">
        <f t="array" ref="E15">_xll.FDSB(B15,"FG_PRICE_CHANGE(0,-1AY)")</f>
        <v>1.6610265</v>
      </c>
      <c r="F15" cm="1">
        <f t="array" ref="F15">_xll.FDSB(B15,"FG_PRICE_CHANGE(0,-1AM)")</f>
        <v>0.75163840000000004</v>
      </c>
      <c r="G15" cm="1">
        <f t="array" ref="G15">_xll.FDSB(B15,"FG_PRICE_CHANGE(0,-3AM)")</f>
        <v>9.2792509999999995E-2</v>
      </c>
      <c r="H15" cm="1">
        <f t="array" ref="H15">_xll.FDSB(B15,"FG_PRICE_CHANGE(0,-6AM)")</f>
        <v>-0.56604147000000005</v>
      </c>
      <c r="I15" cm="1">
        <f t="array" ref="I15">_xll.FDS(B15,"STD(FG_PRICE_CHANGE(0,-1AY,AM))")</f>
        <v>1.4563676743265099</v>
      </c>
      <c r="J15" cm="1">
        <f t="array" ref="J15">_xll.FDS(B15,"STD(FG_PRICE_CHANGE(0,-3AY,M))")*SQRT(12)</f>
        <v>7.5501075443677417</v>
      </c>
      <c r="L15">
        <f t="shared" si="1"/>
        <v>35.799999999999997</v>
      </c>
      <c r="M15">
        <f t="shared" si="2"/>
        <v>64.3</v>
      </c>
      <c r="N15">
        <f t="shared" si="3"/>
        <v>71.500000000000014</v>
      </c>
      <c r="O15">
        <f t="shared" si="6"/>
        <v>61.480000000000004</v>
      </c>
      <c r="P15">
        <f t="shared" si="5"/>
        <v>64.300000000000011</v>
      </c>
      <c r="Q15">
        <f>VLOOKUP(A15,CAD!$A$3:$J$15, 10, FALSE)</f>
        <v>57.099999999999994</v>
      </c>
      <c r="S15">
        <f t="shared" si="7"/>
        <v>61.45</v>
      </c>
      <c r="U15" cm="1">
        <f t="array" ref="U15">_xlfn.PERCENTRANK.EXC(_xlfn._xlws.FILTER(S$3:S$15, ISNUMBER(S$3:S$15)),S15)*100</f>
        <v>64.2</v>
      </c>
    </row>
    <row r="24" spans="10:10" x14ac:dyDescent="0.35">
      <c r="J24" s="53"/>
    </row>
    <row r="26" spans="10:10" x14ac:dyDescent="0.35">
      <c r="J26" s="67"/>
    </row>
    <row r="28" spans="10:10" x14ac:dyDescent="0.35">
      <c r="J28" s="6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15"/>
  <sheetViews>
    <sheetView topLeftCell="C1" zoomScale="145" zoomScaleNormal="145" workbookViewId="0">
      <selection activeCell="J8" sqref="J8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481</v>
      </c>
      <c r="G1" t="s">
        <v>482</v>
      </c>
      <c r="H1" t="s">
        <v>483</v>
      </c>
      <c r="J1" t="s">
        <v>492</v>
      </c>
    </row>
    <row r="2" spans="1:10" x14ac:dyDescent="0.35">
      <c r="C2" t="s">
        <v>484</v>
      </c>
      <c r="D2" t="s">
        <v>152</v>
      </c>
      <c r="E2" t="s">
        <v>485</v>
      </c>
      <c r="F2" t="s">
        <v>486</v>
      </c>
      <c r="G2" t="s">
        <v>479</v>
      </c>
      <c r="H2" t="s">
        <v>480</v>
      </c>
    </row>
    <row r="3" spans="1:10" x14ac:dyDescent="0.35">
      <c r="A3" t="s">
        <v>431</v>
      </c>
      <c r="B3" t="s">
        <v>469</v>
      </c>
      <c r="C3" t="str" cm="1">
        <f t="array" ref="C3">_xll.FDS($E3,"FG_COMPANY_NAME")</f>
        <v>New Zealand</v>
      </c>
      <c r="D3" t="s">
        <v>197</v>
      </c>
      <c r="E3" t="s">
        <v>198</v>
      </c>
      <c r="F3" t="str">
        <f t="shared" ref="F3:F15" si="0">_xlfn.CONCAT($F$1,D3)</f>
        <v>CAGDPY@NZ</v>
      </c>
      <c r="G3" cm="1">
        <f t="array" ref="G3">IFERROR(_xll.FDS($F3,"EE_ACTUAL_ANNUAL(MED,0)"),0)</f>
        <v>-6.9</v>
      </c>
      <c r="H3" cm="1">
        <f t="array" ref="H3">IFERROR(_xll.FDS($F3,"EE_ACTUAL_ANNUAL(MED,+1)"),0)</f>
        <v>-6.05</v>
      </c>
      <c r="J3" cm="1">
        <f t="array" ref="J3">_xlfn.PERCENTRANK.EXC(_xlfn._xlws.FILTER(H$3:H$15, ISNUMBER(H$3:H$15)),H3)*100</f>
        <v>7.1</v>
      </c>
    </row>
    <row r="4" spans="1:10" x14ac:dyDescent="0.35">
      <c r="A4" t="s">
        <v>44</v>
      </c>
      <c r="B4" t="s">
        <v>466</v>
      </c>
      <c r="C4" t="str" cm="1">
        <f t="array" ref="C4">_xll.FDS($E4,"FG_COMPANY_NAME")</f>
        <v>Australia</v>
      </c>
      <c r="D4" t="s">
        <v>113</v>
      </c>
      <c r="E4" t="s">
        <v>174</v>
      </c>
      <c r="F4" t="str">
        <f t="shared" si="0"/>
        <v>CAGDPY@AU</v>
      </c>
      <c r="G4" cm="1">
        <f t="array" ref="G4">IFERROR(_xll.FDS($F4,"EE_ACTUAL_ANNUAL(MED,0)"),0)</f>
        <v>1.2187158046039499</v>
      </c>
      <c r="H4" cm="1">
        <f t="array" ref="H4">IFERROR(_xll.FDS($F4,"EE_ACTUAL_ANNUAL(MED,+1)"),0)</f>
        <v>0.5</v>
      </c>
      <c r="J4" cm="1">
        <f t="array" ref="J4">_xlfn.PERCENTRANK.EXC(_xlfn._xlws.FILTER(H$3:H$15, ISNUMBER(H$3:H$15)),H4)*100</f>
        <v>50</v>
      </c>
    </row>
    <row r="5" spans="1:10" x14ac:dyDescent="0.35">
      <c r="A5" t="s">
        <v>49</v>
      </c>
      <c r="B5" t="s">
        <v>467</v>
      </c>
      <c r="C5" t="str" cm="1">
        <f t="array" ref="C5">_xll.FDS($E5,"FG_COMPANY_NAME")</f>
        <v>Canada</v>
      </c>
      <c r="D5" t="s">
        <v>116</v>
      </c>
      <c r="E5" t="s">
        <v>157</v>
      </c>
      <c r="F5" t="str">
        <f t="shared" si="0"/>
        <v>CAGDPY@CA</v>
      </c>
      <c r="G5" cm="1">
        <f t="array" ref="G5">IFERROR(_xll.FDS($F5,"EE_ACTUAL_ANNUAL(MED,0)"),0)</f>
        <v>-0.61472799523697397</v>
      </c>
      <c r="H5" cm="1">
        <f t="array" ref="H5">IFERROR(_xll.FDS($F5,"EE_ACTUAL_ANNUAL(MED,+1)"),0)</f>
        <v>-0.8</v>
      </c>
      <c r="J5" cm="1">
        <f t="array" ref="J5">_xlfn.PERCENTRANK.EXC(_xlfn._xlws.FILTER(H$3:H$15, ISNUMBER(H$3:H$15)),H5)*100</f>
        <v>35.699999999999996</v>
      </c>
    </row>
    <row r="6" spans="1:10" x14ac:dyDescent="0.35">
      <c r="A6" t="s">
        <v>11</v>
      </c>
      <c r="B6" t="s">
        <v>464</v>
      </c>
      <c r="C6" t="str" cm="1">
        <f t="array" ref="C6">_xll.FDS($E6,"FG_COMPANY_NAME")</f>
        <v>Germany</v>
      </c>
      <c r="D6" t="s">
        <v>102</v>
      </c>
      <c r="E6" t="s">
        <v>555</v>
      </c>
      <c r="F6" t="str">
        <f t="shared" si="0"/>
        <v>CAGDPY@DE</v>
      </c>
      <c r="G6" cm="1">
        <f t="array" ref="G6">IFERROR(_xll.FDS($F6,"EE_ACTUAL_ANNUAL(MED,0)"),0)</f>
        <v>6.1165088543724098</v>
      </c>
      <c r="H6" cm="1">
        <f t="array" ref="H6">IFERROR(_xll.FDS($F6,"EE_ACTUAL_ANNUAL(MED,+1)"),0)</f>
        <v>6.5</v>
      </c>
      <c r="J6" cm="1">
        <f t="array" ref="J6">_xlfn.PERCENTRANK.EXC(_xlfn._xlws.FILTER(H$3:H$15, ISNUMBER(H$3:H$15)),H6)*100</f>
        <v>78.5</v>
      </c>
    </row>
    <row r="7" spans="1:10" x14ac:dyDescent="0.35">
      <c r="A7" t="s">
        <v>46</v>
      </c>
      <c r="B7" t="s">
        <v>465</v>
      </c>
      <c r="C7" t="str" cm="1">
        <f t="array" ref="C7">_xll.FDS($E7,"FG_COMPANY_NAME")</f>
        <v>Japan</v>
      </c>
      <c r="D7" t="s">
        <v>114</v>
      </c>
      <c r="E7" t="s">
        <v>164</v>
      </c>
      <c r="F7" t="str">
        <f t="shared" si="0"/>
        <v>CAGDPY@JP</v>
      </c>
      <c r="G7" cm="1">
        <f t="array" ref="G7">IFERROR(_xll.FDS($F7,"EE_ACTUAL_ANNUAL(MED,0)"),0)</f>
        <v>3.6117641850671198</v>
      </c>
      <c r="H7" cm="1">
        <f t="array" ref="H7">IFERROR(_xll.FDS($F7,"EE_ACTUAL_ANNUAL(MED,+1)"),0)</f>
        <v>3.5</v>
      </c>
      <c r="J7" cm="1">
        <f t="array" ref="J7">_xlfn.PERCENTRANK.EXC(_xlfn._xlws.FILTER(H$3:H$15, ISNUMBER(H$3:H$15)),H7)*100</f>
        <v>64.2</v>
      </c>
    </row>
    <row r="8" spans="1:10" x14ac:dyDescent="0.35">
      <c r="A8" t="s">
        <v>42</v>
      </c>
      <c r="B8" t="s">
        <v>470</v>
      </c>
      <c r="C8" t="str" cm="1">
        <f t="array" ref="C8">_xll.FDS($E8,"FG_COMPANY_NAME")</f>
        <v>Switzerland</v>
      </c>
      <c r="D8" t="s">
        <v>110</v>
      </c>
      <c r="E8" t="s">
        <v>276</v>
      </c>
      <c r="F8" t="str">
        <f t="shared" si="0"/>
        <v>CAGDPY@CH</v>
      </c>
      <c r="G8" cm="1">
        <f t="array" ref="G8">IFERROR(_xll.FDS($F8,"EE_ACTUAL_ANNUAL(MED,0)"),0)</f>
        <v>7.6415194131226398</v>
      </c>
      <c r="H8" cm="1">
        <f t="array" ref="H8">IFERROR(_xll.FDS($F8,"EE_ACTUAL_ANNUAL(MED,+1)"),0)</f>
        <v>8.1999999999999993</v>
      </c>
      <c r="J8" cm="1">
        <f t="array" ref="J8">_xlfn.PERCENTRANK.EXC(_xlfn._xlws.FILTER(H$3:H$15, ISNUMBER(H$3:H$15)),H8)*100</f>
        <v>85.7</v>
      </c>
    </row>
    <row r="9" spans="1:10" x14ac:dyDescent="0.35">
      <c r="A9" t="s">
        <v>48</v>
      </c>
      <c r="B9" t="s">
        <v>468</v>
      </c>
      <c r="C9" t="str" cm="1">
        <f t="array" ref="C9">_xll.FDS($E9,"FG_COMPANY_NAME")</f>
        <v>United Kingdom</v>
      </c>
      <c r="D9" t="s">
        <v>115</v>
      </c>
      <c r="E9" t="s">
        <v>167</v>
      </c>
      <c r="F9" t="str">
        <f t="shared" si="0"/>
        <v>CAGDPY@GB</v>
      </c>
      <c r="G9" cm="1">
        <f t="array" ref="G9">IFERROR(_xll.FDS($F9,"EE_ACTUAL_ANNUAL(MED,0)"),0)</f>
        <v>-3.3</v>
      </c>
      <c r="H9" cm="1">
        <f t="array" ref="H9">IFERROR(_xll.FDS($F9,"EE_ACTUAL_ANNUAL(MED,+1)"),0)</f>
        <v>-2.9</v>
      </c>
      <c r="J9" cm="1">
        <f t="array" ref="J9">_xlfn.PERCENTRANK.EXC(_xlfn._xlws.FILTER(H$3:H$15, ISNUMBER(H$3:H$15)),H9)*100</f>
        <v>28.499999999999996</v>
      </c>
    </row>
    <row r="10" spans="1:10" x14ac:dyDescent="0.35">
      <c r="A10" t="s">
        <v>51</v>
      </c>
      <c r="B10" t="s">
        <v>554</v>
      </c>
      <c r="C10" t="str" cm="1">
        <f t="array" ref="C10">_xll.FDS($E10,"FG_COMPANY_NAME")</f>
        <v>United States</v>
      </c>
      <c r="D10" t="s">
        <v>119</v>
      </c>
      <c r="E10" t="s">
        <v>170</v>
      </c>
      <c r="F10" t="str">
        <f>_xlfn.CONCAT($F$1,D10)</f>
        <v>CAGDPY@US</v>
      </c>
      <c r="G10" cm="1">
        <f t="array" ref="G10">IFERROR(_xll.FDS($F10,"EE_ACTUAL_ANNUAL(MED,0)"),0)</f>
        <v>-2.9956167375174898</v>
      </c>
      <c r="H10" cm="1">
        <f t="array" ref="H10">IFERROR(_xll.FDS($F10,"EE_ACTUAL_ANNUAL(MED,+1)"),0)</f>
        <v>-3</v>
      </c>
      <c r="J10" cm="1">
        <f t="array" ref="J10">_xlfn.PERCENTRANK.EXC(_xlfn._xlws.FILTER(H$3:H$15, ISNUMBER(H$3:H$15)),H10)*100</f>
        <v>14.2</v>
      </c>
    </row>
    <row r="11" spans="1:10" x14ac:dyDescent="0.35">
      <c r="A11" t="s">
        <v>1</v>
      </c>
      <c r="B11" t="s">
        <v>554</v>
      </c>
      <c r="C11" t="str" cm="1">
        <f t="array" ref="C11">_xll.FDS($E11,"FG_COMPANY_NAME")</f>
        <v>United States</v>
      </c>
      <c r="D11" t="s">
        <v>119</v>
      </c>
      <c r="E11" t="s">
        <v>170</v>
      </c>
      <c r="F11" t="str">
        <f t="shared" si="0"/>
        <v>CAGDPY@US</v>
      </c>
      <c r="G11" cm="1">
        <f t="array" ref="G11">IFERROR(_xll.FDS($F11,"EE_ACTUAL_ANNUAL(MED,0)"),0)</f>
        <v>-2.9956167375174898</v>
      </c>
      <c r="H11" cm="1">
        <f t="array" ref="H11">IFERROR(_xll.FDS($F11,"EE_ACTUAL_ANNUAL(MED,+1)"),0)</f>
        <v>-3</v>
      </c>
      <c r="J11" cm="1">
        <f t="array" ref="J11">_xlfn.PERCENTRANK.EXC(_xlfn._xlws.FILTER(H$3:H$15, ISNUMBER(H$3:H$15)),H11)*100</f>
        <v>14.2</v>
      </c>
    </row>
    <row r="12" spans="1:10" x14ac:dyDescent="0.35">
      <c r="A12" t="s">
        <v>865</v>
      </c>
      <c r="B12" t="s">
        <v>470</v>
      </c>
      <c r="C12" t="s">
        <v>621</v>
      </c>
      <c r="D12" t="s">
        <v>106</v>
      </c>
      <c r="E12" t="s">
        <v>869</v>
      </c>
      <c r="F12" t="str">
        <f t="shared" si="0"/>
        <v>CAGDPY@FR</v>
      </c>
      <c r="G12" cm="1">
        <f t="array" ref="G12">IFERROR(_xll.FDS($F12,"EE_ACTUAL_ANNUAL(MED,0)"),0)</f>
        <v>-0.76356065982077004</v>
      </c>
      <c r="H12" cm="1">
        <f t="array" ref="H12">IFERROR(_xll.FDS($F12,"EE_ACTUAL_ANNUAL(MED,+1)"),0)</f>
        <v>-0.8</v>
      </c>
      <c r="J12" cm="1">
        <f t="array" ref="J12">_xlfn.PERCENTRANK.EXC(_xlfn._xlws.FILTER(H$3:H$15, ISNUMBER(H$3:H$15)),H12)*100</f>
        <v>35.699999999999996</v>
      </c>
    </row>
    <row r="13" spans="1:10" x14ac:dyDescent="0.35">
      <c r="A13" t="s">
        <v>867</v>
      </c>
      <c r="B13" t="s">
        <v>880</v>
      </c>
      <c r="C13" t="s">
        <v>673</v>
      </c>
      <c r="D13" t="s">
        <v>875</v>
      </c>
      <c r="E13" t="s">
        <v>870</v>
      </c>
      <c r="F13" t="str">
        <f t="shared" si="0"/>
        <v>CAGDPY@NL</v>
      </c>
      <c r="G13" cm="1">
        <f t="array" ref="G13">IFERROR(_xll.FDS($F13,"EE_ACTUAL_ANNUAL(MED,0)"),0)</f>
        <v>10.089201955042499</v>
      </c>
      <c r="H13" cm="1">
        <f t="array" ref="H13">IFERROR(_xll.FDS($F13,"EE_ACTUAL_ANNUAL(MED,+1)"),0)</f>
        <v>8.35</v>
      </c>
      <c r="J13" cm="1">
        <f t="array" ref="J13">_xlfn.PERCENTRANK.EXC(_xlfn._xlws.FILTER(H$3:H$15, ISNUMBER(H$3:H$15)),H13)*100</f>
        <v>92.800000000000011</v>
      </c>
    </row>
    <row r="14" spans="1:10" x14ac:dyDescent="0.35">
      <c r="A14" t="s">
        <v>864</v>
      </c>
      <c r="B14" t="s">
        <v>881</v>
      </c>
      <c r="C14" t="s">
        <v>705</v>
      </c>
      <c r="D14" t="s">
        <v>272</v>
      </c>
      <c r="E14" t="s">
        <v>273</v>
      </c>
      <c r="F14" t="str">
        <f t="shared" si="0"/>
        <v>CAGDPY@SE</v>
      </c>
      <c r="G14" cm="1">
        <f t="array" ref="G14">IFERROR(_xll.FDS($F14,"EE_ACTUAL_ANNUAL(MED,0)"),0)</f>
        <v>6.7690540119922504</v>
      </c>
      <c r="H14" cm="1">
        <f t="array" ref="H14">IFERROR(_xll.FDS($F14,"EE_ACTUAL_ANNUAL(MED,+1)"),0)</f>
        <v>5.4</v>
      </c>
      <c r="J14" cm="1">
        <f t="array" ref="J14">_xlfn.PERCENTRANK.EXC(_xlfn._xlws.FILTER(H$3:H$15, ISNUMBER(H$3:H$15)),H14)*100</f>
        <v>71.399999999999991</v>
      </c>
    </row>
    <row r="15" spans="1:10" x14ac:dyDescent="0.35">
      <c r="A15" t="s">
        <v>866</v>
      </c>
      <c r="B15" t="s">
        <v>882</v>
      </c>
      <c r="C15" t="s">
        <v>641</v>
      </c>
      <c r="D15" t="s">
        <v>876</v>
      </c>
      <c r="E15" t="s">
        <v>868</v>
      </c>
      <c r="F15" t="str">
        <f t="shared" si="0"/>
        <v>CAGDPY@IT</v>
      </c>
      <c r="G15" cm="1">
        <f t="array" ref="G15">IFERROR(_xll.FDS($F15,"EE_ACTUAL_ANNUAL(MED,0)"),0)</f>
        <v>0.50820583631101501</v>
      </c>
      <c r="H15" cm="1">
        <f t="array" ref="H15">IFERROR(_xll.FDS($F15,"EE_ACTUAL_ANNUAL(MED,+1)"),0)</f>
        <v>0.95</v>
      </c>
      <c r="J15" cm="1">
        <f t="array" ref="J15">_xlfn.PERCENTRANK.EXC(_xlfn._xlws.FILTER(H$3:H$15, ISNUMBER(H$3:H$15)),H15)*100</f>
        <v>57.099999999999994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topLeftCell="Y1" workbookViewId="0">
      <selection activeCell="AP4" sqref="AP4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 t="e">
        <v>#N/A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 t="e">
        <v>#N/A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 t="e">
        <v>#N/A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9.1794989999999999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 t="e">
        <v>#N/A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 t="e">
        <v>#N/A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 t="e">
        <v>#N/A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 t="e">
        <v>#N/A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394</v>
      </c>
      <c r="B17">
        <f>MEDIAN(_xlfn.ANCHORARRAY(B4))</f>
        <v>9.2785794999999993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496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 t="e">
        <f t="shared" si="2"/>
        <v>#N/A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Q25"/>
  <sheetViews>
    <sheetView workbookViewId="0">
      <selection activeCell="K1" sqref="K1:N1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ht="25.5" customHeight="1" x14ac:dyDescent="0.35">
      <c r="A2" s="2" cm="1">
        <f t="array" ref="A2:A21">_xll.FDS(C1,"JULIAN(FMA_ROE(NTMA,-20AY,NOW,FY,""PORTAGG"",""MEANR"").dates)")</f>
        <v>38352</v>
      </c>
      <c r="B2" t="str" cm="1">
        <f t="array" ref="B2:B21">_xll.FDSB(B1,"FMA_ROE(NTMA,-20AY,NOW,FY,""PORTAGG"",""MEANR"")")</f>
        <v/>
      </c>
      <c r="C2" cm="1">
        <f t="array" ref="C2:C21">_xll.FDSB(C1,"FMA_ROE(NTMA,-20AY,NOW,FY,""PORTAGG"",""MEANR"")")</f>
        <v>15.4970825561621</v>
      </c>
      <c r="D2" cm="1">
        <f t="array" ref="D2:D21">_xll.FDSB(D1,"FMA_ROE(NTMA,-20AY,NOW,FY,""PORTAGG"",""MEANR"")")</f>
        <v>14.6738571923606</v>
      </c>
      <c r="E2" cm="1">
        <f t="array" ref="E2:E21">_xll.FDSB(E1,"FMA_ROE(NTMA,-20AY,NOW,FY,""PORTAGG"",""MEANR"")")</f>
        <v>11.827555059993299</v>
      </c>
      <c r="F2" cm="1">
        <f t="array" ref="F2:F21">_xll.FDSB(F1,"FMA_ROE(NTMA,-20AY,NOW,FY,""PORTAGG"",""MEANR"")")</f>
        <v>9.4722639547096605</v>
      </c>
      <c r="G2" cm="1">
        <f t="array" ref="G2:G21">_xll.FDSB(G1,"FMA_ROE(NTMA,-20AY,NOW,FY,""PORTAGG"",""MEANR"")")</f>
        <v>15.9587717941353</v>
      </c>
      <c r="H2" cm="1">
        <f t="array" ref="H2:H21">_xll.FDSB(H1,"FMA_ROE(NTMA,-20AY,NOW,FY,""PORTAGG"",""MEANR"")")</f>
        <v>17.001374333558701</v>
      </c>
      <c r="I2" cm="1">
        <f t="array" ref="I2:I21">_xll.FDSB(I1,"FMA_ROE(NTMA,-20AY,NOW,FY,""PORTAGG"",""MEANR"")")</f>
        <v>14.817843581598</v>
      </c>
      <c r="J2" cm="1">
        <f t="array" ref="J2:J21">_xll.FDSB(J1,"FMA_ROE(NTMA,-20AY,NOW,FY,""PORTAGG"",""MEANR"")")</f>
        <v>15.586179020045901</v>
      </c>
      <c r="K2" cm="1">
        <f t="array" ref="K2:K21">_xll.FDSB(K1,"FMA_ROE(NTMA,-20AY,NOW,FY,""PORTAGG"",""MEANR"")")</f>
        <v>15.378510988127299</v>
      </c>
      <c r="L2" cm="1">
        <f t="array" ref="L2:L21">_xll.FDSB(L1,"FMA_ROE(NTMA,-20AY,NOW,FY,""PORTAGG"",""MEANR"")")</f>
        <v>20.502702273176801</v>
      </c>
      <c r="M2" cm="1">
        <f t="array" ref="M2:M21">_xll.FDSB(M1,"FMA_ROE(NTMA,-20AY,NOW,FY,""PORTAGG"",""MEANR"")")</f>
        <v>16.226109086479301</v>
      </c>
      <c r="N2" cm="1">
        <f t="array" ref="N2:N21">_xll.FDSB(N1,"FMA_ROE(NTMA,-20AY,NOW,FY,""PORTAGG"",""MEANR"")")</f>
        <v>12.7201174133668</v>
      </c>
    </row>
    <row r="3" spans="1:14" ht="25.5" customHeight="1" x14ac:dyDescent="0.35">
      <c r="A3" s="2">
        <v>38716</v>
      </c>
      <c r="B3" t="str">
        <v/>
      </c>
      <c r="C3">
        <v>16.532509518013999</v>
      </c>
      <c r="D3">
        <v>15.7709471724654</v>
      </c>
      <c r="E3">
        <v>12.5810872006639</v>
      </c>
      <c r="F3">
        <v>9.7108092859513899</v>
      </c>
      <c r="G3">
        <v>16.670944245646201</v>
      </c>
      <c r="H3">
        <v>17.4840740170497</v>
      </c>
      <c r="I3">
        <v>15.486694777592099</v>
      </c>
      <c r="J3">
        <v>16.732203856681899</v>
      </c>
      <c r="K3">
        <v>16.630213142081299</v>
      </c>
      <c r="L3">
        <v>18.438843283905701</v>
      </c>
      <c r="M3">
        <v>17.2247287220762</v>
      </c>
      <c r="N3">
        <v>14.3538872460945</v>
      </c>
    </row>
    <row r="4" spans="1:14" ht="25.5" customHeight="1" x14ac:dyDescent="0.35">
      <c r="A4" s="2">
        <v>39080</v>
      </c>
      <c r="B4" t="str">
        <v/>
      </c>
      <c r="C4">
        <v>17.019399648616702</v>
      </c>
      <c r="D4">
        <v>15.854713654361101</v>
      </c>
      <c r="E4">
        <v>13.372977849048</v>
      </c>
      <c r="F4">
        <v>9.9459490206900902</v>
      </c>
      <c r="G4">
        <v>17.319056104251299</v>
      </c>
      <c r="H4">
        <v>19.442574250405301</v>
      </c>
      <c r="I4">
        <v>16.833970499812899</v>
      </c>
      <c r="J4">
        <v>17.387356208818399</v>
      </c>
      <c r="K4">
        <v>15.408967362426599</v>
      </c>
      <c r="L4">
        <v>17.2963282197402</v>
      </c>
      <c r="M4">
        <v>18.210010684159698</v>
      </c>
      <c r="N4">
        <v>15.068908602684299</v>
      </c>
    </row>
    <row r="5" spans="1:14" ht="25.5" customHeight="1" x14ac:dyDescent="0.35">
      <c r="A5" s="2">
        <v>39447</v>
      </c>
      <c r="B5" t="str">
        <v/>
      </c>
      <c r="C5">
        <v>15.560991405865201</v>
      </c>
      <c r="D5">
        <v>16.5705490516163</v>
      </c>
      <c r="E5">
        <v>14.712722857709</v>
      </c>
      <c r="F5">
        <v>9.9106258464836792</v>
      </c>
      <c r="G5">
        <v>18.194046530628999</v>
      </c>
      <c r="H5">
        <v>18.922548163306399</v>
      </c>
      <c r="I5">
        <v>17.9560593685279</v>
      </c>
      <c r="J5">
        <v>17.7935626477889</v>
      </c>
      <c r="K5">
        <v>15.0205314626708</v>
      </c>
      <c r="L5">
        <v>16.622012430445402</v>
      </c>
      <c r="M5">
        <v>18.887175762553799</v>
      </c>
      <c r="N5">
        <v>13.812143044596301</v>
      </c>
    </row>
    <row r="6" spans="1:14" ht="25.5" customHeight="1" x14ac:dyDescent="0.35">
      <c r="A6" s="2">
        <v>39813</v>
      </c>
      <c r="B6" t="str">
        <v/>
      </c>
      <c r="C6">
        <v>13.5690116283254</v>
      </c>
      <c r="D6">
        <v>13.8099900139916</v>
      </c>
      <c r="E6">
        <v>11.5210886767193</v>
      </c>
      <c r="F6">
        <v>6.3264501132521804</v>
      </c>
      <c r="G6">
        <v>15.513687428345399</v>
      </c>
      <c r="H6">
        <v>14.973545163604699</v>
      </c>
      <c r="I6">
        <v>16.5654843697708</v>
      </c>
      <c r="J6">
        <v>13.938459770768899</v>
      </c>
      <c r="K6">
        <v>11.8797489821456</v>
      </c>
      <c r="L6">
        <v>13.982183103512799</v>
      </c>
      <c r="M6">
        <v>13.942889841066</v>
      </c>
      <c r="N6">
        <v>10.789750222635099</v>
      </c>
    </row>
    <row r="7" spans="1:14" ht="25.5" customHeight="1" x14ac:dyDescent="0.35">
      <c r="A7" s="2">
        <v>40178</v>
      </c>
      <c r="B7" t="str">
        <v/>
      </c>
      <c r="C7">
        <v>12.8492110125335</v>
      </c>
      <c r="D7">
        <v>11.8327104416904</v>
      </c>
      <c r="E7">
        <v>11.009433764833901</v>
      </c>
      <c r="F7">
        <v>5.7137456034125096</v>
      </c>
      <c r="G7">
        <v>17.2258858021045</v>
      </c>
      <c r="H7">
        <v>14.6457818658238</v>
      </c>
      <c r="I7">
        <v>17.596574126271399</v>
      </c>
      <c r="J7">
        <v>14.004346429543</v>
      </c>
      <c r="K7">
        <v>10.993409183456601</v>
      </c>
      <c r="L7">
        <v>13.3304023919735</v>
      </c>
      <c r="M7">
        <v>10.346174503291101</v>
      </c>
      <c r="N7">
        <v>8.0585564947070996</v>
      </c>
    </row>
    <row r="8" spans="1:14" ht="25.5" customHeight="1" x14ac:dyDescent="0.35">
      <c r="A8" s="2">
        <v>40543</v>
      </c>
      <c r="B8">
        <v>10.853226729587799</v>
      </c>
      <c r="C8">
        <v>14.2386354612725</v>
      </c>
      <c r="D8">
        <v>12.6984457284378</v>
      </c>
      <c r="E8">
        <v>13.0475804034897</v>
      </c>
      <c r="F8">
        <v>7.7760884645659401</v>
      </c>
      <c r="G8">
        <v>16.663378494351999</v>
      </c>
      <c r="H8">
        <v>16.154296497439798</v>
      </c>
      <c r="I8">
        <v>20.000374237164401</v>
      </c>
      <c r="J8">
        <v>15.039943345393599</v>
      </c>
      <c r="K8">
        <v>12.025937598748101</v>
      </c>
      <c r="L8">
        <v>14.659480994909201</v>
      </c>
      <c r="M8">
        <v>15.818215992178599</v>
      </c>
      <c r="N8">
        <v>8.8199042369870302</v>
      </c>
    </row>
    <row r="9" spans="1:14" ht="25.5" customHeight="1" x14ac:dyDescent="0.35">
      <c r="A9" s="2">
        <v>40907</v>
      </c>
      <c r="B9">
        <v>10.904873441364501</v>
      </c>
      <c r="C9">
        <v>14.168071267681</v>
      </c>
      <c r="D9">
        <v>13.509284892423301</v>
      </c>
      <c r="E9">
        <v>12.3546044213534</v>
      </c>
      <c r="F9">
        <v>7.2930951173439702</v>
      </c>
      <c r="G9">
        <v>15.1353221205521</v>
      </c>
      <c r="H9">
        <v>15.199607837615799</v>
      </c>
      <c r="I9">
        <v>20.959156893823899</v>
      </c>
      <c r="J9">
        <v>15.5262408812809</v>
      </c>
      <c r="K9">
        <v>10.817665506629901</v>
      </c>
      <c r="L9">
        <v>13.0989988533626</v>
      </c>
      <c r="M9">
        <v>15.7255547384444</v>
      </c>
      <c r="N9">
        <v>8.1166013658542493</v>
      </c>
    </row>
    <row r="10" spans="1:14" ht="25.5" customHeight="1" x14ac:dyDescent="0.35">
      <c r="A10" s="2">
        <v>41274</v>
      </c>
      <c r="B10">
        <v>11.45876758647</v>
      </c>
      <c r="C10">
        <v>12.692165288154101</v>
      </c>
      <c r="D10">
        <v>12.804929450575001</v>
      </c>
      <c r="E10">
        <v>12.103787649179401</v>
      </c>
      <c r="F10">
        <v>7.6046390639022201</v>
      </c>
      <c r="G10">
        <v>15.5882414428409</v>
      </c>
      <c r="H10">
        <v>14.4781479669762</v>
      </c>
      <c r="I10">
        <v>20.792196377515399</v>
      </c>
      <c r="J10">
        <v>15.3796547722071</v>
      </c>
      <c r="K10">
        <v>10.4079638226552</v>
      </c>
      <c r="L10">
        <v>12.002383507737299</v>
      </c>
      <c r="M10">
        <v>14.800794930168999</v>
      </c>
      <c r="N10">
        <v>7.8393954249384699</v>
      </c>
    </row>
    <row r="11" spans="1:14" ht="25.5" customHeight="1" x14ac:dyDescent="0.35">
      <c r="A11" s="2">
        <v>41639</v>
      </c>
      <c r="B11">
        <v>11.083258915241499</v>
      </c>
      <c r="C11">
        <v>13.1922555858139</v>
      </c>
      <c r="D11">
        <v>12.2925364029644</v>
      </c>
      <c r="E11">
        <v>12.1465108243325</v>
      </c>
      <c r="F11">
        <v>8.9088475830290008</v>
      </c>
      <c r="G11">
        <v>15.248395144965301</v>
      </c>
      <c r="H11">
        <v>13.364031588609899</v>
      </c>
      <c r="I11">
        <v>20.047298915306001</v>
      </c>
      <c r="J11">
        <v>15.870243784691599</v>
      </c>
      <c r="K11">
        <v>10.3975296667646</v>
      </c>
      <c r="L11">
        <v>12.148614557293399</v>
      </c>
      <c r="M11">
        <v>14.1943515647563</v>
      </c>
      <c r="N11">
        <v>7.3457599670942102</v>
      </c>
    </row>
    <row r="12" spans="1:14" ht="25.5" customHeight="1" x14ac:dyDescent="0.35">
      <c r="A12" s="2">
        <v>42004</v>
      </c>
      <c r="B12">
        <v>9.9451743168813902</v>
      </c>
      <c r="C12">
        <v>12.5644042089263</v>
      </c>
      <c r="D12">
        <v>11.8034021278505</v>
      </c>
      <c r="E12">
        <v>11.887358161661499</v>
      </c>
      <c r="F12">
        <v>9.0803886544970194</v>
      </c>
      <c r="G12">
        <v>14.502800920484599</v>
      </c>
      <c r="H12">
        <v>12.232650330571399</v>
      </c>
      <c r="I12">
        <v>22.0568276514703</v>
      </c>
      <c r="J12">
        <v>15.810673900759699</v>
      </c>
      <c r="K12">
        <v>9.8706002317655095</v>
      </c>
      <c r="L12">
        <v>12.219782956479699</v>
      </c>
      <c r="M12">
        <v>13.790896513923</v>
      </c>
      <c r="N12">
        <v>7.2987048712399796</v>
      </c>
    </row>
    <row r="13" spans="1:14" ht="25.5" customHeight="1" x14ac:dyDescent="0.35">
      <c r="A13" s="2">
        <v>42369</v>
      </c>
      <c r="B13">
        <v>9.9024265265903395</v>
      </c>
      <c r="C13">
        <v>10.732136523471301</v>
      </c>
      <c r="D13">
        <v>10.9923508764539</v>
      </c>
      <c r="E13">
        <v>12.028464941777401</v>
      </c>
      <c r="F13">
        <v>8.7788981831763504</v>
      </c>
      <c r="G13">
        <v>13.2798091113486</v>
      </c>
      <c r="H13">
        <v>11.1900784012713</v>
      </c>
      <c r="I13">
        <v>21.8504635786249</v>
      </c>
      <c r="J13">
        <v>15.858031312821501</v>
      </c>
      <c r="K13">
        <v>9.8254824560818506</v>
      </c>
      <c r="L13">
        <v>12.4442703427853</v>
      </c>
      <c r="M13">
        <v>13.0367586478869</v>
      </c>
      <c r="N13">
        <v>7.2893784265994803</v>
      </c>
    </row>
    <row r="14" spans="1:14" ht="25.5" customHeight="1" x14ac:dyDescent="0.35">
      <c r="A14" s="2">
        <v>42734</v>
      </c>
      <c r="B14">
        <v>9.7998658290307095</v>
      </c>
      <c r="C14">
        <v>11.5035211675747</v>
      </c>
      <c r="D14">
        <v>11.4792366602027</v>
      </c>
      <c r="E14">
        <v>11.8967042128795</v>
      </c>
      <c r="F14">
        <v>8.62096827520989</v>
      </c>
      <c r="G14">
        <v>13.3994953105419</v>
      </c>
      <c r="H14">
        <v>12.1967915012023</v>
      </c>
      <c r="I14">
        <v>21.114607645969102</v>
      </c>
      <c r="J14">
        <v>16.049912492851799</v>
      </c>
      <c r="K14">
        <v>9.8831539131807205</v>
      </c>
      <c r="L14">
        <v>11.8415876112609</v>
      </c>
      <c r="M14">
        <v>12.322553154201101</v>
      </c>
      <c r="N14">
        <v>7.6448050780743202</v>
      </c>
    </row>
    <row r="15" spans="1:14" ht="25.5" customHeight="1" x14ac:dyDescent="0.35">
      <c r="A15" s="2">
        <v>43098</v>
      </c>
      <c r="B15">
        <v>9.8479289685659399</v>
      </c>
      <c r="C15">
        <v>11.907299006987801</v>
      </c>
      <c r="D15">
        <v>11.3979128674428</v>
      </c>
      <c r="E15">
        <v>12.246920794364801</v>
      </c>
      <c r="F15">
        <v>9.2398651910043395</v>
      </c>
      <c r="G15">
        <v>13.9322208239423</v>
      </c>
      <c r="H15">
        <v>12.7329318595365</v>
      </c>
      <c r="I15">
        <v>22.078426350894102</v>
      </c>
      <c r="J15">
        <v>16.907948658911</v>
      </c>
      <c r="K15">
        <v>10.4363064842242</v>
      </c>
      <c r="L15">
        <v>13.007558022754999</v>
      </c>
      <c r="M15">
        <v>13.8549633296522</v>
      </c>
      <c r="N15">
        <v>9.0538496506424107</v>
      </c>
    </row>
    <row r="16" spans="1:14" ht="25.5" customHeight="1" x14ac:dyDescent="0.35">
      <c r="A16" s="2">
        <v>43465</v>
      </c>
      <c r="B16">
        <v>9.5217714261901296</v>
      </c>
      <c r="C16">
        <v>12.400931175281199</v>
      </c>
      <c r="D16">
        <v>12.499008182247699</v>
      </c>
      <c r="E16">
        <v>11.651015241557801</v>
      </c>
      <c r="F16">
        <v>9.4957067852596193</v>
      </c>
      <c r="G16">
        <v>14.645799683639201</v>
      </c>
      <c r="H16">
        <v>13.1887832891224</v>
      </c>
      <c r="I16">
        <v>26.490229336787198</v>
      </c>
      <c r="J16">
        <v>18.8923615036562</v>
      </c>
      <c r="K16">
        <v>11.328389580600501</v>
      </c>
      <c r="L16">
        <v>13.222867771113201</v>
      </c>
      <c r="M16">
        <v>13.3193557094803</v>
      </c>
      <c r="N16">
        <v>10.3909656073461</v>
      </c>
    </row>
    <row r="17" spans="1:17" ht="25.5" customHeight="1" x14ac:dyDescent="0.35">
      <c r="A17" s="2">
        <v>43830</v>
      </c>
      <c r="B17">
        <v>9.0038870875203099</v>
      </c>
      <c r="C17">
        <v>11.727245321809701</v>
      </c>
      <c r="D17">
        <v>11.978678386383701</v>
      </c>
      <c r="E17">
        <v>10.4475672102116</v>
      </c>
      <c r="F17">
        <v>8.3559627813131101</v>
      </c>
      <c r="G17">
        <v>14.538819869127099</v>
      </c>
      <c r="H17">
        <v>12.871054501249599</v>
      </c>
      <c r="I17">
        <v>25.011729152832</v>
      </c>
      <c r="J17">
        <v>18.292929264234399</v>
      </c>
      <c r="K17">
        <v>10.914009651363701</v>
      </c>
      <c r="L17">
        <v>13.091763606585999</v>
      </c>
      <c r="M17">
        <v>13.411796827237</v>
      </c>
      <c r="N17">
        <v>10.235305358457801</v>
      </c>
    </row>
    <row r="18" spans="1:17" ht="25.5" customHeight="1" x14ac:dyDescent="0.35">
      <c r="A18" s="2">
        <v>44196</v>
      </c>
      <c r="B18">
        <v>7.5322638919869096</v>
      </c>
      <c r="C18">
        <v>11.050859206460901</v>
      </c>
      <c r="D18">
        <v>11.192208682288101</v>
      </c>
      <c r="E18">
        <v>9.7147154363071309</v>
      </c>
      <c r="F18">
        <v>7.4385992870476203</v>
      </c>
      <c r="G18">
        <v>14.667779515581</v>
      </c>
      <c r="H18">
        <v>11.205060980823401</v>
      </c>
      <c r="I18">
        <v>24.534442850508999</v>
      </c>
      <c r="J18">
        <v>17.2298191446197</v>
      </c>
      <c r="K18">
        <v>8.9422344896343695</v>
      </c>
      <c r="L18">
        <v>9.7785656554204401</v>
      </c>
      <c r="M18">
        <v>11.907032686615199</v>
      </c>
      <c r="N18">
        <v>8.27578853786002</v>
      </c>
    </row>
    <row r="19" spans="1:17" ht="25.5" customHeight="1" x14ac:dyDescent="0.35">
      <c r="A19" s="2">
        <v>44561</v>
      </c>
      <c r="B19">
        <v>6.44400181202057</v>
      </c>
      <c r="C19">
        <v>12.8471719199911</v>
      </c>
      <c r="D19">
        <v>14.1061782856045</v>
      </c>
      <c r="E19">
        <v>12.199709394090799</v>
      </c>
      <c r="F19">
        <v>9.2207656765267707</v>
      </c>
      <c r="G19">
        <v>16.3837417700753</v>
      </c>
      <c r="H19">
        <v>13.922769947021701</v>
      </c>
      <c r="I19">
        <v>26.637202164256799</v>
      </c>
      <c r="J19">
        <v>20.6862902761839</v>
      </c>
      <c r="K19">
        <v>12.2539555438325</v>
      </c>
      <c r="L19">
        <v>10.899145950205799</v>
      </c>
      <c r="M19">
        <v>15.3602779627681</v>
      </c>
      <c r="N19">
        <v>11.7277999998841</v>
      </c>
    </row>
    <row r="20" spans="1:17" ht="25.5" customHeight="1" x14ac:dyDescent="0.35">
      <c r="A20" s="2">
        <v>44925</v>
      </c>
      <c r="B20">
        <v>7.7689690341126996</v>
      </c>
      <c r="C20">
        <v>14.6580605840091</v>
      </c>
      <c r="D20">
        <v>14.0029403106189</v>
      </c>
      <c r="E20">
        <v>11.818711551142201</v>
      </c>
      <c r="F20">
        <v>9.2254455739887096</v>
      </c>
      <c r="G20">
        <v>16.690651733527702</v>
      </c>
      <c r="H20">
        <v>15.858744412332101</v>
      </c>
      <c r="I20">
        <v>24.048321572288899</v>
      </c>
      <c r="J20">
        <v>20.5983105929019</v>
      </c>
      <c r="K20">
        <v>13.147634164467201</v>
      </c>
      <c r="L20">
        <v>12.015889172957699</v>
      </c>
      <c r="M20">
        <v>14.691294548400601</v>
      </c>
      <c r="N20">
        <v>13.320278986082799</v>
      </c>
    </row>
    <row r="21" spans="1:17" ht="25.5" customHeight="1" x14ac:dyDescent="0.35">
      <c r="A21" s="2">
        <v>45289</v>
      </c>
      <c r="B21">
        <v>6.5791075391831502</v>
      </c>
      <c r="C21">
        <v>13.226137995013501</v>
      </c>
      <c r="D21">
        <v>13.147116166704</v>
      </c>
      <c r="E21">
        <v>11.9387910002122</v>
      </c>
      <c r="F21">
        <v>9.2990104649465799</v>
      </c>
      <c r="G21">
        <v>19.299686812780902</v>
      </c>
      <c r="H21">
        <v>14.7207289002436</v>
      </c>
      <c r="I21">
        <v>25.319915596446201</v>
      </c>
      <c r="J21">
        <v>20.348689231368802</v>
      </c>
      <c r="K21">
        <v>13.2209624057671</v>
      </c>
      <c r="L21">
        <v>12.745985668805799</v>
      </c>
      <c r="M21">
        <v>15.409983039588701</v>
      </c>
      <c r="N21">
        <v>13.357216205566599</v>
      </c>
    </row>
    <row r="23" spans="1:17" x14ac:dyDescent="0.35">
      <c r="A23" t="s">
        <v>91</v>
      </c>
      <c r="B23" s="8">
        <f t="shared" ref="B23:N23" si="0">MIN(_xlfn.ANCHORARRAY(B2))</f>
        <v>6.44400181202057</v>
      </c>
      <c r="C23" s="8">
        <f t="shared" si="0"/>
        <v>10.732136523471301</v>
      </c>
      <c r="D23" s="8">
        <f t="shared" si="0"/>
        <v>10.9923508764539</v>
      </c>
      <c r="E23" s="8">
        <f t="shared" si="0"/>
        <v>9.7147154363071309</v>
      </c>
      <c r="F23" s="8">
        <f t="shared" si="0"/>
        <v>5.7137456034125096</v>
      </c>
      <c r="G23" s="8">
        <f t="shared" si="0"/>
        <v>13.2798091113486</v>
      </c>
      <c r="H23" s="8">
        <f t="shared" si="0"/>
        <v>11.1900784012713</v>
      </c>
      <c r="I23" s="8">
        <f t="shared" si="0"/>
        <v>14.817843581598</v>
      </c>
      <c r="J23" s="8">
        <f t="shared" si="0"/>
        <v>13.938459770768899</v>
      </c>
      <c r="K23" s="8">
        <f t="shared" si="0"/>
        <v>8.9422344896343695</v>
      </c>
      <c r="L23" s="8">
        <f t="shared" si="0"/>
        <v>9.7785656554204401</v>
      </c>
      <c r="M23" s="8">
        <f t="shared" si="0"/>
        <v>10.346174503291101</v>
      </c>
      <c r="N23" s="8">
        <f t="shared" si="0"/>
        <v>7.2893784265994803</v>
      </c>
      <c r="O23" s="8"/>
      <c r="P23" s="8"/>
      <c r="Q23" s="8"/>
    </row>
    <row r="24" spans="1:17" x14ac:dyDescent="0.35">
      <c r="A24" t="s">
        <v>394</v>
      </c>
      <c r="B24" s="8">
        <f t="shared" ref="B24:N24" si="1">MEDIAN(_xlfn.ANCHORARRAY(B2))</f>
        <v>9.8238973987983247</v>
      </c>
      <c r="C24" s="8">
        <f t="shared" si="1"/>
        <v>13.020733299173699</v>
      </c>
      <c r="D24" s="8">
        <f t="shared" si="1"/>
        <v>12.7516875895064</v>
      </c>
      <c r="E24" s="8">
        <f t="shared" si="1"/>
        <v>11.983627970994799</v>
      </c>
      <c r="F24" s="8">
        <f t="shared" si="1"/>
        <v>8.994618118763011</v>
      </c>
      <c r="G24" s="8">
        <f t="shared" si="1"/>
        <v>15.55096443559315</v>
      </c>
      <c r="H24" s="8">
        <f t="shared" si="1"/>
        <v>14.561964916400001</v>
      </c>
      <c r="I24" s="8">
        <f t="shared" si="1"/>
        <v>21.036882269896502</v>
      </c>
      <c r="J24" s="8">
        <f t="shared" si="1"/>
        <v>16.391058174766847</v>
      </c>
      <c r="K24" s="8">
        <f t="shared" si="1"/>
        <v>11.16089938202855</v>
      </c>
      <c r="L24" s="8">
        <f t="shared" si="1"/>
        <v>13.049660814670499</v>
      </c>
      <c r="M24" s="8">
        <f t="shared" si="1"/>
        <v>14.442823056578451</v>
      </c>
      <c r="N24" s="8">
        <f t="shared" si="1"/>
        <v>9.6445775045501065</v>
      </c>
      <c r="O24" s="8"/>
      <c r="P24" s="8"/>
      <c r="Q24" s="8"/>
    </row>
    <row r="25" spans="1:17" x14ac:dyDescent="0.35">
      <c r="A25" t="s">
        <v>496</v>
      </c>
      <c r="B25" s="8">
        <f t="shared" ref="B25:N25" si="2">B21</f>
        <v>6.5791075391831502</v>
      </c>
      <c r="C25" s="8">
        <f t="shared" si="2"/>
        <v>13.226137995013501</v>
      </c>
      <c r="D25" s="8">
        <f t="shared" si="2"/>
        <v>13.147116166704</v>
      </c>
      <c r="E25" s="8">
        <f t="shared" si="2"/>
        <v>11.9387910002122</v>
      </c>
      <c r="F25" s="8">
        <f t="shared" si="2"/>
        <v>9.2990104649465799</v>
      </c>
      <c r="G25" s="8">
        <f t="shared" si="2"/>
        <v>19.299686812780902</v>
      </c>
      <c r="H25" s="8">
        <f t="shared" si="2"/>
        <v>14.7207289002436</v>
      </c>
      <c r="I25" s="8">
        <f t="shared" si="2"/>
        <v>25.319915596446201</v>
      </c>
      <c r="J25" s="8">
        <f t="shared" si="2"/>
        <v>20.348689231368802</v>
      </c>
      <c r="K25" s="8">
        <f t="shared" si="2"/>
        <v>13.2209624057671</v>
      </c>
      <c r="L25" s="8">
        <f t="shared" si="2"/>
        <v>12.745985668805799</v>
      </c>
      <c r="M25" s="8">
        <f t="shared" si="2"/>
        <v>15.409983039588701</v>
      </c>
      <c r="N25" s="8">
        <f t="shared" si="2"/>
        <v>13.357216205566599</v>
      </c>
      <c r="O25" s="8"/>
      <c r="P25" s="8"/>
      <c r="Q25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T20"/>
  <sheetViews>
    <sheetView topLeftCell="G1" zoomScale="88" zoomScaleNormal="10" workbookViewId="0">
      <selection activeCell="O24" sqref="O24"/>
    </sheetView>
  </sheetViews>
  <sheetFormatPr defaultRowHeight="14.5" x14ac:dyDescent="0.35"/>
  <cols>
    <col min="1" max="1" width="19.54296875" hidden="1" customWidth="1"/>
    <col min="2" max="2" width="12.54296875" hidden="1" customWidth="1"/>
    <col min="3" max="3" width="15.54296875" hidden="1" customWidth="1"/>
    <col min="4" max="4" width="13.81640625" hidden="1" customWidth="1"/>
    <col min="5" max="5" width="23.54296875" hidden="1" customWidth="1"/>
    <col min="6" max="6" width="9.54296875" hidden="1" customWidth="1"/>
    <col min="7" max="9" width="19.453125" customWidth="1"/>
    <col min="10" max="10" width="34.453125" customWidth="1"/>
    <col min="11" max="11" width="19.453125" customWidth="1"/>
    <col min="12" max="12" width="11" customWidth="1"/>
    <col min="13" max="13" width="11" bestFit="1" customWidth="1"/>
    <col min="16" max="16" width="11.453125" customWidth="1"/>
    <col min="17" max="17" width="10.453125" bestFit="1" customWidth="1"/>
    <col min="18" max="18" width="13.453125" customWidth="1"/>
    <col min="28" max="28" width="13" customWidth="1"/>
  </cols>
  <sheetData>
    <row r="1" spans="1:20" ht="18.5" x14ac:dyDescent="0.55000000000000004">
      <c r="K1" s="62" t="s">
        <v>771</v>
      </c>
      <c r="L1" s="186">
        <f ca="1">EDATE(TODAY(), -1)</f>
        <v>45392</v>
      </c>
      <c r="M1" s="116"/>
    </row>
    <row r="2" spans="1:20" ht="15" thickBot="1" x14ac:dyDescent="0.4">
      <c r="K2" s="12" t="s">
        <v>772</v>
      </c>
      <c r="L2" s="187">
        <f ca="1">EDATE(TODAY(), -4)</f>
        <v>45301</v>
      </c>
    </row>
    <row r="3" spans="1:20" ht="50.25" customHeight="1" x14ac:dyDescent="0.35">
      <c r="E3" t="s">
        <v>747</v>
      </c>
      <c r="F3" t="s">
        <v>748</v>
      </c>
      <c r="H3" t="s">
        <v>764</v>
      </c>
      <c r="I3" t="s">
        <v>561</v>
      </c>
      <c r="J3" t="s">
        <v>518</v>
      </c>
      <c r="M3" s="114" t="s">
        <v>765</v>
      </c>
      <c r="N3" t="str" cm="1">
        <f t="array" aca="1" ref="N3" ca="1">_xll.FDSRC("-","DUMMY","ECON_DATE("&amp;$L$1&amp;",,, 'MM/YYYY')")</f>
        <v>04/2024</v>
      </c>
      <c r="O3" t="str" cm="1">
        <f t="array" aca="1" ref="O3" ca="1">_xll.FDSRC("-","DUMMY","ECON_DATE("&amp;$L$2&amp;",,, 'MM/YYYY')")</f>
        <v>01/2024</v>
      </c>
      <c r="P3" s="114" t="s">
        <v>768</v>
      </c>
      <c r="Q3" s="114" t="s">
        <v>774</v>
      </c>
      <c r="R3" s="117" t="s">
        <v>775</v>
      </c>
      <c r="S3" s="117" t="s">
        <v>550</v>
      </c>
      <c r="T3" s="117" t="s">
        <v>737</v>
      </c>
    </row>
    <row r="4" spans="1:20" x14ac:dyDescent="0.35">
      <c r="A4" t="s">
        <v>431</v>
      </c>
      <c r="B4" t="s">
        <v>446</v>
      </c>
      <c r="C4" t="s">
        <v>431</v>
      </c>
      <c r="D4" t="s">
        <v>750</v>
      </c>
      <c r="E4">
        <v>53.7</v>
      </c>
      <c r="F4">
        <v>5.3</v>
      </c>
      <c r="G4" t="s">
        <v>197</v>
      </c>
      <c r="H4" s="111" t="s">
        <v>755</v>
      </c>
      <c r="I4" s="112" t="s">
        <v>674</v>
      </c>
      <c r="J4" s="113" t="str" cm="1">
        <f t="array" ref="J4">_xll.FDS(K4,"FG_COMPANY_NAME")</f>
        <v>iShares MSCI New Zealand ETF</v>
      </c>
      <c r="K4" s="113" t="s">
        <v>431</v>
      </c>
      <c r="L4" t="s">
        <v>750</v>
      </c>
      <c r="M4" cm="1">
        <f t="array" ref="M4">IF(_xll.FDSRC(,"DUMMY","ECON_EXPR_DATA('FDS_ECON["&amp;H4&amp;"]',,,M)")=0,$J$20,_xll.FDSRC(,"DUMMY","ECON_EXPR_DATA('FDS_ECON["&amp;H4&amp;"]',,,M)"))</f>
        <v>48.932884000000001</v>
      </c>
      <c r="N4" cm="1">
        <f t="array" aca="1" ref="N4" ca="1">_xll.FDSRC("-","DUMMY","ECON_EXPR_DATA('FDS_ECON["&amp;H4&amp;"]',"&amp;$N$3&amp;",,Q)")</f>
        <v>47.799872999999998</v>
      </c>
      <c r="O4" cm="1">
        <f t="array" aca="1" ref="O4" ca="1">_xll.FDSRC("-","DUMMY","ECON_EXPR_DATA('FDS_ECON["&amp;H4&amp;"]',"&amp;$O$3&amp;",,Q)")</f>
        <v>44.485503999999999</v>
      </c>
      <c r="P4">
        <f t="shared" ref="P4:P12" ca="1" si="0">IFERROR(N4-O4,$M$20)</f>
        <v>3.3143689999999992</v>
      </c>
      <c r="Q4" cm="1">
        <f t="array" ref="Q4">_xlfn.PERCENTRANK.EXC(_xlfn._xlws.FILTER(M$4:M$16, ISNUMBER(M$4:M$16)),M4)*100</f>
        <v>35.699999999999996</v>
      </c>
      <c r="R4" cm="1">
        <f t="array" aca="1" ref="R4" ca="1">_xlfn.PERCENTRANK.EXC(_xlfn._xlws.FILTER(P$4:P$16, ISNUMBER(P$4:P$16)),P4)*100</f>
        <v>78.5</v>
      </c>
      <c r="S4">
        <f ca="1">Q4*Assumption!$E$27 + R4*Assumption!$F$27</f>
        <v>52.82</v>
      </c>
      <c r="T4" cm="1">
        <f t="array" aca="1" ref="T4" ca="1">_xlfn.PERCENTRANK.EXC(_xlfn._xlws.FILTER(S$4:S$16, ISNUMBER(S$4:S$16)),S4)*100</f>
        <v>64.2</v>
      </c>
    </row>
    <row r="5" spans="1:20" x14ac:dyDescent="0.35">
      <c r="A5" t="s">
        <v>44</v>
      </c>
      <c r="B5" t="s">
        <v>45</v>
      </c>
      <c r="C5" t="s">
        <v>44</v>
      </c>
      <c r="D5" t="s">
        <v>750</v>
      </c>
      <c r="E5">
        <v>53</v>
      </c>
      <c r="F5">
        <v>4.5</v>
      </c>
      <c r="G5" t="s">
        <v>113</v>
      </c>
      <c r="H5" s="111" t="s">
        <v>753</v>
      </c>
      <c r="I5" s="112" t="s">
        <v>576</v>
      </c>
      <c r="J5" s="113" t="str" cm="1">
        <f t="array" ref="J5">_xll.FDS(K5,"FG_COMPANY_NAME")</f>
        <v>iShares MSCI Australia ETF</v>
      </c>
      <c r="K5" s="113" t="s">
        <v>44</v>
      </c>
      <c r="L5" t="s">
        <v>750</v>
      </c>
      <c r="M5" cm="1">
        <f t="array" ref="M5">IF(_xll.FDSRC(,"DUMMY","ECON_EXPR_DATA('FDS_ECON["&amp;H5&amp;"]',,,M)")=0,$J$20,_xll.FDSRC(,"DUMMY","ECON_EXPR_DATA('FDS_ECON["&amp;H5&amp;"]',,,M)"))</f>
        <v>49.583427</v>
      </c>
      <c r="N5" cm="1">
        <f t="array" aca="1" ref="N5" ca="1">_xll.FDSRC("-","DUMMY","ECON_EXPR_DATA('FDS_ECON["&amp;H5&amp;"]',"&amp;$N$3&amp;",,Q)")</f>
        <v>48.395470000000003</v>
      </c>
      <c r="O5" cm="1">
        <f t="array" aca="1" ref="O5" ca="1">_xll.FDSRC("-","DUMMY","ECON_EXPR_DATA('FDS_ECON["&amp;H5&amp;"]',"&amp;$O$3&amp;",,Q)")</f>
        <v>47.862293000000001</v>
      </c>
      <c r="P5">
        <f t="shared" ca="1" si="0"/>
        <v>0.53317700000000201</v>
      </c>
      <c r="Q5" cm="1">
        <f t="array" ref="Q5">_xlfn.PERCENTRANK.EXC(_xlfn._xlws.FILTER(M$4:M$16, ISNUMBER(M$4:M$16)),M5)*100</f>
        <v>64.2</v>
      </c>
      <c r="R5" cm="1">
        <f t="array" aca="1" ref="R5" ca="1">_xlfn.PERCENTRANK.EXC(_xlfn._xlws.FILTER(P$4:P$16, ISNUMBER(P$4:P$16)),P5)*100</f>
        <v>14.2</v>
      </c>
      <c r="S5">
        <f ca="1">Q5*Assumption!$E$27 + R5*Assumption!$F$27</f>
        <v>44.2</v>
      </c>
      <c r="T5" cm="1">
        <f t="array" aca="1" ref="T5" ca="1">_xlfn.PERCENTRANK.EXC(_xlfn._xlws.FILTER(S$4:S$16, ISNUMBER(S$4:S$16)),S5)*100</f>
        <v>35.699999999999996</v>
      </c>
    </row>
    <row r="6" spans="1:20" x14ac:dyDescent="0.35">
      <c r="A6" t="s">
        <v>49</v>
      </c>
      <c r="B6" t="s">
        <v>50</v>
      </c>
      <c r="C6" t="s">
        <v>49</v>
      </c>
      <c r="D6" t="s">
        <v>750</v>
      </c>
      <c r="E6">
        <v>53.7</v>
      </c>
      <c r="F6">
        <v>5.3</v>
      </c>
      <c r="G6" t="s">
        <v>116</v>
      </c>
      <c r="H6" s="111" t="s">
        <v>752</v>
      </c>
      <c r="I6" s="112" t="s">
        <v>598</v>
      </c>
      <c r="J6" s="113" t="str" cm="1">
        <f t="array" ref="J6">_xll.FDS(K6,"FG_COMPANY_NAME")</f>
        <v>iShares MSCI Canada ETF</v>
      </c>
      <c r="K6" s="113" t="s">
        <v>49</v>
      </c>
      <c r="L6" t="s">
        <v>750</v>
      </c>
      <c r="M6" cm="1">
        <f t="array" ref="M6">IF(_xll.FDSRC(,"DUMMY","ECON_EXPR_DATA('FDS_ECON["&amp;H6&amp;"]',,,M)")=0,$J$20,_xll.FDSRC(,"DUMMY","ECON_EXPR_DATA('FDS_ECON["&amp;H6&amp;"]',,,M)"))</f>
        <v>49.43967</v>
      </c>
      <c r="N6" cm="1">
        <f t="array" aca="1" ref="N6" ca="1">_xll.FDSRC("-","DUMMY","ECON_EXPR_DATA('FDS_ECON["&amp;H6&amp;"]',"&amp;$N$3&amp;",,Q)")</f>
        <v>49.300910000000002</v>
      </c>
      <c r="O6" cm="1">
        <f t="array" aca="1" ref="O6" ca="1">_xll.FDSRC("-","DUMMY","ECON_EXPR_DATA('FDS_ECON["&amp;H6&amp;"]',"&amp;$O$3&amp;",,Q)")</f>
        <v>47.255585000000004</v>
      </c>
      <c r="P6">
        <f t="shared" ca="1" si="0"/>
        <v>2.0453249999999983</v>
      </c>
      <c r="Q6" cm="1">
        <f t="array" ref="Q6">_xlfn.PERCENTRANK.EXC(_xlfn._xlws.FILTER(M$4:M$16, ISNUMBER(M$4:M$16)),M6)*100</f>
        <v>50</v>
      </c>
      <c r="R6" cm="1">
        <f t="array" aca="1" ref="R6" ca="1">_xlfn.PERCENTRANK.EXC(_xlfn._xlws.FILTER(P$4:P$16, ISNUMBER(P$4:P$16)),P6)*100</f>
        <v>35.699999999999996</v>
      </c>
      <c r="S6">
        <f ca="1">Q6*Assumption!$E$27 + R6*Assumption!$F$27</f>
        <v>44.28</v>
      </c>
      <c r="T6" cm="1">
        <f t="array" aca="1" ref="T6" ca="1">_xlfn.PERCENTRANK.EXC(_xlfn._xlws.FILTER(S$4:S$16, ISNUMBER(S$4:S$16)),S6)*100</f>
        <v>42.8</v>
      </c>
    </row>
    <row r="7" spans="1:20" x14ac:dyDescent="0.35">
      <c r="A7" t="s">
        <v>11</v>
      </c>
      <c r="B7" t="s">
        <v>39</v>
      </c>
      <c r="C7" t="s">
        <v>11</v>
      </c>
      <c r="D7" t="s">
        <v>750</v>
      </c>
      <c r="E7">
        <v>54.2</v>
      </c>
      <c r="F7">
        <v>3.4</v>
      </c>
      <c r="G7" t="s">
        <v>102</v>
      </c>
      <c r="H7" s="111" t="s">
        <v>756</v>
      </c>
      <c r="I7" s="112" t="s">
        <v>625</v>
      </c>
      <c r="J7" s="113" t="str" cm="1">
        <f t="array" ref="J7">_xll.FDS(K7,"FG_COMPANY_NAME")</f>
        <v>iShares MSCI Germany ETF</v>
      </c>
      <c r="K7" s="113" t="s">
        <v>11</v>
      </c>
      <c r="L7" t="s">
        <v>750</v>
      </c>
      <c r="M7" cm="1">
        <f t="array" ref="M7">IF(_xll.FDSRC(,"DUMMY","ECON_EXPR_DATA('FDS_ECON["&amp;H7&amp;"]',,,M)")=0,$J$20,_xll.FDSRC(,"DUMMY","ECON_EXPR_DATA('FDS_ECON["&amp;H7&amp;"]',,,M)"))</f>
        <v>42.459229999999998</v>
      </c>
      <c r="N7" cm="1">
        <f t="array" aca="1" ref="N7" ca="1">_xll.FDSRC("-","DUMMY","ECON_EXPR_DATA('FDS_ECON["&amp;H7&amp;"]',"&amp;$N$3&amp;",,Q)")</f>
        <v>43.319096000000002</v>
      </c>
      <c r="O7" cm="1">
        <f t="array" aca="1" ref="O7" ca="1">_xll.FDSRC("-","DUMMY","ECON_EXPR_DATA('FDS_ECON["&amp;H7&amp;"]',"&amp;$O$3&amp;",,Q)")</f>
        <v>42.238945000000001</v>
      </c>
      <c r="P7">
        <f t="shared" ca="1" si="0"/>
        <v>1.0801510000000007</v>
      </c>
      <c r="Q7" cm="1">
        <f t="array" ref="Q7">_xlfn.PERCENTRANK.EXC(_xlfn._xlws.FILTER(M$4:M$16, ISNUMBER(M$4:M$16)),M7)*100</f>
        <v>14.2</v>
      </c>
      <c r="R7" cm="1">
        <f t="array" aca="1" ref="R7" ca="1">_xlfn.PERCENTRANK.EXC(_xlfn._xlws.FILTER(P$4:P$16, ISNUMBER(P$4:P$16)),P7)*100</f>
        <v>28.499999999999996</v>
      </c>
      <c r="S7">
        <f ca="1">Q7*Assumption!$E$27 + R7*Assumption!$F$27</f>
        <v>19.919999999999998</v>
      </c>
      <c r="T7" cm="1">
        <f t="array" aca="1" ref="T7" ca="1">_xlfn.PERCENTRANK.EXC(_xlfn._xlws.FILTER(S$4:S$16, ISNUMBER(S$4:S$16)),S7)*100</f>
        <v>7.1</v>
      </c>
    </row>
    <row r="8" spans="1:20" x14ac:dyDescent="0.35">
      <c r="A8" t="s">
        <v>46</v>
      </c>
      <c r="B8" t="s">
        <v>47</v>
      </c>
      <c r="C8" t="s">
        <v>46</v>
      </c>
      <c r="D8" t="s">
        <v>750</v>
      </c>
      <c r="E8">
        <v>52.9</v>
      </c>
      <c r="F8">
        <v>2.2000000000000002</v>
      </c>
      <c r="G8" t="s">
        <v>114</v>
      </c>
      <c r="H8" s="111" t="s">
        <v>754</v>
      </c>
      <c r="I8" s="112" t="s">
        <v>643</v>
      </c>
      <c r="J8" s="113" t="str" cm="1">
        <f t="array" ref="J8">_xll.FDS(K8,"FG_COMPANY_NAME")</f>
        <v>iShares MSCI Japan ETF</v>
      </c>
      <c r="K8" s="113" t="s">
        <v>46</v>
      </c>
      <c r="L8" t="s">
        <v>750</v>
      </c>
      <c r="M8" cm="1">
        <f t="array" ref="M8">IF(_xll.FDSRC(,"DUMMY","ECON_EXPR_DATA('FDS_ECON["&amp;H8&amp;"]',,,M)")=0,$J$20,_xll.FDSRC(,"DUMMY","ECON_EXPR_DATA('FDS_ECON["&amp;H8&amp;"]',,,M)"))</f>
        <v>49.568592000000002</v>
      </c>
      <c r="N8" cm="1">
        <f t="array" aca="1" ref="N8" ca="1">_xll.FDSRC("-","DUMMY","ECON_EXPR_DATA('FDS_ECON["&amp;H8&amp;"]',"&amp;$N$3&amp;",,Q)")</f>
        <v>47.808857000000003</v>
      </c>
      <c r="O8" cm="1">
        <f t="array" aca="1" ref="O8" ca="1">_xll.FDSRC("-","DUMMY","ECON_EXPR_DATA('FDS_ECON["&amp;H8&amp;"]',"&amp;$O$3&amp;",,Q)")</f>
        <v>48.318770000000001</v>
      </c>
      <c r="P8">
        <f t="shared" ca="1" si="0"/>
        <v>-0.5099129999999974</v>
      </c>
      <c r="Q8" cm="1">
        <f t="array" ref="Q8">_xlfn.PERCENTRANK.EXC(_xlfn._xlws.FILTER(M$4:M$16, ISNUMBER(M$4:M$16)),M8)*100</f>
        <v>57.099999999999994</v>
      </c>
      <c r="R8" cm="1">
        <f t="array" aca="1" ref="R8" ca="1">_xlfn.PERCENTRANK.EXC(_xlfn._xlws.FILTER(P$4:P$16, ISNUMBER(P$4:P$16)),P8)*100</f>
        <v>7.1</v>
      </c>
      <c r="S8">
        <f ca="1">Q8*Assumption!$E$27 + R8*Assumption!$F$27</f>
        <v>37.099999999999994</v>
      </c>
      <c r="T8" cm="1">
        <f t="array" aca="1" ref="T8" ca="1">_xlfn.PERCENTRANK.EXC(_xlfn._xlws.FILTER(S$4:S$16, ISNUMBER(S$4:S$16)),S8)*100</f>
        <v>21.4</v>
      </c>
    </row>
    <row r="9" spans="1:20" x14ac:dyDescent="0.35">
      <c r="A9" t="s">
        <v>42</v>
      </c>
      <c r="B9" t="s">
        <v>43</v>
      </c>
      <c r="C9" t="s">
        <v>42</v>
      </c>
      <c r="D9" t="s">
        <v>750</v>
      </c>
      <c r="E9">
        <v>53.7</v>
      </c>
      <c r="F9">
        <v>5.3</v>
      </c>
      <c r="G9" t="s">
        <v>110</v>
      </c>
      <c r="H9" s="111" t="s">
        <v>758</v>
      </c>
      <c r="I9" s="112" t="s">
        <v>706</v>
      </c>
      <c r="J9" s="113" t="str" cm="1">
        <f t="array" ref="J9">_xll.FDS(K9,"FG_COMPANY_NAME")</f>
        <v>iShares MSCI Switzerland ETF</v>
      </c>
      <c r="K9" s="113" t="s">
        <v>42</v>
      </c>
      <c r="L9" t="s">
        <v>750</v>
      </c>
      <c r="M9" cm="1">
        <f t="array" ref="M9">IF(_xll.FDSRC(,"DUMMY","ECON_EXPR_DATA('FDS_ECON["&amp;H9&amp;"]',,,M)")=0,$J$20,_xll.FDSRC(,"DUMMY","ECON_EXPR_DATA('FDS_ECON["&amp;H9&amp;"]',,,M)"))</f>
        <v>41.378143000000001</v>
      </c>
      <c r="N9" cm="1">
        <f t="array" aca="1" ref="N9" ca="1">_xll.FDSRC("-","DUMMY","ECON_EXPR_DATA('FDS_ECON["&amp;H9&amp;"]',"&amp;$N$3&amp;",,Q)")</f>
        <v>44.08605</v>
      </c>
      <c r="O9" cm="1">
        <f t="array" aca="1" ref="O9" ca="1">_xll.FDSRC("-","DUMMY","ECON_EXPR_DATA('FDS_ECON["&amp;H9&amp;"]',"&amp;$O$3&amp;",,Q)")</f>
        <v>41.921543</v>
      </c>
      <c r="P9">
        <f t="shared" ca="1" si="0"/>
        <v>2.1645070000000004</v>
      </c>
      <c r="Q9" cm="1">
        <f t="array" ref="Q9">_xlfn.PERCENTRANK.EXC(_xlfn._xlws.FILTER(M$4:M$16, ISNUMBER(M$4:M$16)),M9)*100</f>
        <v>7.1</v>
      </c>
      <c r="R9" cm="1">
        <f t="array" aca="1" ref="R9" ca="1">_xlfn.PERCENTRANK.EXC(_xlfn._xlws.FILTER(P$4:P$16, ISNUMBER(P$4:P$16)),P9)*100</f>
        <v>42.8</v>
      </c>
      <c r="S9">
        <f ca="1">Q9*Assumption!$E$27 + R9*Assumption!$F$27</f>
        <v>21.380000000000003</v>
      </c>
      <c r="T9" cm="1">
        <f t="array" aca="1" ref="T9" ca="1">_xlfn.PERCENTRANK.EXC(_xlfn._xlws.FILTER(S$4:S$16, ISNUMBER(S$4:S$16)),S9)*100</f>
        <v>14.2</v>
      </c>
    </row>
    <row r="10" spans="1:20" x14ac:dyDescent="0.35">
      <c r="A10" t="s">
        <v>48</v>
      </c>
      <c r="B10" t="s">
        <v>447</v>
      </c>
      <c r="C10" t="s">
        <v>48</v>
      </c>
      <c r="D10" t="s">
        <v>750</v>
      </c>
      <c r="E10">
        <v>54.9</v>
      </c>
      <c r="F10">
        <v>6.4</v>
      </c>
      <c r="G10" t="s">
        <v>115</v>
      </c>
      <c r="H10" s="111" t="s">
        <v>757</v>
      </c>
      <c r="I10" s="112" t="s">
        <v>447</v>
      </c>
      <c r="J10" s="113" t="str" cm="1">
        <f t="array" ref="J10">_xll.FDS(K10,"FG_COMPANY_NAME")</f>
        <v>iShares MSCI United Kingdom ETF</v>
      </c>
      <c r="K10" s="113" t="s">
        <v>48</v>
      </c>
      <c r="L10" t="s">
        <v>750</v>
      </c>
      <c r="M10" cm="1">
        <f t="array" ref="M10">IF(_xll.FDSRC(,"DUMMY","ECON_EXPR_DATA('FDS_ECON["&amp;H10&amp;"]',,,M)")=0,$J$20,_xll.FDSRC(,"DUMMY","ECON_EXPR_DATA('FDS_ECON["&amp;H10&amp;"]',,,M)"))</f>
        <v>49.074534999999997</v>
      </c>
      <c r="N10" cm="1">
        <f t="array" aca="1" ref="N10" ca="1">_xll.FDSRC("-","DUMMY","ECON_EXPR_DATA('FDS_ECON["&amp;H10&amp;"]',"&amp;$N$3&amp;",,Q)")</f>
        <v>48.247959999999999</v>
      </c>
      <c r="O10" cm="1">
        <f t="array" aca="1" ref="O10" ca="1">_xll.FDSRC("-","DUMMY","ECON_EXPR_DATA('FDS_ECON["&amp;H10&amp;"]',"&amp;$O$3&amp;",,Q)")</f>
        <v>46.058700000000002</v>
      </c>
      <c r="P10">
        <f t="shared" ca="1" si="0"/>
        <v>2.1892599999999973</v>
      </c>
      <c r="Q10" cm="1">
        <f t="array" ref="Q10">_xlfn.PERCENTRANK.EXC(_xlfn._xlws.FILTER(M$4:M$16, ISNUMBER(M$4:M$16)),M10)*100</f>
        <v>42.8</v>
      </c>
      <c r="R10" cm="1">
        <f t="array" aca="1" ref="R10" ca="1">_xlfn.PERCENTRANK.EXC(_xlfn._xlws.FILTER(P$4:P$16, ISNUMBER(P$4:P$16)),P10)*100</f>
        <v>50</v>
      </c>
      <c r="S10">
        <f ca="1">Q10*Assumption!$E$27 + R10*Assumption!$F$27</f>
        <v>45.679999999999993</v>
      </c>
      <c r="T10" cm="1">
        <f t="array" aca="1" ref="T10" ca="1">_xlfn.PERCENTRANK.EXC(_xlfn._xlws.FILTER(S$4:S$16, ISNUMBER(S$4:S$16)),S10)*100</f>
        <v>50</v>
      </c>
    </row>
    <row r="11" spans="1:20" x14ac:dyDescent="0.35">
      <c r="A11" t="s">
        <v>51</v>
      </c>
      <c r="B11" t="s">
        <v>448</v>
      </c>
      <c r="C11" t="s">
        <v>51</v>
      </c>
      <c r="D11" t="s">
        <v>750</v>
      </c>
      <c r="E11">
        <v>53.4</v>
      </c>
      <c r="F11">
        <v>6.5</v>
      </c>
      <c r="G11" t="s">
        <v>119</v>
      </c>
      <c r="H11" s="111" t="s">
        <v>751</v>
      </c>
      <c r="I11" s="112" t="s">
        <v>763</v>
      </c>
      <c r="J11" s="113" t="str" cm="1">
        <f t="array" ref="J11">_xll.FDS(K11,"FG_COMPANY_NAME")</f>
        <v>Invesco QQQ Trust Series I</v>
      </c>
      <c r="K11" s="113" t="s">
        <v>51</v>
      </c>
      <c r="L11" t="s">
        <v>750</v>
      </c>
      <c r="M11" cm="1">
        <f t="array" ref="M11">IF(_xll.FDSRC(,"DUMMY","ECON_EXPR_DATA('FDS_ECON["&amp;H11&amp;"]',,,M)")=0,$J$20,_xll.FDSRC(,"DUMMY","ECON_EXPR_DATA('FDS_ECON["&amp;H11&amp;"]',,,M)"))</f>
        <v>49.950299999999999</v>
      </c>
      <c r="N11" cm="1">
        <f t="array" aca="1" ref="N11" ca="1">_xll.FDSRC("-","DUMMY","ECON_EXPR_DATA('FDS_ECON["&amp;H11&amp;"]',"&amp;$N$3&amp;",,Q)")</f>
        <v>51.582687</v>
      </c>
      <c r="O11" cm="1">
        <f t="array" aca="1" ref="O11" ca="1">_xll.FDSRC("-","DUMMY","ECON_EXPR_DATA('FDS_ECON["&amp;H11&amp;"]',"&amp;$O$3&amp;",,Q)")</f>
        <v>49.098827</v>
      </c>
      <c r="P11">
        <f t="shared" ca="1" si="0"/>
        <v>2.48386</v>
      </c>
      <c r="Q11" cm="1">
        <f t="array" ref="Q11">_xlfn.PERCENTRANK.EXC(_xlfn._xlws.FILTER(M$4:M$16, ISNUMBER(M$4:M$16)),M11)*100</f>
        <v>71.399999999999991</v>
      </c>
      <c r="R11" cm="1">
        <f t="array" aca="1" ref="R11" ca="1">_xlfn.PERCENTRANK.EXC(_xlfn._xlws.FILTER(P$4:P$16, ISNUMBER(P$4:P$16)),P11)*100</f>
        <v>57.099999999999994</v>
      </c>
      <c r="S11">
        <f ca="1">Q11*Assumption!$E$27 + R11*Assumption!$F$27</f>
        <v>65.679999999999993</v>
      </c>
      <c r="T11" cm="1">
        <f t="array" aca="1" ref="T11" ca="1">_xlfn.PERCENTRANK.EXC(_xlfn._xlws.FILTER(S$4:S$16, ISNUMBER(S$4:S$16)),S11)*100</f>
        <v>78.5</v>
      </c>
    </row>
    <row r="12" spans="1:20" x14ac:dyDescent="0.35">
      <c r="A12" t="s">
        <v>1</v>
      </c>
      <c r="B12" t="s">
        <v>1</v>
      </c>
      <c r="C12" t="s">
        <v>1</v>
      </c>
      <c r="D12" t="s">
        <v>750</v>
      </c>
      <c r="E12">
        <v>53.4</v>
      </c>
      <c r="F12">
        <v>6.5</v>
      </c>
      <c r="G12" t="s">
        <v>119</v>
      </c>
      <c r="H12" s="111" t="s">
        <v>751</v>
      </c>
      <c r="I12" s="112" t="s">
        <v>763</v>
      </c>
      <c r="J12" s="113" t="str" cm="1">
        <f t="array" ref="J12">_xll.FDS(K12,"FG_COMPANY_NAME")</f>
        <v>SPDR S&amp;P 500 ETF Trust</v>
      </c>
      <c r="K12" s="113" t="s">
        <v>1</v>
      </c>
      <c r="L12" t="s">
        <v>750</v>
      </c>
      <c r="M12" cm="1">
        <f t="array" ref="M12">IF(_xll.FDSRC(,"DUMMY","ECON_EXPR_DATA('FDS_ECON["&amp;H12&amp;"]',,,M)")=0,$J$20,_xll.FDSRC(,"DUMMY","ECON_EXPR_DATA('FDS_ECON["&amp;H12&amp;"]',,,M)"))</f>
        <v>49.950299999999999</v>
      </c>
      <c r="N12" cm="1">
        <f t="array" aca="1" ref="N12" ca="1">_xll.FDSRC("-","DUMMY","ECON_EXPR_DATA('FDS_ECON["&amp;H12&amp;"]',"&amp;$N$3&amp;",,Q)")</f>
        <v>51.582687</v>
      </c>
      <c r="O12" cm="1">
        <f t="array" aca="1" ref="O12" ca="1">_xll.FDSRC("-","DUMMY","ECON_EXPR_DATA('FDS_ECON["&amp;H12&amp;"]',"&amp;$O$3&amp;",,Q)")</f>
        <v>49.098827</v>
      </c>
      <c r="P12">
        <f t="shared" ca="1" si="0"/>
        <v>2.48386</v>
      </c>
      <c r="Q12" cm="1">
        <f t="array" ref="Q12">_xlfn.PERCENTRANK.EXC(_xlfn._xlws.FILTER(M$4:M$16, ISNUMBER(M$4:M$16)),M12)*100</f>
        <v>71.399999999999991</v>
      </c>
      <c r="R12" cm="1">
        <f t="array" aca="1" ref="R12" ca="1">_xlfn.PERCENTRANK.EXC(_xlfn._xlws.FILTER(P$4:P$16, ISNUMBER(P$4:P$16)),P12)*100</f>
        <v>57.099999999999994</v>
      </c>
      <c r="S12">
        <f ca="1">Q12*Assumption!$E$27 + R12*Assumption!$F$27</f>
        <v>65.679999999999993</v>
      </c>
      <c r="T12" cm="1">
        <f t="array" aca="1" ref="T12" ca="1">_xlfn.PERCENTRANK.EXC(_xlfn._xlws.FILTER(S$4:S$16, ISNUMBER(S$4:S$16)),S12)*100</f>
        <v>78.5</v>
      </c>
    </row>
    <row r="13" spans="1:20" x14ac:dyDescent="0.35">
      <c r="G13" t="s">
        <v>106</v>
      </c>
      <c r="H13" s="111" t="s">
        <v>883</v>
      </c>
      <c r="I13" t="s">
        <v>621</v>
      </c>
      <c r="J13" s="113" t="str" cm="1">
        <f t="array" ref="J13">_xll.FDS(K13,"FG_COMPANY_NAME")</f>
        <v>iShares MSCI France ETF</v>
      </c>
      <c r="K13" t="s">
        <v>865</v>
      </c>
      <c r="L13" t="s">
        <v>750</v>
      </c>
      <c r="M13" cm="1">
        <f t="array" ref="M13">IF(_xll.FDSRC(,"DUMMY","ECON_EXPR_DATA('FDS_ECON["&amp;H13&amp;"]',,,M)")=0,$J$20,_xll.FDSRC(,"DUMMY","ECON_EXPR_DATA('FDS_ECON["&amp;H13&amp;"]',,,M)"))</f>
        <v>45.287039999999998</v>
      </c>
      <c r="N13" cm="1">
        <f t="array" aca="1" ref="N13" ca="1">_xll.FDSRC("-","DUMMY","ECON_EXPR_DATA('FDS_ECON["&amp;H13&amp;"]',"&amp;$N$3&amp;",,Q)")</f>
        <v>45.498753000000001</v>
      </c>
      <c r="O13" cm="1">
        <f t="array" aca="1" ref="O13" ca="1">_xll.FDSRC("-","DUMMY","ECON_EXPR_DATA('FDS_ECON["&amp;H13&amp;"]',"&amp;$O$3&amp;",,Q)")</f>
        <v>42.573967000000003</v>
      </c>
      <c r="P13">
        <f t="shared" ref="P13:P16" ca="1" si="1">IFERROR(N13-O13,$M$20)</f>
        <v>2.9247859999999974</v>
      </c>
      <c r="Q13" cm="1">
        <f t="array" ref="Q13">_xlfn.PERCENTRANK.EXC(_xlfn._xlws.FILTER(M$4:M$16, ISNUMBER(M$4:M$16)),M13)*100</f>
        <v>21.4</v>
      </c>
      <c r="R13" cm="1">
        <f t="array" aca="1" ref="R13" ca="1">_xlfn.PERCENTRANK.EXC(_xlfn._xlws.FILTER(P$4:P$16, ISNUMBER(P$4:P$16)),P13)*100</f>
        <v>71.399999999999991</v>
      </c>
      <c r="S13">
        <f ca="1">Q13*Assumption!$E$27 + R13*Assumption!$F$27</f>
        <v>41.4</v>
      </c>
      <c r="T13" cm="1">
        <f t="array" aca="1" ref="T13" ca="1">_xlfn.PERCENTRANK.EXC(_xlfn._xlws.FILTER(S$4:S$16, ISNUMBER(S$4:S$16)),S13)*100</f>
        <v>28.499999999999996</v>
      </c>
    </row>
    <row r="14" spans="1:20" x14ac:dyDescent="0.35">
      <c r="G14" t="s">
        <v>875</v>
      </c>
      <c r="H14" s="111" t="s">
        <v>884</v>
      </c>
      <c r="I14" t="s">
        <v>673</v>
      </c>
      <c r="J14" s="113" t="str" cm="1">
        <f t="array" ref="J14">_xll.FDS(K14,"FG_COMPANY_NAME")</f>
        <v>iShares MSCI Netherlands ETF</v>
      </c>
      <c r="K14" t="s">
        <v>867</v>
      </c>
      <c r="L14" t="s">
        <v>750</v>
      </c>
      <c r="M14" cm="1">
        <f t="array" ref="M14">IF(_xll.FDSRC(,"DUMMY","ECON_EXPR_DATA('FDS_ECON["&amp;H14&amp;"]',,,M)")=0,$J$20,_xll.FDSRC(,"DUMMY","ECON_EXPR_DATA('FDS_ECON["&amp;H14&amp;"]',,,M)"))</f>
        <v>51.314709999999998</v>
      </c>
      <c r="N14" cm="1">
        <f t="array" aca="1" ref="N14" ca="1">_xll.FDSRC("-","DUMMY","ECON_EXPR_DATA('FDS_ECON["&amp;H14&amp;"]',"&amp;$N$3&amp;",,Q)")</f>
        <v>49.325873999999999</v>
      </c>
      <c r="O14" cm="1">
        <f t="array" aca="1" ref="O14" ca="1">_xll.FDSRC("-","DUMMY","ECON_EXPR_DATA('FDS_ECON["&amp;H14&amp;"]',"&amp;$O$3&amp;",,Q)")</f>
        <v>44.495136000000002</v>
      </c>
      <c r="P14">
        <f t="shared" ca="1" si="1"/>
        <v>4.8307379999999966</v>
      </c>
      <c r="Q14" cm="1">
        <f t="array" ref="Q14">_xlfn.PERCENTRANK.EXC(_xlfn._xlws.FILTER(M$4:M$16, ISNUMBER(M$4:M$16)),M14)*100</f>
        <v>85.7</v>
      </c>
      <c r="R14" cm="1">
        <f t="array" aca="1" ref="R14" ca="1">_xlfn.PERCENTRANK.EXC(_xlfn._xlws.FILTER(P$4:P$16, ISNUMBER(P$4:P$16)),P14)*100</f>
        <v>92.800000000000011</v>
      </c>
      <c r="S14">
        <f ca="1">Q14*Assumption!$E$27 + R14*Assumption!$F$27</f>
        <v>88.54</v>
      </c>
      <c r="T14" cm="1">
        <f t="array" aca="1" ref="T14" ca="1">_xlfn.PERCENTRANK.EXC(_xlfn._xlws.FILTER(S$4:S$16, ISNUMBER(S$4:S$16)),S14)*100</f>
        <v>92.800000000000011</v>
      </c>
    </row>
    <row r="15" spans="1:20" x14ac:dyDescent="0.35">
      <c r="G15" t="s">
        <v>272</v>
      </c>
      <c r="H15" s="111"/>
      <c r="I15" t="s">
        <v>705</v>
      </c>
      <c r="J15" s="113" t="str" cm="1">
        <f t="array" ref="J15">_xll.FDS(K15,"FG_COMPANY_NAME")</f>
        <v>iShares MSCI Sweden ETF</v>
      </c>
      <c r="K15" t="s">
        <v>864</v>
      </c>
      <c r="L15" t="s">
        <v>750</v>
      </c>
      <c r="M15" cm="1">
        <f t="array" ref="M15">IF(_xll.FDSRC(,"DUMMY","ECON_EXPR_DATA('FDS_ECON["&amp;H15&amp;"]',,,M)")=0,$J$20,_xll.FDSRC(,"DUMMY","ECON_EXPR_DATA('FDS_ECON["&amp;H15&amp;"]',,,M)"))</f>
        <v>51.990540000000003</v>
      </c>
      <c r="N15" t="str" cm="1">
        <f t="array" aca="1" ref="N15" ca="1">_xll.FDSRC("-","DUMMY","ECON_EXPR_DATA('FDS_ECON["&amp;H15&amp;"]',"&amp;$N$3&amp;",,Q)")</f>
        <v>-</v>
      </c>
      <c r="O15" t="str" cm="1">
        <f t="array" aca="1" ref="O15" ca="1">_xll.FDSRC("-","DUMMY","ECON_EXPR_DATA('FDS_ECON["&amp;H15&amp;"]',"&amp;$O$3&amp;",,Q)")</f>
        <v>-</v>
      </c>
      <c r="P15">
        <f t="shared" ca="1" si="1"/>
        <v>0.88645700000000005</v>
      </c>
      <c r="Q15" cm="1">
        <f t="array" ref="Q15">_xlfn.PERCENTRANK.EXC(_xlfn._xlws.FILTER(M$4:M$16, ISNUMBER(M$4:M$16)),M15)*100</f>
        <v>92.800000000000011</v>
      </c>
      <c r="R15" cm="1">
        <f t="array" aca="1" ref="R15" ca="1">_xlfn.PERCENTRANK.EXC(_xlfn._xlws.FILTER(P$4:P$16, ISNUMBER(P$4:P$16)),P15)*100</f>
        <v>21.4</v>
      </c>
      <c r="S15">
        <f ca="1">Q15*Assumption!$E$27 + R15*Assumption!$F$27</f>
        <v>64.240000000000009</v>
      </c>
      <c r="T15" cm="1">
        <f t="array" aca="1" ref="T15" ca="1">_xlfn.PERCENTRANK.EXC(_xlfn._xlws.FILTER(S$4:S$16, ISNUMBER(S$4:S$16)),S15)*100</f>
        <v>71.399999999999991</v>
      </c>
    </row>
    <row r="16" spans="1:20" x14ac:dyDescent="0.35">
      <c r="G16" t="s">
        <v>876</v>
      </c>
      <c r="H16" s="111" t="s">
        <v>885</v>
      </c>
      <c r="I16" t="s">
        <v>641</v>
      </c>
      <c r="J16" s="113" t="str" cm="1">
        <f t="array" ref="J16">_xll.FDS(K16,"FG_COMPANY_NAME")</f>
        <v>iShares MSCI Italy ETF</v>
      </c>
      <c r="K16" t="s">
        <v>866</v>
      </c>
      <c r="L16" t="s">
        <v>750</v>
      </c>
      <c r="M16" cm="1">
        <f t="array" ref="M16">IF(_xll.FDSRC(,"DUMMY","ECON_EXPR_DATA('FDS_ECON["&amp;H16&amp;"]',,,M)")=0,$J$20,_xll.FDSRC(,"DUMMY","ECON_EXPR_DATA('FDS_ECON["&amp;H16&amp;"]',,,M)"))</f>
        <v>47.301079999999999</v>
      </c>
      <c r="N16" cm="1">
        <f t="array" aca="1" ref="N16" ca="1">_xll.FDSRC("-","DUMMY","ECON_EXPR_DATA('FDS_ECON["&amp;H16&amp;"]',"&amp;$N$3&amp;",,Q)")</f>
        <v>49.208153000000003</v>
      </c>
      <c r="O16" cm="1">
        <f t="array" aca="1" ref="O16" ca="1">_xll.FDSRC("-","DUMMY","ECON_EXPR_DATA('FDS_ECON["&amp;H16&amp;"]',"&amp;$O$3&amp;",,Q)")</f>
        <v>44.859454999999997</v>
      </c>
      <c r="P16">
        <f t="shared" ca="1" si="1"/>
        <v>4.3486980000000059</v>
      </c>
      <c r="Q16" cm="1">
        <f t="array" ref="Q16">_xlfn.PERCENTRANK.EXC(_xlfn._xlws.FILTER(M$4:M$16, ISNUMBER(M$4:M$16)),M16)*100</f>
        <v>28.499999999999996</v>
      </c>
      <c r="R16" cm="1">
        <f t="array" aca="1" ref="R16" ca="1">_xlfn.PERCENTRANK.EXC(_xlfn._xlws.FILTER(P$4:P$16, ISNUMBER(P$4:P$16)),P16)*100</f>
        <v>85.7</v>
      </c>
      <c r="S16">
        <f ca="1">Q16*Assumption!$E$27 + R16*Assumption!$F$27</f>
        <v>51.379999999999995</v>
      </c>
      <c r="T16" cm="1">
        <f t="array" aca="1" ref="T16" ca="1">_xlfn.PERCENTRANK.EXC(_xlfn._xlws.FILTER(S$4:S$16, ISNUMBER(S$4:S$16)),S16)*100</f>
        <v>57.099999999999994</v>
      </c>
    </row>
    <row r="18" spans="8:13" x14ac:dyDescent="0.35">
      <c r="K18" t="str" cm="1">
        <f t="array" aca="1" ref="K18" ca="1">_xll.FDSRC("-","DUMMY","ECON_DATE("&amp;$L$1&amp;",,, 'MM/YYYY')")</f>
        <v>04/2024</v>
      </c>
      <c r="L18" t="str" cm="1">
        <f t="array" aca="1" ref="L18" ca="1">_xll.FDSRC("-","DUMMY","ECON_DATE("&amp;$L$2&amp;",,, 'MM/YYYY')")</f>
        <v>01/2024</v>
      </c>
      <c r="M18" t="s">
        <v>773</v>
      </c>
    </row>
    <row r="19" spans="8:13" x14ac:dyDescent="0.35">
      <c r="H19" s="111" t="s">
        <v>759</v>
      </c>
      <c r="I19" s="111" t="s">
        <v>760</v>
      </c>
      <c r="J19" cm="1">
        <f t="array" ref="J19">_xll.FDSRC("-","DUMMY","ECON_EXPR_DATA('FDS_ECON["&amp;H19&amp;"]',,,M)")</f>
        <v>48.596449999999997</v>
      </c>
      <c r="K19" cm="1">
        <f t="array" aca="1" ref="K19" ca="1">_xll.FDSRC("-","DUMMY","ECON_EXPR_DATA('FDS_ECON["&amp;H19&amp;"]',"&amp;$K$18&amp;",,Q)")</f>
        <v>49.135330000000003</v>
      </c>
      <c r="L19" cm="1">
        <f t="array" aca="1" ref="L19" ca="1">_xll.FDSRC("-","DUMMY","ECON_EXPR_DATA('FDS_ECON["&amp;H19&amp;"]',"&amp;$L$18&amp;",,Q)")</f>
        <v>47.377974999999999</v>
      </c>
      <c r="M19">
        <f ca="1">K19-L19</f>
        <v>1.757355000000004</v>
      </c>
    </row>
    <row r="20" spans="8:13" x14ac:dyDescent="0.35">
      <c r="H20" s="111" t="s">
        <v>761</v>
      </c>
      <c r="I20" s="111" t="s">
        <v>762</v>
      </c>
      <c r="J20" cm="1">
        <f t="array" ref="J20">_xll.FDSRC("-","DUMMY","ECON_EXPR_DATA('FDS_ECON["&amp;H20&amp;"]',,,M)")</f>
        <v>51.990540000000003</v>
      </c>
      <c r="K20" cm="1">
        <f t="array" aca="1" ref="K20" ca="1">_xll.FDSRC("-","DUMMY","ECON_EXPR_DATA('FDS_ECON["&amp;H20&amp;"]',"&amp;$K$18&amp;",,Q)")</f>
        <v>51.510579999999997</v>
      </c>
      <c r="L20" cm="1">
        <f t="array" aca="1" ref="L20" ca="1">_xll.FDSRC("-","DUMMY","ECON_EXPR_DATA('FDS_ECON["&amp;H20&amp;"]',"&amp;$L$18&amp;",,Q)")</f>
        <v>50.624122999999997</v>
      </c>
      <c r="M20">
        <f ca="1">K20-L20</f>
        <v>0.88645700000000005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17"/>
  <sheetViews>
    <sheetView workbookViewId="0">
      <selection activeCell="F21" sqref="F21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740</v>
      </c>
      <c r="B1" t="s">
        <v>519</v>
      </c>
      <c r="C1" t="s">
        <v>820</v>
      </c>
      <c r="D1" t="s">
        <v>846</v>
      </c>
      <c r="E1" t="s">
        <v>561</v>
      </c>
      <c r="F1" t="s">
        <v>847</v>
      </c>
      <c r="G1" t="s">
        <v>848</v>
      </c>
    </row>
    <row r="2" spans="1:7" x14ac:dyDescent="0.35">
      <c r="A2" t="s">
        <v>198</v>
      </c>
      <c r="B2" t="s">
        <v>446</v>
      </c>
      <c r="C2" t="s">
        <v>431</v>
      </c>
      <c r="D2" s="143" cm="1">
        <f t="array" ref="D2">_xll.FDS(C2,"FREF_MARKET_VALUE_COMPANY(0,,,USD,,0,,""LEGACY"")")</f>
        <v>88.296000000000006</v>
      </c>
      <c r="E2" t="s">
        <v>674</v>
      </c>
      <c r="F2" t="str">
        <f t="shared" ref="F2:F14" si="0">_xlfn.CONCAT("FC0000",RIGHT(A2,2))</f>
        <v>FC0000NZ</v>
      </c>
      <c r="G2" s="142" cm="1">
        <f t="array" ref="G2">_xll.FDSZ(F2,"FMA_MCAP(0,,,USD,""PORTAGG"")")</f>
        <v>89841.945000000007</v>
      </c>
    </row>
    <row r="3" spans="1:7" x14ac:dyDescent="0.35">
      <c r="A3" t="s">
        <v>174</v>
      </c>
      <c r="B3" t="s">
        <v>45</v>
      </c>
      <c r="C3" t="s">
        <v>44</v>
      </c>
      <c r="D3" s="143" cm="1">
        <f t="array" ref="D3">_xll.FDS(C3,"FREF_MARKET_VALUE_COMPANY(0,,,USD,,0,,""LEGACY"")")</f>
        <v>1733.8920000000001</v>
      </c>
      <c r="E3" t="s">
        <v>576</v>
      </c>
      <c r="F3" t="str">
        <f t="shared" si="0"/>
        <v>FC0000AU</v>
      </c>
      <c r="G3" s="142" cm="1">
        <f t="array" ref="G3">_xll.FDSZ(F3,"FMA_MCAP(0,,,USD,""PORTAGG"")")</f>
        <v>1676362.5</v>
      </c>
    </row>
    <row r="4" spans="1:7" x14ac:dyDescent="0.35">
      <c r="A4" t="s">
        <v>157</v>
      </c>
      <c r="B4" t="s">
        <v>50</v>
      </c>
      <c r="C4" t="s">
        <v>49</v>
      </c>
      <c r="D4" s="143" cm="1">
        <f t="array" ref="D4">_xll.FDS(C4,"FREF_MARKET_VALUE_COMPANY(0,,,USD,,0,,""LEGACY"")")</f>
        <v>2744.6759999999999</v>
      </c>
      <c r="E4" t="s">
        <v>598</v>
      </c>
      <c r="F4" t="str">
        <f t="shared" si="0"/>
        <v>FC0000CA</v>
      </c>
      <c r="G4" s="142" cm="1">
        <f t="array" ref="G4">_xll.FDSZ(F4,"FMA_MCAP(0,,,USD,""PORTAGG"")")</f>
        <v>2753637.5</v>
      </c>
    </row>
    <row r="5" spans="1:7" s="1" customFormat="1" x14ac:dyDescent="0.35">
      <c r="A5" s="145" t="s">
        <v>555</v>
      </c>
      <c r="B5" s="145" t="s">
        <v>39</v>
      </c>
      <c r="C5" s="145" t="s">
        <v>11</v>
      </c>
      <c r="D5" s="143" cm="1">
        <f t="array" ref="D5">_xll.FDS(C5,"FREF_MARKET_VALUE_COMPANY(0,,,USD,,0,,""LEGACY"")")</f>
        <v>971.41800000000001</v>
      </c>
      <c r="E5" s="145" t="s">
        <v>625</v>
      </c>
      <c r="F5" s="145" t="str">
        <f t="shared" si="0"/>
        <v>FC0000DE</v>
      </c>
      <c r="G5" s="146" cm="1">
        <f t="array" ref="G5">_xll.FDSZ(F5,"FMA_MCAP(0,,,USD,""PORTAGG"")")</f>
        <v>2306288</v>
      </c>
    </row>
    <row r="6" spans="1:7" x14ac:dyDescent="0.35">
      <c r="A6" t="s">
        <v>164</v>
      </c>
      <c r="B6" t="s">
        <v>47</v>
      </c>
      <c r="C6" t="s">
        <v>46</v>
      </c>
      <c r="D6" s="143" cm="1">
        <f t="array" ref="D6">_xll.FDS(C6,"FREF_MARKET_VALUE_COMPANY(0,,,USD,,0,,""LEGACY"")")</f>
        <v>16719.381000000001</v>
      </c>
      <c r="E6" t="s">
        <v>643</v>
      </c>
      <c r="F6" t="str">
        <f t="shared" si="0"/>
        <v>FC0000JP</v>
      </c>
      <c r="G6" s="142" cm="1">
        <f t="array" ref="G6">_xll.FDSZ(F6,"FMA_MCAP(0,,,USD,""PORTAGG"")")</f>
        <v>6391685</v>
      </c>
    </row>
    <row r="7" spans="1:7" x14ac:dyDescent="0.35">
      <c r="A7" t="s">
        <v>276</v>
      </c>
      <c r="B7" t="s">
        <v>43</v>
      </c>
      <c r="C7" t="s">
        <v>42</v>
      </c>
      <c r="D7" s="143" cm="1">
        <f t="array" ref="D7">_xll.FDS(C7,"FREF_MARKET_VALUE_COMPANY(0,,,USD,,0,,""LEGACY"")")</f>
        <v>1125.0225</v>
      </c>
      <c r="E7" t="s">
        <v>706</v>
      </c>
      <c r="F7" t="str">
        <f t="shared" si="0"/>
        <v>FC0000CH</v>
      </c>
      <c r="G7" s="142" cm="1">
        <f t="array" ref="G7">_xll.FDSZ(F7,"FMA_MCAP(0,,,USD,""PORTAGG"")")</f>
        <v>2087703.9</v>
      </c>
    </row>
    <row r="8" spans="1:7" x14ac:dyDescent="0.35">
      <c r="A8" t="s">
        <v>167</v>
      </c>
      <c r="B8" t="s">
        <v>447</v>
      </c>
      <c r="C8" t="s">
        <v>48</v>
      </c>
      <c r="D8" s="143" cm="1">
        <f t="array" ref="D8">_xll.FDS(C8,"FREF_MARKET_VALUE_COMPANY(0,,,USD,,0,,""LEGACY"")")</f>
        <v>2812.68</v>
      </c>
      <c r="E8" t="s">
        <v>719</v>
      </c>
      <c r="F8" t="str">
        <f t="shared" si="0"/>
        <v>FC0000GB</v>
      </c>
      <c r="G8" s="142" cm="1">
        <f t="array" ref="G8">_xll.FDSZ(F8,"FMA_MCAP(0,,,USD,""PORTAGG"")")</f>
        <v>3254713.3</v>
      </c>
    </row>
    <row r="9" spans="1:7" x14ac:dyDescent="0.35">
      <c r="A9" t="s">
        <v>170</v>
      </c>
      <c r="B9" t="s">
        <v>448</v>
      </c>
      <c r="C9" t="s">
        <v>51</v>
      </c>
      <c r="D9" s="143" cm="1">
        <f t="array" ref="D9">_xll.FDS(C9,"FREF_MARKET_VALUE_COMPANY(0,,,USD,,0,,""LEGACY"")")</f>
        <v>258878.74</v>
      </c>
      <c r="E9" t="s">
        <v>720</v>
      </c>
      <c r="F9" t="str">
        <f t="shared" si="0"/>
        <v>FC0000US</v>
      </c>
      <c r="G9" s="142" cm="1">
        <f t="array" ref="G9">_xll.FDSZ(F9,"FMA_MCAP(0,,,USD,""PORTAGG"")")</f>
        <v>54421530</v>
      </c>
    </row>
    <row r="10" spans="1:7" x14ac:dyDescent="0.35">
      <c r="A10" t="s">
        <v>170</v>
      </c>
      <c r="B10" t="s">
        <v>1</v>
      </c>
      <c r="C10" t="s">
        <v>1</v>
      </c>
      <c r="D10" s="143" cm="1">
        <f t="array" ref="D10">_xll.FDS(C10,"FREF_MARKET_VALUE_COMPANY(0,,,USD,,0,,""LEGACY"")")</f>
        <v>514204.74245700001</v>
      </c>
      <c r="E10" t="s">
        <v>720</v>
      </c>
      <c r="F10" t="str">
        <f t="shared" si="0"/>
        <v>FC0000US</v>
      </c>
      <c r="G10" s="142" cm="1">
        <f t="array" ref="G10">_xll.FDSZ(F10,"FMA_MCAP(0,,,USD,""PORTAGG"")")</f>
        <v>54421530</v>
      </c>
    </row>
    <row r="11" spans="1:7" x14ac:dyDescent="0.35">
      <c r="A11" t="s">
        <v>869</v>
      </c>
      <c r="B11" t="s">
        <v>874</v>
      </c>
      <c r="C11" t="s">
        <v>865</v>
      </c>
      <c r="D11" s="143" cm="1">
        <f t="array" ref="D11">_xll.FDS(C11,"FREF_MARKET_VALUE_COMPANY(0,,,USD,,0,,""LEGACY"")")</f>
        <v>654.73199999999997</v>
      </c>
      <c r="E11" t="s">
        <v>621</v>
      </c>
      <c r="F11" t="str">
        <f t="shared" si="0"/>
        <v>FC0000FR</v>
      </c>
      <c r="G11" s="142" cm="1">
        <f t="array" ref="G11">_xll.FDSZ(F11,"FMA_MCAP(0,,,USD,""PORTAGG"")")</f>
        <v>3417779.5</v>
      </c>
    </row>
    <row r="12" spans="1:7" x14ac:dyDescent="0.35">
      <c r="A12" t="s">
        <v>870</v>
      </c>
      <c r="B12" t="s">
        <v>872</v>
      </c>
      <c r="C12" t="s">
        <v>867</v>
      </c>
      <c r="D12" s="143" cm="1">
        <f t="array" ref="D12">_xll.FDS(C12,"FREF_MARKET_VALUE_COMPANY(0,,,USD,,0,,""LEGACY"")")</f>
        <v>287.10899999999998</v>
      </c>
      <c r="E12" t="s">
        <v>673</v>
      </c>
      <c r="F12" t="str">
        <f t="shared" si="0"/>
        <v>FC0000NL</v>
      </c>
      <c r="G12" s="142" cm="1">
        <f t="array" ref="G12">_xll.FDSZ(F12,"FMA_MCAP(0,,,USD,""PORTAGG"")")</f>
        <v>1128662.8</v>
      </c>
    </row>
    <row r="13" spans="1:7" x14ac:dyDescent="0.35">
      <c r="A13" t="s">
        <v>273</v>
      </c>
      <c r="B13" t="s">
        <v>873</v>
      </c>
      <c r="C13" t="s">
        <v>864</v>
      </c>
      <c r="D13" s="143" cm="1">
        <f t="array" ref="D13">_xll.FDS(C13,"FREF_MARKET_VALUE_COMPANY(0,,,USD,,0,,""LEGACY"")")</f>
        <v>357.71699999999998</v>
      </c>
      <c r="E13" t="s">
        <v>705</v>
      </c>
      <c r="F13" t="str">
        <f t="shared" si="0"/>
        <v>FC0000SE</v>
      </c>
      <c r="G13" s="142" cm="1">
        <f t="array" ref="G13">_xll.FDSZ(F13,"FMA_MCAP(0,,,USD,""PORTAGG"")")</f>
        <v>1027795.8</v>
      </c>
    </row>
    <row r="14" spans="1:7" x14ac:dyDescent="0.35">
      <c r="A14" t="s">
        <v>868</v>
      </c>
      <c r="B14" t="s">
        <v>871</v>
      </c>
      <c r="C14" t="s">
        <v>866</v>
      </c>
      <c r="D14" s="143" cm="1">
        <f t="array" ref="D14">_xll.FDS(C14,"FREF_MARKET_VALUE_COMPANY(0,,,USD,,0,,""LEGACY"")")</f>
        <v>429.10424999999998</v>
      </c>
      <c r="E14" t="s">
        <v>641</v>
      </c>
      <c r="F14" t="str">
        <f t="shared" si="0"/>
        <v>FC0000IT</v>
      </c>
      <c r="G14" s="142" cm="1">
        <f t="array" ref="G14">_xll.FDSZ(F14,"FMA_MCAP(0,,,USD,""PORTAGG"")")</f>
        <v>884369.7</v>
      </c>
    </row>
    <row r="15" spans="1:7" x14ac:dyDescent="0.35">
      <c r="D15" s="143"/>
      <c r="G15" s="142"/>
    </row>
    <row r="17" spans="1:7" x14ac:dyDescent="0.35">
      <c r="A17" s="46" t="s">
        <v>366</v>
      </c>
      <c r="B17" s="46" t="str" cm="1">
        <f t="array" ref="B17">_xll.FDS(C17,"FG_COMPANY_NAME")</f>
        <v>Nasdaq South Africa</v>
      </c>
      <c r="C17" s="46" t="s">
        <v>852</v>
      </c>
      <c r="D17" s="149" cm="1">
        <f t="array" ref="D17">_xll.FDSZ(C17,"FMA_MCAP(0,,,USD,""PORTAGG"")")</f>
        <v>0</v>
      </c>
      <c r="E17" s="46" t="str" cm="1">
        <f t="array" ref="E17">_xll.FDS(A17,"FG_COMPANY_NAME")</f>
        <v>South Africa</v>
      </c>
      <c r="F17" s="46" t="str">
        <f>_xlfn.CONCAT("FC0000",RIGHT(A17,2))</f>
        <v>FC0000ZA</v>
      </c>
      <c r="G17" s="149" cm="1">
        <f t="array" ref="G17">_xll.FDS(F17,"FG_MCAP_IDX(0,,,USD)")</f>
        <v>310831.56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5316220"><![CDATA[{"FC0000ZA^FG_MCAP_IDX(0,,,USD)":310831.56,"EWI^FREF_MARKET_VALUE_COMPANY(0,,,USD,,0,,\"LEGACY\")":429.10425,"EWD^FREF_MARKET_VALUE_COMPANY(0,,,USD,,0,,\"LEGACY\")":357.717,"FC0000SE^FMA_MCAP(0,,,USD,\"PORTAGG\")":1027795.8,"EWN^FREF_MARKET_VALUE_COMPANY(0,,,USD,,0,,\"LEGACY\")":287.109,"FC0000NL^FMA_MCAP(0,,,USD,\"PORTAGG\")":1128662.8,"EWQ^FREF_MARKET_VALUE_COMPANY(0,,,USD,,0,,\"LEGACY\")":654.732,"FC0000FR^FMA_MCAP(0,,,USD,\"PORTAGG\")":3417779.5,"SPY^FREF_MARKET_VALUE_COMPANY(0,,,USD,,0,,\"LEGACY\")":514204.742457,"FC0000US^FMA_MCAP(0,,,USD,\"PORTAGG\")":54421530.0,"QQQ^FREF_MARKET_VALUE_COMPANY(0,,,USD,,0,,\"LEGACY\")":258878.74,"EWU^FREF_MARKET_VALUE_COMPANY(0,,,USD,,0,,\"LEGACY\")":2812.68,"FC0000GB^FMA_MCAP(0,,,USD,\"PORTAGG\")":3254713.3,"EWL^FREF_MARKET_VALUE_COMPANY(0,,,USD,,0,,\"LEGACY\")":1125.0225,"FC0000CH^FMA_MCAP(0,,,USD,\"PORTAGG\")":2087703.9,"EWJ^FREF_MARKET_VALUE_COMPANY(0,,,USD,,0,,\"LEGACY\")":16719.381,"FC0000JP^FMA_MCAP(0,,,USD,\"PORTAGG\")":6391685.0,"EWG^FREF_MARKET_VALUE_COMPANY(0,,,USD,,0,,\"LEGACY\")":971.418,"FC0000DE^FMA_MCAP(0,,,USD,\"PORTAGG\")":2306288.0,"EWC^FREF_MARKET_VALUE_COMPANY(0,,,USD,,0,,\"LEGACY\")":2744.676,"FC0000CA^FMA_MCAP(0,,,USD,\"PORTAGG\")":2753637.5,"EWA^FREF_MARKET_VALUE_COMPANY(0,,,USD,,0,,\"LEGACY\")":1733.892,"FC0000AU^FMA_MCAP(0,,,USD,\"PORTAGG\")":1676362.5,"ENZL^FREF_MARKET_VALUE_COMPANY(0,,,USD,,0,,\"LEGACY\")":88.296,"FC0000NZ^FMA_MCAP(0,,,USD,\"PORTAGG\")":89841.945,"NQG00809^FG_COMPANY_NAME":"Nasdaq South Africa","CC_ZA^FG_COMPANY_NAME":"South Africa","NQG00809^FMA_MCAP(0,,,USD,\"PORTAGG\")":null,"FC0000IT^FMA_MCAP(0,,,USD,\"PORTAGG\")":884369.7,"DUMMY^ECON_EXPR_DATA('FDS_ECON[NTCPMIMFGSA@IT]',,,M)":47.30108,"DUMMY^ECON_EXPR_DATA('FDS_ECON[NTCPMIMFGMESA@US]',,,M)":49.9503,"DUMMY^ECON_EXPR_DATA('FDS_ECON[]',,,M)":null,"DUMMY^ECON_EXPR_DATA('FDS_ECON[NTCPMIMFGSA@NL]',,,M)":51.31471,"DUMMY^ECON_EXPR_DATA('FDS_ECON[NTCPMIMFGSA@CA]',,,M)":49.43967,"DUMMY^ECON_EXPR_DATA('FDS_ECON[NTCPMIMFGSA@CH]',,,M)":41.378143,"DUMMY^ECON_EXPR_DATA('FDS_ECON[NTCPMIMFGSA@FR]',,,M)":45.28704,"DUMMY^ECON_EXPR_DATA('FDS_ECON[NTCPMIMFGSA@NZ]',,,M)":48.932884,"DUMMY^ECON_EXPR_DATA('FDS_ECON[NTCPMIMFGSA@GB]',,,M)":49.074535,"DUMMY^ECON_EXPR_DATA('FDS_ECON[NTCPMIMFGSA@JP]',,,M)":49.568592,"DUMMY^ECON_EXPR_DATA('FDS_ECON[NTCPMIMFGSA@DE]',,,M)":42.45923,"DUMMY^ECON_EXPR_DATA('FDS_ECON[NTCPMIMFGSA@AU]',,,M)":49.583427,"CAGDPY@FR^EE_ACTUAL_ANNUAL(MED,+1)":-0.8,"CAGDPY@AU^EE_ACTUAL_ANNUAL(MED,+1)":0.5,"USDITL^FG_PRICE_CHANGE(0,-3AM)":0.09279251,"USDANG^FG_PRICE_CHANGE(0,-3AM)":0.0,"USDUSD^FG_PRICE_CHANGE(0,-3AM)":0.0,"USDGBP^FG_PRICE_CHANGE(0,-3AM)":0.9710312,"USDJPY^FG_PRICE_CHANGE(0,-3AM)":4.1854978,"USDCAD^FG_PRICE_CHANGE(0,-3AM)":1.7160058,"USDNZD^FG_PRICE_CHANGE(0,-3AM)":2.0430207,"EWA^FMA_EPS(NTMA,-20AY,0,CY,,\"PORTAGG\",\"MEANR\")":[1.18421421757289,1.35622936034371,1.68223219538503,2.01218211762237,1.47822239950882,1.49861477471222,2.04832230944667,2.08841813329258,1.8915836506348,1.71909344341549,1.51920222936301,1.20321447580294,1.28201594869045,1.44580701527009,1.37894957605166,1.3179970851092,1.26256164176903,1.41909398824033,1.56850336770513,1.47892717787447],"ENZL^JULIAN(P_PRICE_RETURNS_PR('52W',2,-10AY,0,AM).DATES)":[41768,41799,41829,41859,41891,41921,41950,41982,42013,42044,42072,42103,42132,42164,42194,42223,42256,42286,42317,42347,42377,42409,42438,42468,42499,42530,42559,42591,42622,42650,42683,42713,42744,42775,42803,42832,42864,42895,42923,42956,42986,43017,43048,43077,43109,43140,43168,43199,43229,43259,43290,43321,43350,43382,43413,43441,43474,43504,43532,43564,43594,43623,43655,43686,43717,43747,43777,43808,43839,43868,43899,43930,43959,43991,44021,44050,44083,44113,44144,44174,44204,44236,44264,44295,44323,44356,44386,44417,44448,44477,44509,44539,44568,44601,44629,44659,44690,44721,44750,44782,44813,44841,44874,44904,44935,44966,44994,45022,45055,45086,45114,45147,45177,45208,45239,45268,45300,45331,45359,45391,45421],"EWD^FMA_DIV_YLD(NTMA,-10AY,0,AM,\"PORTAGG\",\"MEANR\")":[4.1243482592008,4.05408187348991,4.16071019190159,4.37720207104654,4.23405839384919,4.46250538523322,4.17339509043396,4.10790798591417,4.1537943816742,3.79781381019383,3.69025276983569,3.61380222639076,3.842182667258,3.94629840746436,4.06678146726919,3.98437900954015,4.27313337916514,4.31015168727001,4.16605258915655,4.33706332294324,4.60362251734442,4.71088068118852,4.30635785431664,4.39523332943867,4.41767135374233,4.4526651229249,4.50718948749514,4.22501835647228,4.22129046246409,4.15570652068197,4.09375521025254,3.8795934791461,3.92021182399506,3.67359804229765,3.6320494099763,3.66103139069368,3.48945370177046,3.53038431692621,3.58400856421004,3.69395798071909,3.76128239325648,3.54251715134294,3.58410027579861,3.68967703110684,3.63213353311301,4.02556926118666,3.83733383035062,4.13773902685719,3.94887643577668,4.11126866658142,4.17762319549991,4.06044752471532,4.12125759641621,4.10323534382657,4.38320485486567,4.61837695091697,4.53523999866356,4.30921531394334,4.21106658217359,4.0813007732108,4.22805486239178,4.29288616063058,4.13884044864102,4.2744558551353,4.07619114244912,3.98362538555552,3.65923323131066,3.6969050881513,3.56872439891472,3.47953523605967,4.16941688826205,3.62115870518343,3.30612151878215,2.94810982498786,2.99665017771844,3.02889405300453,2.96311652273509,2.98396139017017,3.03382503810547,3.01348373165081,2.99594323113798,3.01006319058251,2.8367623048791,2.70183986695356,2.78921353776975,2.67692084411636,2.67209223700779,2.73248916255417,2.75308186139255,2.9314624385972,2.99145760462457,2.91606843619888,2.88173368247728,2.8598043131371,3.26028542986515,3.10341377039914,3.61801148836439,3.3002436950013,3.62770700447285,3.55058294388299,3.66067426980071,3.79716123185371,3.71405659978638,3.59821764389788,3.5388324276565,3.50629073622912,3.56002862879105,3.71913940336648,3.73402252941214,3.70548307316871,3.82724350690733,3.87211210338883,3.96927758132237,3.86308063608638,3.83592132685954,3.03411570136736,3.00415747956679,3.3550856027335,3.21872576126583,3.24130164419883,3.24874056705176],"EWQ^FMA_PE(NTMA,-10AY,0,AM,\"PORTAGG\",\"MEANR\")":[14.0611974107165,14.4626755606172,13.7131351773243,13.054013761082,13.7886308515126,12.8310552454943,13.1257042522807,13.6449326433676,13.5183553642329,15.4224852188846,16.2787237874534,17.0287289976463,16.4598808836378,15.5616653564889,15.0472191332616,15.8796368128583,14.4262484819307,14.6264557862971,15.2124153418205,14.5453762028312,13.6482204024616,13.0564116057037,14.4250727513895,14.0965319396562,14.1433302448258,14.2208988774604,13.4433692054303,14.1065181528972,14.0818527749777,13.8071108488435,13.9010945097637,14.3963557909099,14.6137992411619,14.2483318085172,14.4751834007836,14.9268719457641,15.4657445747727,15.0857833266054,14.6050509647534,14.6146550211842,14.5938546318309,15.2028650400946,15.1050623500264,15.0807403721605,15.2791594556237,14.0302646214365,14.5561082665678,14.4104209542654,14.8402097806541,14.360214453195,14.0744901829058,14.0901954550804,13.3790089075246,13.345047118116,12.8255122560701,12.1528409970108,12.2733250969159,12.7518756264487,13.389551665396,13.8092575104258,13.4685248128253,13.5480177128308,13.9362261199452,13.5032006423679,14.0366820326133,13.7807533272941,14.7464585429046,14.5841647873829,15.0207802655767,15.0173055439694,12.1531486167061,14.4908623134977,16.8083931155547,19.2245357237631,18.9420199041457,19.5873112514267,19.354697164928,18.447506381397,18.8765154935587,18.6850091858444,18.2940848987736,17.9717558013052,18.1749561530317,18.3359406113143,17.9645279217465,17.995777060839,17.2489959662251,16.8049686213087,16.2713228451041,15.4921927356172,15.9394567734205,15.5928069293862,15.859900146071,15.1507841929371,13.293764848201,13.1845817953236,11.8692965421386,12.0794718828091,11.2125345377942,11.7381131902151,11.217122843445,10.4347177804475,11.4882437034699,12.1441439091093,12.6356978067542,13.268119911041,13.2842890235569,13.3527528230257,13.398198502993,13.0086663808605,12.7596550186892,13.0568062528938,12.7954337159391,12.2673273410981,12.5739846838707,13.2866846192574,13.2265336692013,13.7989094006787,14.4736632878539,14.4608182582011,14.3981260506018],"QQQ^FMA_PE(LTMA,-10AY,0,AM,\"PORTAGG\",\"MEANR\")":[18.6831798059621,18.9939140643162,19.1205413890782,18.9100927674691,19.3740194758302,19.0263612697777,19.7512945585278,20.3665984808645,19.9467153214544,19.6724000461172,20.6907147348155,20.4977387415972,20.3269239913662,20.0665610581204,19.7009641175542,20.2352144378514,19.3371418659384,19.5756943326247,20.3681606964965,20.214281910772,18.8909591873629,17.2998050237701,18.218272567801,18.3871666874088,18.3280146479721,18.6358122112034,18.8651845983645,19.5484375911066,19.3011734708972,19.9729662689964,19.8728439240778,20.2460574627044,20.925366019442,21.4835936510787,21.6910910334971,21.6223326192103,21.8402300048255,21.8748013587034,21.6461625867379,22.1512712623506,22.1178180849743,22.5375916363471,22.9854735228866,23.1165535866492,24.5388365108205,22.7594555680994,24.1766392763791,23.4217070376032,23.334439295551,23.31499405032,23.2612222331469,23.2271488162311,22.953493310515,22.642726641441,21.1929705968218,19.7483990713588,19.5560552035971,20.356916201376,20.8384295460104,21.1856556496983,21.2762912277877,21.1478465078716,21.8777730088143,21.684763677813,22.1540561783196,22.0075765224953,23.4354247479473,24.1363465220121,26.1437363491514,26.6104981827653,23.5066602334122,23.9586368620355,25.6723465951813,27.2006599163191,28.7927972277653,29.1053992036647,30.3284412906517,31.7159203918832,31.6864550836772,33.6482140685725,35.6737007467951,35.342522385041,32.7311730482668,32.8854909056106,31.9233352786327,31.4220688289771,32.0521816636694,31.3918843537787,31.6228504220818,30.463981185866,31.9634289752691,31.5787257560901,30.4094443542769,28.4572441264713,26.4931786298957,26.5723987966581,25.2762143689558,24.9483255764206,24.603772074484,25.7880769585896,25.0694818397014,22.7368196989686,22.2205038611682,23.1611527570114,23.0275315948347,25.8041725346363,25.1843613576838,25.6386052290867,25.6470089297307,26.6471379852146,27.205628459393,26.4042237289726,26.5674202803918,26.4317960129934,26.4761937347155,27.9102498897511,28.83265757282,30.4393399015297,30.2193713825455,29.9185063848954,29.5858071913356],"DDR3512M-FDS^FG_PRICE(0)":0.96773726,"PASP-FDS^FG_PRICE(0)":960.0,"PLATI-FDS^FG_PRICE(0)":972.0,"W-FDS^FG_PRICE(0)":6.1975,"COPP-FDS^FG_PRICE(0)":4.6075,"FC0000US^FG_PRICE(0)":392.14526,"FC0000GR^FG_PRICE(0)":9.90868,"EWI^FG_PRICE(0)":37.89,"SPY^FG_PRICE(0)":520.17,"EWJ^FG_PRICE(0)":68.34,"ENZL^FG_PRICE(0)":45.28,"EWA^FG_COMPANY_NAME":"iShares MSCI Australia ETF","FXI^P_PRICE(0)/P_PRICE_LOW_PR(0,,,,,,\"PRICE\",\"INTRA\",\"52W\")-1":0.31351864,"SPY^FMA_PCT_ABOVE_MAVG(200,0,,,,\"PORTAGG\")":74.2,"DUMMY^ECON_EXPR_DATA('FDS_ECON[NTCPMIMFGSA@EME]',,,M)":51.99054,"EWD^FMA_ROE(NTMA,-20AY,NOW,FY,\"PORTAGG\",\"MEANR\")":[16.2261090864793,17.2247287220762,18.2100106841597,18.8871757625538,13.942889841066,10.3461745032911,15.8182159921786,15.7255547384444,14.800794930169,14.1943515647563,13.790896513923,13.0367586478869,12.3225531542011,13.8549633296522,13.3193557094803,13.411796827237,11.9070326866152,15.3602779627681,14.6912945484006,15.4099830395887],"^FG_YIELD(-10AY,0,Y,,\"YTM\")":[null,null,null,null,null,null,null,null,null,null],"TRYCA10Y-FDS^FG_YIELD(-10AY,0,Y,,\"YTM\")":[1.79,1.39,1.72,2.04,1.96,1.7,0.67,1.42,3.3,3.0987],"TRYDE10Y-FDS^FG_YIELD(-10AY,0,Y,,\"YTM\")":[0.5475,0.636,0.22,0.47,0.239,-0.189,-0.575,-0.181,2.534,2.004],"WL-FDS^MAX(FG_PRICE(0,-5AY))":763.4,"CPALM-FDS^MAX(FG_PRICE(0,-5AY))":8163.0,"BRENT-FDS^MAX(FG_PRICE(0,-5AY))":140.85,"FC0000GB^FG_PRICE(0)":127.644554,"EWD^FG_PRICE_MAVG(0,,,,200)":36.39495,"QQQ^FG_PRICE_MAVG(0,,,,200)":399.9724,"EWG^FG_PRICE_MAVG(0,,,,200)":28.70195,"EWI^FG_COMPANY_NAME":"iShares MSCI Italy ETF","ENZL^FG_COMPANY_NAME":"iShares MSCI New Zealand ETF","FXI^P_PRICE(0)/P_PRICE_HIGH_PR(0,,,,,,\"PRICE\",\"INTRA\",\"52W\")":0.89718395,"URTH^PERCENT_CHANGE(FMA_EPS(+1,0,,,,\"PORTAGG\",\"MEAN\"),FMA_EPS(+1,-1AM,,,,\"PORTAGG\",\"MEAN\"))":0.160842246080257,"VGK^FG_TOTAL_RETURNC(0,-1AM)":2.4791002,"EWD^FG_TOTAL_RETURNC(0,-6AM)":26.274824,"EWQ^P_PRICE(0)/P_PRICE_LOW_PR(0,,,,,,\"PRICE\",\"INTRA\",\"52W\")-1":0.24688065,"EWU^PERCENT_CHANGE(FMA_EPS(+1,0,,,,\"PORTAGG\",\"MEAN\"),FMA_EPS(+1,-3AM,,,,\"PORTAGG\",\"MEAN\"))":2.21503879175868,"EWJ^FG_TOTAL_RETURNC(0,-3AM)":2.566409,"EWC^P_PRICE(0)/P_PRICE_HIGH_PR(0,,,,,,\"PRICE\",\"INTRA\",\"52W\")":0.9911963,"ENZL^FG_TOTAL_RETURNC(0,-12AM)":-7.4812174,"EWJ^FMA_COS_DOWN(\"EPS\",\"1M\",+1,0,,,\"PORTAGG\",\"MEANR\")":82.0,"CAGDPY@FR^EE_ACTUAL_ANNUAL(MED,0)":-0.76356065982077,"CAGDPY@AU^EE_ACTUAL_ANNUAL(MED,0)":1.21871580460395,"USDITL^FG_PRICE_CHANGE(0,-1AM)":0.7516384,"USDANG^FG_PRICE_CHANGE(0,-1AM)":0.0,"USDUSD^FG_PRICE_CHANGE(0,-1AM)":0.0,"USDGBP^FG_PRICE_CHANGE(0,-1AM)":1.3026953,"USDJPY^FG_PRICE_CHANGE(0,-1AM)":2.5915742,"USDCAD^FG_PRICE_CHANGE(0,-1AM)":0.73571205,"USDNZD^FG_PRICE_CHANGE(0,-1AM)":0.5979657,"ENZL^FMA_EPS(NTMA,-20AY,0,CY,,\"PORTAGG\",\"MEANR\")":[null,null,null,null,null,null,2.40890596176463,2.24117429803946,2.40285148565594,2.31210808961864,2.19492193820354,2.04943671601749,2.14962845087329,2.26706810161072,2.29721148308571,2.24732564412744,1.98522618259249,1.82093688879477,2.11037846476333,2.11106621771878],"EWI^FG_TOTAL_RETURNC(-10AY,0,AM)":[-2.8428078,5.7946086,-6.077838,-9.660417,5.249512,-10.652709,-1.58512,1.4005542,-10.57061,6.454122,6.3550115,4.1208744,3.100264,-2.3032606,-3.3696353,7.586205,-6.217951,4.101157,-5.6467476,-2.018094,-8.103836,-16.434109,10.204088,-1.010102,1.9557834,1.584661,-10.914719,5.1184773,2.8854847,-3.6809802,0.7279396,6.097567,5.0043106,-2.6186645,2.773106,3.7612438,8.628845,2.3939013,1.5315294,7.0337415,1.7258525,0.29363632,0.2602458,1.7196655,2.4440765,-0.75140595,2.7129412,1.1670709,1.7607808,-11.724347,3.1148672,-3.1334221,-5.5999994,-1.5843809,-4.717326,-2.750492,4.4287086,0.27428865,4.7284007,5.1865697,-3.1926215,-0.40308237,6.792176,-7.5579286,6.787503,-2.5641084,9.34025,-3.3559322,5.2877784,0.13418198,-22.847569,-6.64351,-3.3023238,20.49061,-1.5354335,4.260552,1.0215998,-1.8280804,5.19017,9.604526,5.2608967,0.987494,0.58670044,2.6895642,3.281784,4.64406,-4.8095646,2.7010322,-1.2696564,-1.1022687,5.3560376,-4.6723485,3.8625956,-0.09031296,-14.5827,2.8218627,-10.120064,4.603684,-10.868746,3.6708832,-3.0525029,-8.732158,17.203308,7.37834,6.326604,6.385207,-1.73828,3.0707598,2.6878238,-2.2957802,3.6706328,2.10526,-2.780372,-3.9524496,3.5797954,7.7842355,2.0505905,0.92178583,8.043612,1.2271643,2.074349],"EWN^FMA_DIV_YLD(NTMA,-10AY,0,AM,\"PORTAGG\",\"MEANR\")":[2.81516617120969,2.77160432574237,2.84096278250363,3.11480090706265,2.97334941452442,3.12400001901499,3.12370248014667,3.05100392099476,3.13375663660281,2.92139671435607,2.67422113019339,2.60672509132911,2.74308993914674,2.94737701436939,2.99650397739465,2.98967519735846,3.40307944449195,3.46208639246176,3.18773251612642,3.29548132702031,3.33034751755042,3.62987132251795,3.32657915871566,3.37669772482865,3.42347472428156,3.18853377551626,3.35386268223975,3.1512707064711,3.15535955984215,3.13087405220565,3.15535043065522,3.04139651137152,2.95478113343573,2.90973775564551,2.79083654633899,2.76993824614116,2.68005270568853,2.70111645765119,2.8206009519334,2.76752895423031,2.87125936927571,2.77224637236779,2.7854363619806,2.82185326854052,2.77653577396581,2.99428155186221,2.90740052526616,2.95955640952797,2.90900348063746,2.87028654803631,2.94977583317162,2.85915125398844,3.02118742248391,3.10496948567687,3.1656999123636,3.35298712599092,3.406603968242,3.22128660039107,3.15724848194982,3.01901324582261,3.07183821936955,3.10875025678797,3.00495310378249,3.03754782133028,2.88298876175899,2.81306270209946,2.65550875797872,2.63266520474135,2.5683089845938,2.5376776933915,3.13099776738774,2.88339649845138,2.64932175497172,2.39798069529617,2.33801082178318,2.358298294158,2.31802295996142,2.27544631524992,2.18463125275117,2.0449981649387,1.9272703827912,1.92307718085907,2.03984781129942,1.90472063960407,1.93481507367627,2.00353985500042,2.02574283117987,1.90989660818135,1.85220919634869,1.98424972390259,1.85344109191081,1.97225587382969,1.97684614693776,2.15268967768817,2.40046505844477,2.29944400160582,2.65182180282788,2.57772761858846,3.35687439711165,3.14878722140399,3.67773050516798,3.04297307045026,2.8860861961642,2.64607513538925,2.61138388974846,2.54973682971498,2.6863876547348,2.67261227395525,2.70733870343559,2.68167495367711,2.76149055106834,2.75728610154664,2.95769709978881,3.05619573097123,2.92635185972595,2.72909089662459,2.72477259574214,2.47229034307984,2.5681126416354,2.53530822410139,2.50978857609856],"SPY^FMA_PE(NTMA,-10AY,0,AM,\"PORTAGG\",\"MEANR\")":[14.9201442847908,15.3684887937043,15.399363803843,14.8819560020352,15.2102507414586,14.6915480576352,15.5888953377319,15.8780193248946,16.0157856576161,16.4556883879809,16.6610038762995,16.6576429670076,16.7257895760468,16.2955507845948,15.9883670361899,16.2089911606002,15.1132364084491,15.7512636421626,16.2951600874107,15.9880972663629,15.0775332321664,15.5099438140132,15.5167363536305,16.5004635460184,16.5226770167304,16.689842332436,16.7435056681132,16.9898624495697,16.443516067559,16.5151819698588,16.5192809661025,17.0817729331739,16.9776165653697,17.2970833609305,17.6360948098669,17.4194877800352,17.489990220726,17.5892922074256,17.4006071657993,17.618319525359,17.3913767300967,17.8690660561794,17.9370392941439,18.2138627069661,18.2813894532658,16.4319397139113,17.2975432074564,16.0936634649677,16.3079521010319,16.579407296592,16.4655621648716,16.6229078469228,16.5945683601953,16.5342652099298,15.8933845224029,15.0234000605761,15.005325870257,15.786380009013,15.9448451738587,16.6801720125585,16.4557739833221,16.3647716173718,16.9389412222142,16.6013547034569,16.8295145862949,16.4947360232797,17.4711853811505,17.6492837092433,18.3683831994574,18.6754522282157,15.4701974549163,17.9658547604215,20.8324334946109,22.6581013335107,21.9730871903651,22.3092213680852,22.0671702559665,22.0771935218756,21.7278799181789,21.9304321195746,22.6648419122695,22.1566865789143,21.5947556821972,22.5068850266171,21.7179378651201,21.2008694043677,21.6116833896764,21.001066082699,21.0188766936231,20.4286054739634,21.3947759861316,21.0614595334927,20.8551166173583,20.1783681816455,18.5872913427487,19.1826567354499,16.8734211373839,16.8009305892807,16.2598102077353,17.3986156398293,17.0969696974772,15.3930169424655,16.245024204721,17.0290961121043,16.9085365424462,18.0080645904438,17.2051714011614,18.0557897410503,17.9314216190624,18.5018371322987,18.898512815733,18.9304326544272,18.6019759958248,18.0216978243088,17.9815160805012,18.8380394754839,19.445771030229,20.3911597216291,20.5157100966945,20.6805486466131,20.349688941604],"EWU^FMA_PE(LTMA,-10AY,0,AM,\"PORTAGG\",\"MEANR\")":[14.3859734416984,14.4113987828792,14.2926017402911,14.0598319107142,14.1673160617142,13.6097830230502,13.833105787805,13.7226186339223,13.4770673405133,14.4724084145196,15.1786690474918,15.4081939714552,15.6949630011271,15.5608600324374,15.4353456559463,15.8234109728165,15.1773748094377,15.7553625559977,15.7237122202796,15.4856031615457,14.838810247841,14.2436051797016,15.5969841865026,15.7835128991294,15.8083983886615,16.0472594385287,16.2632225644992,16.8577807215651,16.851203979754,17.0723124975937,16.6572335114519,16.8868474178802,17.2203716817598,17.2944894511242,17.2787063779368,17.0704791111216,16.8573266523286,16.6940067692947,16.3966061115335,16.4067286982957,15.99755873736,15.8473212698638,15.4636094172901,15.1429189140729,15.5745715568883,14.2238916401885,13.9813350069092,13.9425598672527,14.1074533833731,13.9559792008164,13.8783162180803,13.8942770639377,13.2992009027597,13.2774056543842,12.8853225820427,12.1928026294956,12.2691722117741,12.6055372883771,12.9044151049543,13.0093253291312,12.8754432936089,12.9580870657761,13.0935298396094,12.7797921585397,12.9245283094895,12.8267065713315,13.3733831963234,13.4761919191631,14.2062393703455,13.9648665752364,12.1531808347982,12.7909100078683,13.8655792986022,15.1267677010428,15.148321643057,15.9874506670883,16.7927814663994,17.2133820641384,17.3717761587609,19.4020731061264,20.6676021606189,19.3773943853324,18.73268757256,18.1176319585105,17.6112825123971,16.9541869566398,16.1862392175549,15.2598143785997,14.3967263598153,13.9037107639991,13.3148247315122,12.5657426869491,12.5685604486106,12.8437746936667,12.4309643916994,12.2927032947769,11.7277077427828,11.6288101736436,11.0046018958086,10.8575723024021,10.2646011328043,9.53669677092603,9.56010491907245,9.88684901030671,10.0248238059639,10.181225867083,10.2451155902132,10.3240240528068,10.3865644499137,10.3122070656135,10.2033195561432,10.5905155515176,10.495798668268,10.4788735036016,10.5669700974115,10.9125366339463,11.3000486941203,11.1814044015261,11.4620608865379,11.5529808174121,11.6379183436353],"NI-FDS^MAX(FG_PRICE(0,-5AY))":48241.0,"TIOS-FDS^MAX(FG_PRICE(0,-5AY))":219.77,"FC0000CA^FG_PRICE(0)":293.72125,"EWJ^FG_TOTAL_RETURNC(0,-12AM)":16.243351,"DUMMY^ECON_EXPR_DATA('FDS_ECON[PMIDMMANHE]',,,M)":48.59645,"EWN^FMA_ROE(NTMA,-20AY,NOW,FY,\"PORTAGG\",\"MEANR\")":[20.5027022731768,18.4388432839057,17.2963282197402,16.6220124304454,13.9821831035128,13.3304023919735,14.6594809949092,13.0989988533626,12.0023835077373,12.1486145572934,12.2197829564797,12.4442703427853,11.8415876112609,13.007558022755,13.2228677711132,13.091763606586,9.77856565542044,10.8991459502058,12.0158891729577,12.7459856688058],"TRYSA10Y-FDS^FG_YIELD(-10AY,0,Y,,\"YTM\")":[null,null,3.8912454,3.7299898,4.5715504,2.8775356,2.0844028,2.5113702,4.613973,4.608568],"TRYGB10Y-FDS^FG_YIELD(-10AY,0,Y,,\"YTM\")":[1.8155,2.0248,1.2817,1.2536,1.3339,0.822,0.197,0.966,3.662,3.534],"TRYKR10Y-FDS^FG_YIELD(-10AY,0,Y,,\"YTM\")":[2.6272,2.0852,2.0916,2.4797,1.9804,1.6728,1.7238,2.2417,3.6906,3.1928],"CAGDPY@US^EE_ACTUAL_ANNUAL(MED,+1)":-3.0,"CAGDPY@NZ^EE_ACTUAL_ANNUAL(MED,+1)":-6.05,"USDITL^FG_PRICE_CHANGE(0,-1AY)":1.6610265,"USDANG^FG_PRICE_CHANGE(0,-1AY)":0.0,"USDUSD^FG_PRICE_CHANGE(0,-1AY)":0.0,"USDGBP^FG_PRICE_CHANGE(0,-1AY)":0.8231759,"USDJPY^FG_PRICE_CHANGE(0,-1AY)":15.193808,"USDCAD^FG_PRICE_CHANGE(0,-1AY)":2.2171617,"USDNZD^FG_PRICE_CHANGE(0,-1AY)":5.074334,"EWA^JULIAN(FMA_EPS(NTMA,-20AY,0,CY,,\"PORTAGG\",\"MEANR\").DATES)":[38352,38716,39080,39447,39813,40178,40543,40907,41274,41639,42004,42369,42734,43098,43465,43830,44196,44561,44925,45289],"EWD^FG_TOTAL_RETURNC(-10AY,0,AM)":[-1.4343798,1.8945694,-3.4011424,-4.189378,-0.29948354,-7.02914,5.718899,1.4975429,-6.7881465,5.9876323,2.916801,0.83532333,1.834321,-1.7431676,-4.944861,1.1756539,-3.3421218,2.4036884,-3.472668,-2.2318482,-7.5500546,-3.8731158,9.324635,3.6855102,-1.184833,1.610136,-6.1704454,6.5745234,1.0515213,1.1099577,-5.0085726,3.9364338,0.4340768,5.4325223,0.59074163,1.3050556,8.502412,1.8106341,1.823926,0.2928257,1.9562006,3.0641556,-2.778548,-2.972281,4.392469,-4.81618,3.1736493,-4.6720862,3.987825,-3.3372343,-1.0455251,2.0820022,-1.7571449,0.06388426,-5.2665176,-5.323452,4.724443,0.0,0.0,7.6844573,-3.9153755,0.23003817,3.607595,-7.2828236,3.3462524,-2.4539828,12.543667,-0.40359497,4.0941715,0.9096384,-16.947115,-3.7264764,4.284096,15.891886,0.09607077,8.6319685,3.2128453,1.4452457,4.3287754,4.4905424,6.1668873,1.0255218,3.7771463,7.1201086,2.9093146,1.7127514,-1.864922,1.7981768,-0.81047416,-5.866331,8.791458,-5.3396106,2.3639083,-5.117595,-17.12187,8.69565,-16.50955,7.667196,-9.332169,5.3071737,-5.9254827,-12.012982,13.062727,10.672331,2.1139503,3.5143733,-4.0123463,2.5723457,4.274726,-3.5528839,-2.606976,0.7855654,-5.571592,0.30572414,-0.030487776,14.207315,3.0165195,-0.05310774,7.9702497,-0.467515,-0.07417202],"EWQ^FMA_DIV_YLD(NTMA,-10AY,0,AM,\"PORTAGG\",\"MEANR\")":[3.44532772786709,3.34233099943246,3.49621724908294,3.70011358799419,3.49939384709313,3.78177076500656,3.72881628866602,3.64805383671413,3.71383695470491,3.33029615460188,3.23251366099822,3.09871144483142,3.2307337248358,3.39662377161281,3.48183138751916,3.26482852606326,3.6107598409622,3.56337293234251,3.44224007890487,3.59163317526378,3.84302898174464,4.12572711759373,3.75951638797555,3.83920868258253,3.80948563704224,3.76049078660718,3.94870658377101,3.71411466426916,3.68553962811231,3.74882151191589,3.68577135476994,3.53873590391365,3.4506561373516,3.49441238123781,3.4394172975894,3.34360648574152,3.19522388626857,3.25906833707337,3.38781681109444,3.3892303802518,3.40099711373585,3.28685638691867,3.29244120978597,3.26624281764129,3.20702496630803,3.50067759329645,3.38318623993438,3.41600445338442,3.29448497415248,3.37560058025769,3.41382970155257,3.38786355518504,3.55167659019668,3.55684256532773,3.70226286608094,3.93034897281573,3.93680213739085,3.829945530741,3.66181039562826,3.55248484068802,3.64224586595366,3.62088188360734,3.52140471556374,3.68507378588642,3.53625783660859,3.60548529249327,3.37822423865481,3.41965678397147,3.32644533153121,3.31857711973761,4.14121685048587,3.95122387762285,3.49143201333343,3.05576980539317,3.16437130243889,3.16920421940286,3.10635890062963,3.18530839966649,2.98762448428554,2.90743981269046,2.87822691024615,2.90835997316444,2.78630027825068,2.717557048439,2.68402889930233,2.65373691543324,2.70365669738532,2.69048831536682,2.7657239904885,2.87193293628178,2.73360243698021,2.7841936213791,2.72480151695171,2.82433620651511,3.22717533580159,3.14473216994538,3.40907702552966,3.28138778599229,3.48308090604037,3.2823791129219,3.46854602021182,3.7094667222119,3.41984518886936,3.28545865340567,3.19474791924892,3.12304567202485,3.16411774976291,3.17223968128046,3.18382495457436,3.28917726653116,3.37095955278965,3.30760626101374,3.35932891846686,3.47850791992869,3.42596866547669,3.24818805156956,3.28245676481274,3.20098233307694,3.09889095022454,3.11151702111709,3.13385752209158],"QQQ^FMA_PE(NTMA,-10AY,0,AM,\"PORTAGG\",\"MEANR\")":[16.487651728432,17.3921281486952,17.5795916475007,17.1492210311236,17.6704225488049,17.019200917772,17.7043094817027,18.0210160217594,17.3055562398709,17.206278849841,17.9083155484884,17.9114560550436,17.9212162539688,17.6603601868277,17.2339668984755,18.3274412335173,17.1520221865596,17.5754550150943,18.6664441464856,18.4333738949688,17.1676831615518,15.966615374177,17.1816591289618,17.8141347752068,17.4469486316963,17.9356261045505,18.0707212014765,18.8354722651274,18.0902057284532,18.572808225382,18.2455563152569,18.283669809778,18.6090298018293,19.6954164994893,20.0625612968303,20.0390367740635,20.7161395436955,20.6409360776652,20.0408150291814,20.6974493639776,20.3825895832153,20.5619774993764,20.9122003209876,20.7410190621417,21.5663272726626,19.6565314103086,21.4751158155038,19.3892672371004,20.0604420876131,20.533937046742,20.7100551933603,20.746498639002,20.4420242510494,20.142951232458,19.046710566254,17.8836648291981,18.1326446125193,19.1144461451171,19.4137676772964,20.8051980986749,20.7070662300758,20.1023683084373,21.1562793105235,20.4747554892039,20.7655782421498,20.211508827507,21.5592618505441,21.8156903306794,23.3263455719971,23.8456658694013,20.0823143501294,22.2789833675044,26.4652696758906,28.326524375771,29.8691684694989,29.3011651089836,29.4868840609459,29.8249901906179,29.0303250653978,29.661980756793,30.4213254072908,30.09494566697,27.4746544008216,29.4433193845065,27.3554659869872,27.0621560523201,28.7357354864316,28.0392864372922,28.4639732210904,27.2112022347553,29.4389894426947,28.9324890114786,27.8037568513981,26.4900714133341,23.8353179255206,24.6582486958316,21.1731002659575,21.1273978383816,21.0093639026222,23.2021456337492,22.3198636751852,19.6791945041591,20.1318904099732,21.4621614400432,21.1712773213161,23.9442023018024,22.9373704555333,24.8026212678994,24.4039118211108,26.0839909699787,26.4452358730375,24.5899446876412,24.2309911715283,23.6184695279984,23.4636036740699,24.3258425821866,24.7801989755621,26.3757814473012,26.0622898580007,25.9469263123229,25.5439841689895],"EWL^FMA_PE(LTMA,-10AY,0,AM,\"PORTAGG\",\"MEANR\")":[17.1475104236444,17.2038752285019,17.0961895273045,16.9437560317559,17.4543195425737,16.8302470579156,17.2794482458017,17.3943228057054,17.2204408039944,17.1721920367168,17.9502882866627,18.172371178555,18.0196715327428,17.9002548416618,17.7958748653265,18.0731746562587,17.4268619348205,17.4293642447104,17.5863733382198,17.2429838691078,16.2936364564364,15.9280035491291,16.634412869358,16.6813078872549,16.7522242851205,17.1069926830319,17.1371365275191,17.776440247952,18.0029716744111,17.9399207978863,17.6666464627504,17.8654886768,18.6243568303514,18.67640484604,19.6301141127783,19.4295857313254,19.5634288661647,19.4440607452971,19.2925474996445,19.291926418011,19.1658699407373,19.5970623702631,20.1332980458164,20.401859905778,21.1620006293614,19.9728933721012,21.0915390608396,20.5406431848408,20.2319218328366,19.5314046073055,19.3218563551567,19.1650219114202,18.5506065333644,18.1502872531273,17.9999144029141,17.130964451627,16.759104166321,17.4627090387171,18.2758895569975,18.3171972663744,18.0681556679853,18.2438972567205,18.359760946832,18.1917427011976,18.4836717733258,18.1681991105106,18.8488744264966,19.1114162425149,19.6313605910752,20.0317411025709,17.8246262987766,18.1273033007994,18.6801216841589,19.4202989267394,19.7573036519432,20.0959217214582,20.8371970373776,20.9920117800959,21.0876688542492,21.1563735965307,22.137803175261,21.3599609730323,20.475964921027,20.6298686066957,20.5181069020412,20.8627608197938,20.894420909583,21.0626629685712,20.863170789498,20.2022687336845,20.9330548678031,21.0648718861568,21.3494405998309,20.051428584089,18.3604306421537,18.7001617053983,18.0798800016197,17.916549466869,17.7575105135131,18.2590969721795,17.9840443064741,16.9102783601066,18.9922297362341,20.350156298494,21.1386416905108,21.3891561578273,20.5617291254254,20.4236985985638,20.2517395884298,19.4821536798564,18.9958427993402,18.9448675357788,18.625915673489,18.1886492568844,17.7901231840359,18.2174356450323,18.4723822960252,18.6813936568121,19.2243678457555,19.0245419659001,18.763627322584],"WL-FDS^FG_PRICE(0)/MAX(FG_PRICE(0,-1AY))":0.75399528425465,"NI-FDS^FG_PRICE(0)/MAX(FG_PRICE(0,-1AY))":0.778311742582532,"CPALM-FDS^FG_PRICE(0)/MAX(FG_PRICE(0,-1AY))":0.856737278881852,"BRENT-FDS^FG_PRICE(0)/MAX(FG_PRICE(0,-1AY))":0.870614479821537,"TIOS-FDS^FG_PRICE(0)/MAX(FG_PRICE(0,-1AY))":0.808754162042175,"EWQ^FMA_ROE(NTMA,-20AY,NOW,FY,\"PORTAGG\",\"MEANR\")":[15.3785109881273,16.6302131420813,15.4089673624266,15.0205314626708,11.8797489821456,10.9934091834566,12.0259375987481,10.8176655066299,10.4079638226552,10.3975296667646,9.87060023176551,9.82548245608185,9.88315391318072,10.4363064842242,11.3283895806005,10.9140096513637,8.94223448963437,12.2539555438325,13.1476341644672,13.2209624057671],"TRYID10Y-FDS^FG_YIELD(-10AY,0,Y,,\"YTM\")":[7.922017,8.942368,7.89735,6.462641,8.148183,7.263584,5.902206,6.458283,6.936579,6.498571],"TRY10Y-FDS^FG_YIELD(-10AY,0,Y,,\"YTM\")":[null,null,null,null,null,null,null,null,null,null],"TRYPL10Y-FDS^FG_YIELD(-10AY,0,Y,,\"YTM\")":[2.5048,2.9303,3.6245,3.292,2.8144,2.1086,1.235,3.6216,6.8411,5.1912],"CAGDPY@US^EE_ACTUAL_ANNUAL(MED,0)":-2.99561673751749,"CAGDPY@NZ^EE_ACTUAL_ANNUAL(MED,0)":-6.9,"USDITL^FG_PRICE(0)":1796.7522,"USDANG^FG_PRICE(0)":1.79,"USDUSD^FG_PRICE(0)":1.0,"USDGBP^FG_PRICE(0)":0.7992008,"USDJPY^FG_PRICE(0)":155.575,"USDCAD^FG_PRICE(0)":1.36925,"USDNZD^FG_PRICE(0)":1.6609917,"EWI^P_PRICE_RETURNS_PR('52W',2,-10AY,0,AM)":[35.626484,42.406654,45.142113,15.791214,21.64607,-1.0115743,-2.5154948,-0.68514943,-16.682983,-13.016563,-13.01021,-13.716907,-9.937453,-15.447372,-13.009334,5.6521177,-7.6895533,7.553613,3.1148195,-0.36162734,0.51095486,-19.626976,-16.718208,-21.030611,-21.701176,-18.585217,-22.648357,-26.663858,-19.545109,-24.518782,-20.530224,-13.947892,-1.6733348,14.582407,6.856203,16.77296,19.337618,20.288288,43.06046,39.591812,34.482563,43.713833,43.046547,35.814213,33.80016,36.365734,36.285877,32.878555,24.477291,6.8599105,8.987654,-1.3651252,-8.557886,-10.182333,-14.641464,-17.337925,-16.811646,-15.391427,-14.065165,-10.897839,-15.235054,-5.197048,-0.95342994,-5.4775057,6.9260716,5.861628,20.438862,20.723688,21.716808,20.979427,-10.4576645,-20.528275,-21.05227,-3.9654493,-11.454177,-2.1341622,-5.526,-4.81236,-8.42526,3.8553715,4.4243574,4.7136426,36.51936,50.167538,64.18307,39.29807,34.666157,32.65183,29.643177,30.912853,30.807579,13.76884,12.073064,11.059416,-5.6893706,-5.9240875,-17.82139,-17.853086,-21.646791,-22.35564,-23.75772,-29.15724,-21.727758,-11.833096,-9.741449,-3.891462,10.560632,11.941921,26.621283,18.269575,38.086475,35.48466,39.978504,42.98023,26.36044,26.146496,21.737183,15.485358,24.85645,24.71056,23.965527],"EWN^FG_TOTAL_RETURNC(-10AY,0,AM)":[-2.399093,2.7315617,-1.6628504,-7.020646,4.060912,-5.8130083,2.1579623,4.140258,-6.171,3.2104254,6.515336,2.4861813,2.1178365,-1.4705956,-2.965206,5.6464553,-8.7441025,1.2831092,1.5222788,-2.7875662,-6.7176104,-1.9205034,7.2859764,3.1409144,0.28806925,2.4620414,-7.451451,6.9359064,0.7389188,1.3854861,-2.290994,-1.1517823,2.7638316,2.9942632,4.340899,2.1373987,7.8475356,2.3215532,-0.6250918,6.278026,0.5193114,1.1624217,-0.15959144,0.89514256,3.4337878,-4.0049257,4.589224,-1.1353135,-0.93110204,0.75187683,-2.007717,1.7413735,-5.261487,-2.6095629,-0.96186996,-5.2029133,-0.06990433,4.930091,1.6129017,5.6935787,0.09794235,0.35877228,2.1612644,-1.5645385,3.8410544,-1.5306175,5.926168,0.8407235,3.2266617,0.029480457,-16.479952,-2.7179658,4.753268,13.162446,3.987801,3.494227,0.3433466,4.647851,2.5068045,7.363105,6.7603827,3.4434557,-0.08997321,8.014417,2.646935,0.99493265,-2.474594,5.0840497,4.62085,-6.870514,7.478714,-7.3166075,0.9236574,-4.0469465,-14.951491,1.6116977,-12.76232,6.4950347,-7.84992,6.9015265,-5.6185904,-11.219227,9.058678,14.986694,4.55271,4.181099,-4.5119944,4.5013666,-0.79723597,1.7268062,1.1565447,1.8859148,-8.236933,-4.765505,4.68626,8.497726,1.4120698,9.680403,3.2094598,1.9435406,1.083684],"SPY^FMA_DIV_YLD(NTMA,-10AY,0,AM,\"PORTAGG\",\"MEANR\")":[2.16447193329157,2.09808960413526,2.09036197261047,2.15389955724871,2.10444596705022,2.1853585282008,2.0956166098316,2.08805975692051,2.12001625623554,2.15130672210927,2.16340380919137,2.15785648278512,2.14514835657354,2.19167451465822,2.22192215923008,2.22250331348257,2.3906175439104,2.30970880384733,2.26735951159879,2.29998980776594,2.4661001995163,2.45182025901469,2.47519773454617,2.29179874134034,2.29270141173246,2.25553357983317,2.24878536754114,2.20459700803809,2.26317548959492,2.23647800560818,2.24105701997339,2.16289050591605,2.16326795367374,2.14794346580094,2.10755026954094,2.1240980954713,2.10252080750625,2.08510706554299,2.11508918666721,2.08682868313431,2.10693943410082,2.04336641878981,2.03025356647013,1.97191508709743,1.91195688348185,2.0390592771745,1.94003063748878,2.08507544687918,2.04170122587693,1.99224838793558,2.012311885788,1.98225756764584,1.97884451623698,1.98488814378387,2.06010003386089,2.19331490069846,2.25307773209518,2.16467488035224,2.14331927862373,2.06036730735601,2.078424075934,2.08991074925767,2.02700472299887,2.07891802949826,2.04749287889309,2.09978334409203,1.99545312496521,1.97968673266129,1.91229499101802,1.89654943832548,2.31161336314965,2.22380561822489,2.06936119133871,1.88044583261367,1.89052314206606,1.77679038500573,1.75605756234966,1.71950350629439,1.68860804281309,1.63559702710484,1.55186865496302,1.53486867008595,1.55589048488486,1.46924649669298,1.44324549960371,1.4586748806036,1.42719594970472,1.42024309081958,1.41175919265648,1.45121689862844,1.3723408442194,1.38266567345892,1.38307724903215,1.4300748685675,1.54767736985616,1.47029282088781,1.65902931662192,1.66213363703977,1.72443048088119,1.64613589338143,1.68224304625129,1.88502168293029,1.84362305585213,1.76277422655773,1.78710095152108,1.71499808097966,1.79426525916414,1.71859505285292,1.71129834401907,1.65136604055292,1.61631126728927,1.60426930207374,1.6147427484229,1.6719196046922,1.67295893627227,1.58718248324225,1.5483251332316,1.4881999773307,1.46742567242122,1.44385930559444,1.47216974679205],"EWU^FMA_PE(NTMA,-10AY,0,AM,\"PORTAGG\",\"MEANR\")":[13.6092472610369,13.7216783364208,13.5128621382478,13.1736250847977,13.3881088431662,12.7208631164261,13.2627428718536,13.5834129827893,13.6574947514962,15.3926027195698,15.5377161508572,15.901807794276,16.2399889226508,15.4594910670546,14.9574501075098,15.481834850508,14.5368754851376,15.3093024904814,15.1487550516382,14.8787334533976,14.478192346495,14.5662875744154,15.9280541724792,16.0768219390082,15.6523466208645,15.7948135510239,15.8228981691241,16.2259622209935,15.7862466416168,15.6253017239002,14.726153839924,14.4597164461922,14.3720872491852,14.4615947632851,14.2900830939155,14.4363839012041,14.5387467168482,14.7216397543999,14.4349955344675,14.822476943633,14.5765965968323,14.6076866143517,14.4273169903912,14.248657304744,14.7659117138163,13.3277442334801,13.5669654160062,13.4661517089351,13.9303790703005,13.5361006103721,13.3428757065274,13.2094847360933,12.3178719434461,12.2843927650411,11.9317973522365,11.3926704609729,11.8122269393783,12.2460325682825,12.2764524275068,12.7600584594547,12.2886206451321,12.4473487415418,12.62593389376,11.9960559987459,12.1772787578402,12.0795396340604,12.7856575517294,12.8989182459691,13.466783959015,13.3729940503547,10.9701353175646,13.2268588411147,15.1830476677119,16.6126607157962,15.516208715887,15.4545593265063,15.1734178712528,14.5779776535393,14.3728401698527,15.0370970234218,14.9677482348824,13.9401979046808,14.2076753082324,13.5394060118599,13.4407302573394,13.1473786295791,12.6549612494922,12.2932544031381,11.9344242804584,12.066976119391,12.0795950627346,11.9940177539554,12.3919296074598,12.3557082706716,11.3947172303772,11.3098297667407,10.0627606905141,10.3036507422234,9.5289514135532,9.82670242705738,9.31151876578276,8.70461452588207,9.21092863780786,9.94151920008336,10.2705291300426,10.5941461716939,10.3999512586811,10.5816316685589,10.602362468355,10.2968231734256,10.0365653799907,10.5903928543298,10.3405485253722,10.258655142563,10.2758359576466,10.557882431099,11.0489782736793,11.0054872629808,11.2959143232764,11.5279273249431,11.6361163090036],"EWJ^FMA_PE(LTMA,-10AY,0,AM,\"PORTAGG\",\"MEANR\")":[15.1688181548055,15.3102520903796,15.2918251124636,14.818903289439,15.1418561000482,14.8567861502095,15.6360040351016,16.1178121258245,15.5625901440065,15.7112232485869,16.9001047264554,16.9285406456625,16.8777776509109,16.954673196823,16.4606754054872,16.9287215518732,15.695750470226,15.6083422029541,16.1544798882099,15.8526187187402,14.6537577623645,13.4406359926274,13.8529714346433,13.6592564364196,13.6733804914805,14.0623231983358,13.4947671645532,14.101559179908,14.4021382193022,14.3998654241431,13.9716756566213,16.4007547075462,16.7130466889319,16.0505811670557,15.9259490022212,15.6215402650393,15.7029266410434,15.6504208498473,15.4708678296731,15.2942914710699,14.6839244666431,15.0105563401314,15.9804673151317,16.1865590581192,16.9845366523322,15.18742475902,14.3828924480937,14.2414653390921,14.2384461316959,14.168918215758,13.8079621244271,13.7931790311459,13.3413194319534,13.6378378953045,12.9243749325811,12.504045726765,11.8063181907803,12.0513059519051,12.6477990488159,12.756287802189,12.6314589326992,12.7153514060013,12.9732523990746,12.7371439933295,13.1422446020056,13.3953129633121,14.414700152102,15.0981098206528,15.3865054345568,15.4776187792543,13.7745663062217,13.8930910141816,14.3956039721597,16.4161776394822,17.2367738669313,17.8980207310642,19.1514541507401,20.4710416399519,21.4077227768394,22.6559143863207,24.032276226305,23.7871306470515,21.5710182893974,21.2109846421044,20.7143440596893,20.1580390218061,19.4675773175031,18.9420175667256,18.6876823020239,17.5499942004129,17.499859179015,16.5451794951727,16.1109584770976,15.4073675923459,14.4914870881752,14.4853967679739,14.2370393437607,14.3158262166475,13.8634272336999,13.890488308471,13.7644468472723,13.2508149241006,13.3514654305693,13.3748551116824,12.6897150703704,13.5182386185162,13.7473228852657,13.5825968461102,13.8608687458872,14.3039726958467,14.4926380157698,14.5736925757931,14.9026916909327,14.5212114606995,14.9428798825824,14.8939321208014,15.5667198265106,16.4731291039652,17.0566123097475,16.9697698043643,16.7975642824742],"WL-FDS^FG_PRICE_CHANGE(0,-1AY)":-18.8266817092089,"NI-FDS^FG_PRICE_CHANGE(0,-1AY)":-22.1688257417468,"CPALM-FDS^FG_PRICE_CHANGE(0,-1AY)":-3.13580246913581,"BRENT-FDS^FG_PRICE_CHANGE(0,-1AY)":11.6224648985959,"TIOS-FDS^FG_PRICE_CHANGE(0,-1AY)":9.93870815652995,"EWD^FG_PRICE_MAVG(0,,,,30)":39.3625,"QQQ^FG_PRICE_MAVG(0,,,,30)":433.58734,"EWG^FG_PRICE_MAVG(0,,,,30)":30.95,"EWN^FG_COMPANY_NAME":"iShares MSCI Netherlands ETF","EWD^FG_COMPANY_NAME":"iShares MSCI Sweden ETF","FXI^FG_TOTAL_RETURNC(0,-3AM)":22.540247,"EWJ^P_PRICE(0)/P_PRICE_HIGH_PR(0,,,,,,\"PRICE\",\"INTRA\",\"52W\")":0.9483105,"VWO^FG_TOTAL_RETURNC(0,-12AM)":11.796034,"VGK^PERCENT_CHANGE(FMA_EPS(+1,0,,,,\"PORTAGG\",\"MEAN\"),FMA_EPS(+1,-1AM,,,,\"PORTAGG\",\"MEAN\"))":0.0,"EWD^FG_TOTAL_RETURNC(0,-1AM)":-0.07417202,"EWQ^FG_TOTAL_RETURNC(0,-6AM)":18.694448,"QQQ^P_PRICE(0)/P_PRICE_LOW_PR(0,,,,,,\"PRICE\",\"INTRA\",\"52W\")-1":0.37133074,"EWU^FMA_PCT_ABOVE_MAVG(200,0,,,,\"PORTAGG\")":71.4285714285714,"EWJ^PERCENT_CHANGE(FMA_EPS(+1,0,,,,\"PORTAGG\",\"MEAN\"),FMA_EPS(+1,-3AM,,,,\"PORTAGG\",\"MEAN\"))":-0.0810005197510087,"EWC^FG_TOTAL_RETURNC(0,-3AM)":5.338466,"ENZL^P_PRICE(0)/P_PRICE_HIGH_PR(0,,,,,,\"PRICE\",\"INTRA\",\"52W\")":0.8826511,"URTH^SIZE(FG_CONSTITUENTS)":1470,"EWN^FMA_COS_DOWN(\"EPS\",\"1M\",+1,0,,,\"PORTAGG\",\"MEANR\")":24.0,"EWL^FMA_COS_UP(\"EPS\",\"1M\",+1,0,,,\"PORTAGG\",\"MEANR\")":21.0,"EWQ^FMA_RBICS_REV_CURRENT(30, LOC, \"PORTAGG\")":11.6274292606377,"EWU^FG_ROE(0)":17.0386826969934,"TRYDE10Y-FDS^FG_YIELD_NAME":"Germany Benchmark Bond - 10 Year","REFFFUND-FDS^(SUBARRAY(NOT_NA(NO_REPEAT_F(FG_YIELD(NOW,-10AY,D))),0,1)-SUBARRAY(NOT_NA(NO_REPEAT_F(FG_YIELD(NOW,-10AY,D))),1,1))*100":25.0,"SPY^FMA_ROE(NTMA,-20AY,NOW,FY,\"PORTAGG\",\"MEANR\")":[15.5861790200459,16.7322038566819,17.3873562088184,17.7935626477889,13.9384597707689,14.004346429543,15.0399433453936,15.5262408812809,15.3796547722071,15.8702437846916,15.8106739007597,15.8580313128215,16.0499124928518,16.907948658911,18.8923615036562,18.2929292642344,17.2298191446197,20.6862902761839,20.5983105929019,20.3486892313688],"TRYAE10Y-FDS^FG_YIELD(-10AY,0,Y,,\"YTM\")":[null,null,null,null,null,null,null,null,null,null],"TRYJP10Y-FDS^FG_YIELD(-10AY,0,Y,,\"YTM\")":[0.3138,0.2604,0.0315,0.0465,-0.0051,-0.0208,0.0201,0.0672,0.4224,0.6127],"TRYZA10Y-FDS^FG_YIELD(-10AY,0,Y,,\"YTM\")":[7.9537,9.7513,8.9047,8.58389,9.37766,9.011772,9.179499,9.791837,10.764477,11.358896],"EWL^FG_TOTAL_RETURNC(0,-12AM)":-0.0019609928,"EWJ^PERCENT_CHANGE(FMA_EPS(+1,0,,,,\"PORTAGG\",\"MEAN\"),FMA_EPS(+1,-1AM,,,,\"PORTAGG\",\"MEAN\"))":0.330674286687039,"EWC^FG_TOTAL_RETURNC(0,-1AM)":-0.6230593,"ENZL^FG_TOTAL_RETURNC(0,-6AM)":5.699241,"CC_US^FG_COMPANY_NAME":"United States","USDITL^FG_COMPANY_NAME":"Italian Lira per U.S. Dollar","USDANG^FG_COMPANY_NAME":"Netherlands Antilles Guilder per U.S. Dollar","USDUSD^FG_COMPANY_NAME":"U.S. Dollar per U.S. Dollar","USDGBP^FG_COMPANY_NAME":"British Pounds per U.S. Dollar","USDJPY^FG_COMPANY_NAME":"Japanese Yen per U.S. Dollar","USDCAD^FG_COMPANY_NAME":"Canadian Dollar per U.S. Dollar","USDNZD^FG_COMPANY_NAME":"New Zealand Dollar per U.S. Dollar","EWD^P_PRICE_RETURNS_PR('52W',2,-10AY,0,AM)":[13.59117,17.539597,17.45696,2.5545359,2.7963042,-3.711468,0.5862117,1.5498161,-8.944845,-3.5755038,-5.4113626,-5.2149415,-2.3932338,-5.567765,-7.0768414,-0.6837368,-4.8680964,4.783976,-4.326308,-7.841712,-8.713836,-17.099035,-11.937422,-9.555304,-12.132919,-9.134203,-8.942324,-5.519569,-1.2248933,-0.71697235,-4.024601,2.0305753,10.842109,21.572256,11.859905,12.216878,20.006107,20.242893,32.81962,22.796524,21.659327,26.290476,29.255272,21.465492,25.419294,13.227749,16.135132,9.282994,4.7359347,-0.2399087,-3.362131,-1.6381562,-5.545175,-7.979685,-10.334551,-11.595928,-12.229085,-7.2045383,-9.733838,0.9605408,-6.7125854,-2.7100682,1.2786508,-8.0124855,-3.2340348,-5.6689205,11.129546,17.889095,17.179596,18.325985,-1.7936945,-12.200266,-5.6687713,10.1824875,6.448114,25.693846,24.55883,29.537846,20.082497,25.98331,27.832962,28.63946,60.738956,78.84852,81.3261,54.897465,51.862846,42.309498,36.762154,27.569199,32.33353,19.884003,16.171492,8.560932,-13.301462,-11.348539,-28.626823,-24.448513,-29.345364,-27.791231,-31.514894,-36.15728,-33.473545,-22.220505,-22.410435,-15.351695,-1.9621611,-6.363809,15.545786,3.5046816,11.684954,6.408167,10.318589,21.762276,7.661617,11.825943,12.082445,8.219683,19.631077,18.121635,13.19524],"EWQ^FG_TOTAL_RETURNC(-10AY,0,AM)":[0.33590794,2.4104476,-4.481375,-6.079668,2.492559,-9.727764,1.1660576,2.146268,-6.374085,6.1215878,2.0150185,3.601861,2.953279,-3.3042908,-4.265332,8.256876,-8.843035,3.9207697,-0.9723842,-3.6527812,-7.0832014,-3.082335,6.9513917,0.8920908,1.8105268,2.233243,-7.2562637,6.6666603,1.3003349,-0.53830147,0.20815134,1.5371919,2.3715258,0.0,2.2061706,3.7284136,8.815742,2.1557689,-0.5909741,3.3437848,1.6515017,2.287805,-0.19448996,1.5589476,3.6399484,-5.013931,4.2033195,-0.15634298,1.7851591,-0.7692337,-0.7916331,-0.15953779,-4.0588083,0.46635866,-4.874003,-5.751133,1.6859055,1.4249206,4.5389056,3.5492778,-0.96505284,1.8481135,3.121972,-3.9672077,2.7654529,-2.093029,7.4991584,-0.69444776,4.0991664,-1.3769925,-19.671112,-5.793744,0.0,17.220175,-2.9376388,4.134929,2.5775075,-1.2224138,6.0845613,7.5826287,4.33923,-1.1314154,1.6138434,4.302621,5.952382,3.187883,-2.9286742,2.7697206,-0.410676,-3.273195,7.7538013,-3.808105,4.008007,-0.63500404,-13.6503105,1.1249304,-7.874709,5.174172,-8.1182,7.8537583,-5.0847473,-9.523809,12.134504,9.647978,4.8655868,4.352772,-0.89967847,5.0619006,2.1209836,-3.3479989,0.84079504,2.824092,-3.8713038,-4.1632595,1.0505319,7.642603,0.07328987,1.9952655,5.2767158,0.024449825,2.5910616],"QQQ^FMA_DIV_YLD(NTMA,-10AY,0,AM,\"PORTAGG\",\"MEANR\")":[1.37117478268192,1.29364613494156,1.25479973168227,1.26977386463768,1.21889522489611,1.26649546563206,1.22595244141113,1.20564428043092,1.21236066567382,1.26748659270427,1.24545795867287,1.25803025240049,1.24649478998341,1.2633134108418,1.28775062460172,1.28304718642628,1.37123901519813,1.3388914690956,1.27201079028544,1.2864469425063,1.35726598599402,1.49050316831068,1.38879197899387,1.33783201423562,1.39355826448847,1.34615523532139,1.33413857509111,1.27774833362925,1.31642251813892,1.26367492592005,1.28817099597804,1.28681401466482,1.2619906152774,1.24319304729798,1.21967004317461,1.21352753742002,1.17401788070561,1.17124959059601,1.21448990076791,1.17084751161823,1.17483955877134,1.14840768290391,1.11214552940585,1.11532720407803,1.05750479376894,1.12646340323705,1.03102296146111,1.14539041198831,1.09175585079143,1.05790094265532,1.04395074838115,1.07017403241694,1.08491242145593,1.10125864504966,1.16992239306012,1.26252473066627,1.26873633366197,1.22173269993305,1.19387034799096,1.11272801705126,1.1185421152815,1.1551033042647,1.09391450454772,1.12608320903163,1.09949155844985,1.12638115887877,1.06422596667809,1.07894321336523,1.01954006567421,0.981278053562208,1.16727700289111,1.12674411209563,0.988679037580016,0.91135236286864,0.846541602749028,0.819659204982688,0.802519306332143,0.783905568013503,0.783320345634333,0.752223171231478,0.751119558342645,0.727684088327478,0.783253471588039,0.72669912787613,0.739215717701388,0.738175473547266,0.692488935134041,0.699039679730203,0.682112723076801,0.718435716041637,0.663979828379174,0.672652421937975,0.701629123045008,0.73632446039104,0.817678685318623,0.787046747669947,0.929565500516842,0.930646414913116,0.949874646922333,0.88960980099861,0.926391445855467,1.06515371067817,1.09822784432281,1.02385475103314,1.02506981301398,0.930754926075882,0.966915867161074,0.891956678312045,0.868202931503775,0.795897267730727,0.770574181868245,0.893499881983283,0.887115398153198,0.926678565851773,0.924756159129216,0.886190252764902,0.923856761533915,0.880326793853971,0.886994140778458,0.88987697160886,0.916114774585186],"EWL^FMA_PE(NTMA,-10AY,0,AM,\"PORTAGG\",\"MEANR\")":[16.2365664480007,16.3031995917247,15.9772488003361,15.5774349256573,16.2237884761841,15.3543447907834,15.8756377707234,15.9043206969745,15.7565158369341,16.8580173241429,17.3930307415562,18.1928291521445,17.6011247078023,17.2142887699576,16.9866154201493,17.5281608691175,16.6132712100367,16.5148429239243,16.906138849277,16.5939210055074,15.8580968414456,15.5184051948464,16.544470312177,16.4853254928766,16.4360987853318,16.9702864881057,16.707304082633,17.4071229095168,17.3492168529548,16.9761775300175,16.5762239722631,16.6379478574713,17.166213958049,17.3503974081437,17.5523349547656,17.3271508312652,18.0786742299037,17.85127543502,17.6475807771361,17.6993127585044,17.5004270061688,17.8557538605341,17.6753256518257,17.5932464331134,18.0101959503067,16.2648856057421,16.4759389556176,15.9845420073171,16.281883835304,15.5381965507117,15.8707628714448,16.2538108523261,15.7674247915543,15.649637831245,15.7763992586422,15.1473652252849,15.0103756105949,15.5480675608053,16.1344931768982,16.8638376365272,16.3608748609628,16.9232712301261,17.1375290940998,16.8454919914567,17.2278578799498,16.7620272671101,17.4131128666556,17.511621053205,17.7773126025891,18.3208621242064,15.6924269384085,17.201386624659,18.4695814286525,19.5371308038355,19.4425926824949,19.3260551844294,19.5306502056468,19.1489146370552,18.9317444222921,18.5033812523761,19.0504584620459,18.8513388594433,18.528732608701,19.4318662139275,19.1378939209689,19.8787540492733,19.7674143893801,19.8606198626267,19.3700345938115,18.4288348270169,19.3324548683967,19.2894388045506,19.4721462389861,18.3777373081576,17.3299806809462,18.6778455814198,16.6423604182701,16.3504606696674,16.1552568439754,16.7784872256882,16.20173530647,14.949771835961,16.2567606320913,16.781087288449,17.0808447585456,17.2132105883466,16.7952202316538,17.3221795652853,17.6324659768934,16.4810585049268,16.0661089334063,16.565288880409,16.3509211007367,15.9374768330312,15.8571254309803,16.5446389967271,17.052953147403,17.0392345919556,17.7619617415685,17.2855256446711,16.74284061865],"EWG^FMA_PE(LTMA,-10AY,0,AM,\"PORTAGG\",\"MEANR\")":[14.5998367957307,14.730187822553,14.5085497177005,13.8603220621995,14.3402558399493,13.5087330659896,13.7081942695499,14.3244308316007,14.0789368329184,15.3996110849524,16.4843134318001,16.5683014702853,16.2211010336008,15.605174114251,15.3571960093434,15.4684899623573,14.3702678527323,13.9774515135673,14.4250721598403,14.0350823480242,12.8407409301555,11.7873389197622,12.6886911791184,12.6768696427742,12.8050372849816,12.8630141141455,12.6206342876968,13.4102122822597,13.5332344123155,13.5687405145069,13.659809076753,14.3636267024595,14.8708788198076,14.8865587693231,14.9755596214636,14.9332899692868,14.9435580622143,14.8163297120057,14.515501274072,14.2518657573153,14.2073531703741,14.7435035637902,15.3067620162917,15.4888879527074,15.760268657627,14.0776883634533,14.229153280713,14.1047861797629,14.2330505752977,14.1196296975432,14.0274630095636,14.1422994430259,13.7316716483335,13.6477928595572,13.1517536795005,12.4367199439864,12.4671625465794,12.6318446564247,13.1967730997372,13.2335006277593,13.2537677094008,13.1858915982093,13.538807005148,13.3144695032251,13.9044834929621,13.8857545937715,15.1694182595225,15.1742560498115,15.7334230985571,15.5271001561719,13.7639988065761,14.2755371533434,15.2582534684707,17.179715788103,18.287098919729,19.0254185128837,20.4762850293935,20.6697172467235,20.3101526683953,21.0025081324532,22.3778803004818,21.3418020054474,20.2348195539787,19.9978889789909,19.2451007080496,18.7321817578617,18.1967916886044,17.3698652271736,16.6402322127442,15.8636020501288,15.4895026249186,14.3506278331225,14.1649556822985,13.6225412549833,12.4074766376061,12.3990685325358,11.9311947447631,12.0260123550225,11.4581765417236,11.232863018207,10.8861633542092,10.1097038368952,10.6188260276225,10.8304330094286,11.1439045057784,11.7477236355588,11.3804773611946,11.3692985645576,11.3706663646181,11.232146150223,11.0969262416903,11.229243260512,11.1951347308791,10.9025985377035,11.0517788372437,11.9231253787269,11.8894983465607,12.0271248436458,12.5261681099433,12.5475827492132,12.5436372859893],"WL-FDS^FG_PRICE_CHANGE(0,-6AM)":-23.9228125826064,"NI-FDS^FG_PRICE_CHANGE(0,-6AM)":5.52407932011332,"CPALM-FDS^FG_PRICE_CHANGE(0,-6AM)":8.37016574585636,"BRENT-FDS^FG_PRICE_CHANGE(0,-6AM)":2.2386282448202,"TIOS-FDS^FG_PRICE_CHANGE(0,-6AM)":-8.47071753807505,"EWD^FG_PRICE(0)":40.42,"QQQ^FG_PRICE(0)":441.02,"EWG^FG_PRICE(0)":32.06,"EWQ^FG_COMPANY_NAME":"iShares MSCI France ETF","FXI^FG_TOTAL_RETURNC(0,-1AM)":11.4274025,"EWJ^FG_TOTAL_RETURNC(0,-6AM)":15.717566,"VWO^P_PRICE(0)/P_PRICE_LOW_PR(0,,,,,,\"PRICE\",\"INTRA\",\"52W\")-1":0.15792274,"VGK^FMA_PCT_ABOVE_MAVG(200,0,,,,\"PORTAGG\")":69.2368839427663,"EWD^PERCENT_CHANGE(FMA_EPS(+1,0,,,,\"PORTAGG\",\"MEAN\"),FMA_EPS(+1,-3AM,,,,\"PORTAGG\",\"MEAN\"))":2.37100137120988,"EWQ^FG_TOTAL_RETURNC(0,-3AM)":8.030891,"QQQ^P_PRICE(0)/P_PRICE_HIGH_PR(0,,,,,,\"PRICE\",\"INTRA\",\"52W\")":0.98148394,"QQQ^FMA_ROE(NTMA,-20AY,NOW,FY,\"PORTAGG\",\"MEANR\")":[14.817843581598,15.4866947775921,16.8339704998129,17.9560593685279,16.5654843697708,17.5965741262714,20.0003742371644,20.9591568938239,20.7921963775154,20.047298915306,22.0568276514703,21.8504635786249,21.1146076459691,22.0784263508941,26.4902293367872,25.011729152832,24.534442850509,26.6372021642568,24.0483215722889,25.3199155964462],"TRYMY10Y-FDS^FG_YIELD(-10AY,0,Y,,\"YTM\")":[4.131911,4.345605,4.195897,3.902544,4.235642,3.300551,2.804181,3.573893,4.131847,3.727505],"TRYAU10Y-FDS^FG_YIELD(-10AY,0,Y,,\"YTM\")":[2.81,2.88,2.76,2.63,2.315,1.375,0.972,1.671,4.051,3.955],"USDSEK^STD(FG_PRICE_CHANGE(0,-3AY,M))":2.91505747000306,"USDCHF^STD(FG_PRICE_CHANGE(0,-3AY,M))":2.45552879219006,"USDUSD^STD(FG_PRICE_CHANGE(0,-3AY,M))":0.0,"USDEUR^STD(FG_PRICE_CHANGE(0,-3AY,M))":2.17952888526641,"USDAUD^STD(FG_PRICE_CHANGE(0,-3AY,M))":3.05578812282471,"EWC^FMA_PE(LTMA,-10AY,0,AM,\"PORTAGG\",\"MEANR\")":[16.2422588582579,16.2022356874999,16.3245600950186,16.2342543757366,16.4334907384751,15.5527979671744,15.6780769913796,15.2870222957568,15.3376035407089,16.3432314204729,16.9904039474101,17.2292468037511,17.3372816239292,17.1553558279422,16.8656417783604,16.9460070022645,16.4315796315224,17.0482870791567,16.7696567313389,16.0694684729075,15.0505927050366,14.8066196252382,15.855389811254,16.0124165674239,16.2832653325835,16.8421757301903,16.9398702942232,17.4669756487604,17.5260598080156,17.8311226497604,18.383753939306,19.1512962673975,19.4228760131284,19.6785845771227,19.3290326978659,19.0739248082819,18.6892084139126,18.3731674506928,17.9432470477489,17.922884910831,17.3049876506492,17.6219783411521,17.5018603271154,17.3250294085497,17.3134180866042,15.7055638038075,15.8189162920825,15.6057021177976,15.6256122548706,15.5753314974297,15.5273231356813,15.4630858664693,15.0922527522245,14.8785980187732,14.1939020728361,13.6834823827088,13.6174216582578,14.6401791659123,14.7133223918647,14.7439654169516,14.5240521487865,14.4416581758976,14.5282126827215,14.3899521995027,14.5025721003451,14.4775301773033,15.0417764068709,15.0715827042779,15.4027589463458,15.6793140455,14.1002432951762,14.7024224119322,16.1377913305158,17.3941283296962,17.460347127068,18.1670009599637,18.3069093817654,18.8406299275922,18.8571074546606,20.1996332269271,21.3647671717998,21.3773297794067,19.8968843805444,19.5288423412236,19.1914994263918,18.66469205649,18.3030045215367,17.6329714057395,17.0742365397781,16.5072064685152,16.6739571279786,15.5903306916376,15.3240888860688,15.6957728021381,15.2283033378851,14.9774588288382,14.3053776526208,14.143706138052,13.4052699977414,13.1607010306153,12.9163798040129,12.1572153111223,12.3048319343444,12.5373941196975,12.3286891443406,12.8204857478235,12.5870709877539,12.6583972444848,12.8358388441122,12.876394451056,12.9437540385095,13.442028125383,13.46989613621,13.1125297836621,13.3571730913128,14.0009768244591,14.6075213521012,14.6301487896657,14.9105500821082,15.0037701245524,14.9777562002752],"CPALM-FDS^FG_PRICE_CHANGE(0,-3AM)":0.0765306122449072,"TIOS-FDS^FG_PRICE_CHANGE(0,-3AM)":-9.44466019417476,"FC0000CH^FG_PRICE(0)":318.46484,"EWU^FG_PRICE_MAVG(0,,,,200)":32.59955,"FXI^PERCENT_CHANGE(FMA_EPS(+1,0,,,,\"PORTAGG\",\"MEAN\"),FMA_EPS(+1,-3AM,,,,\"PORTAGG\",\"MEAN\"))":-1.13261029147109,"VWO^P_PRICE(0)/P_PRICE_HIGH_PR(0,,,,,,\"PRICE\",\"INTRA\",\"52W\")":0.9935853,"EWD^PERCENT_CHANGE(FMA_EPS(+1,0,,,,\"PORTAGG\",\"MEAN\"),FMA_EPS(+1,-1AM,,,,\"PORTAGG\",\"MEAN\"))":0.0134399665677032,"QQQ^FG_TOTAL_RETURNC(0,-6AM)":19.627893,"EWL^P_PRICE(0)/P_PRICE_LOW_PR(0,,,,,,\"PRICE\",\"INTRA\",\"52W\")-1":0.14608908,"EWJ^FMA_PCT_ABOVE_MAVG(200,0,,,,\"PORTAGG\")":71.1009174311927,"EWC^PERCENT_CHANGE(FMA_EPS(+1,0,,,,\"PORTAGG\",\"MEAN\"),FMA_EPS(+1,-3AM,,,,\"PORTAGG\",\"MEAN\"))":-2.30777519462323,"URTH^FMA_COS_UP(\"EPS\",\"1M\",+1,0,,,\"PORTAGG\",\"MEANR\")":681.0,"QQQ^FMA_RBICS_REV_CURRENT(30, LOC, \"PORTAGG\")":0.907617891806806,"REFFFUND-FDS^PROPER_NAME(0,,,\"SECURITY\",\"NAME\")":"US Federal Funds Target Rate","EWJ^FMA_EVAL_EBITDA(NTMA,0,,,\"PORTAGG\",\"MEANR\")":10.6535783024538,"EWI^FMA_EPS(NTMA,-20AY,0,CY,,\"PORTAGG\",\"MEANR\")":[3.169168339117,3.12405993279458,5.04981282066684,5.56224784875388,4.17624790880873,3.08892808052067,3.32359348097665,2.98712765861625,2.83099275676073,2.51709042577162,2.20451072320163,1.95489186317479,1.78844259381098,2.35129536081733,2.64924756496654,2.59251661571796,1.99711745729498,2.96400297596909,3.54736708862932,3.81180306159793],"EWN^P_PRICE_RETURNS_PR('52W',2,-10AY,0,AM)":[20.803106,22.795391,20.945131,2.8314948,8.672894,1.0451436,-1.6838491,1.2751341,-8.207637,-2.8761506,-0.1003623,1.0577202,5.2827597,1.409626,0.06657839,13.843668,-0.29182434,7.2202563,6.553066,-0.53526163,-2.1757126,-6.030619,-5.3507447,-4.965651,-6.4528522,-2.7190864,-5.3663254,-6.0842457,3.6751628,4.077697,-0.1181066,1.5625954,11.885667,17.492258,14.267015,14.474297,21.684599,21.517765,33.34924,29.678154,26.156734,29.110765,31.927168,35.27832,35.536945,26.326252,26.626896,22.569477,12.592495,10.677874,9.322775,4.65616,-1.394397,-5.0403833,-5.803454,-11.102295,-14.494586,-6.189698,-8.77577,-2.9235065,-1.9151509,-2.0542085,1.8587828,-1.450938,8.017719,9.214401,17.135239,24.257242,28.356339,21.721436,0.57433844,-7.4298024,-3.877008,9.234691,11.187696,17.095684,12.964165,20.052124,16.17676,23.69107,28.189968,32.291412,58.25229,75.71104,75.459816,53.66491,44.11527,46.329094,52.56692,38.260616,42.3597,22.894896,17.723633,7.7637076,-8.266038,-13.505405,-26.658422,-22.664291,-25.740265,-25.662977,-32.93848,-36.63501,-35.130154,-19.519901,-16.62597,-9.476572,1.6349554,3.866303,18.861462,13.539516,24.961292,18.788815,19.212364,23.888897,18.921911,12.038064,8.840191,14.585436,22.209942,20.819712,23.110485],"SPY^FG_TOTAL_RETURNC(-10AY,0,AM)":[0.46502352,4.0540457,1.2692094,-1.9683361,3.1463504,-2.8487265,5.499637,1.5393019,-0.53157806,0.18604994,1.8228054,0.70267916,1.3020635,-1.497966,-1.2227476,1.4885306,-6.3284454,3.903973,3.3527017,-1.3168037,-5.967909,-3.3831358,7.52306,3.0943036,0.6797075,3.0068636,0.7923603,2.600515,-2.2458494,1.3365269,0.6227732,4.6819687,0.5683303,1.8281341,2.7146578,-0.2680242,1.8027186,1.6580343,-0.049084425,2.1229982,-0.2709806,3.4991264,1.6617537,2.843082,3.9252877,-4.749769,6.642449,-6.033647,3.2567024,3.224492,0.34472942,2.5800705,0.88750124,0.3831029,-3.3542037,-5.108726,-1.5409887,4.845524,1.475203,5.1407933,-0.22623539,0.3453493,3.8196325,-1.8742263,2.2563696,-1.8708706,6.066537,1.5990138,4.5778513,1.6990662,-17.450333,2.0709038,5.1186204,9.694302,-1.5643716,6.422162,1.5602112,2.4912,2.2228599,3.4662724,4.372823,2.3579717,-0.789237,6.6301465,2.583301,-0.11134148,3.6319613,1.517725,1.5493155,-2.1612048,6.7418814,-0.22037625,0.2998948,-1.8344045,-6.5852165,5.0385714,-11.037379,0.82125664,-2.7637541,5.835283,-1.1547327,-10.405284,3.1257749,5.118537,-0.9197712,4.957974,-3.814882,4.906106,0.42523146,4.616356,2.3924112,1.6417742,-0.05159974,-2.6230872,0.3585577,6.0759783,3.3908129,5.765176,2.0989656,1.802671,0.16367435],"EWU^FMA_DIV_YLD(NTMA,-10AY,0,AM,\"PORTAGG\",\"MEANR\")":[3.8271595470988,3.82775580247419,3.88609978285685,4.01466462664235,3.92115371052151,4.16917010867932,4.10030464357955,4.13860909825769,4.22313167959041,4.00606330921327,3.94723812608394,3.93116779425543,3.86174263255781,4.05440820160188,4.21349654696988,4.07027522685725,4.41017647056012,4.21592468068719,4.28139576113098,4.34799821904208,4.56809558026564,4.75807295998314,4.38352491978361,4.36324498751506,4.391545130379,4.2881489961046,4.24241830931427,4.08695213351268,4.16058799419207,4.19541174218872,4.34900013927466,4.32940806620778,4.25743425178805,4.2686811393885,4.34620847781822,4.34217466815082,4.29783791476947,4.25510615883469,4.34300679199619,4.24690655847005,4.3220849364429,4.27662127355143,4.33116030941099,4.36525188562309,4.17854037946372,4.52648762818742,4.46575346016303,4.47271343458312,4.29020066200187,4.34098741750988,4.37428695671166,4.39913418692483,4.68730018869927,4.67457424103814,4.82620639031375,5.13680106015196,5.19478225390545,5.0351069269838,5.02860546559306,4.83117448478876,4.98289365549063,4.82147313568884,4.7871127999684,5.07589190174678,5.01765093717239,5.06522009324813,4.79720927949078,4.78021345365067,4.5713524541179,4.67574974866733,5.83191774637814,5.76939994975924,4.62468309449211,3.98351437294329,4.18048458347318,4.01969756601868,4.0712021978858,4.18217388100027,4.14224784460689,3.88346526094265,3.76079293583472,4.02111232719118,3.94596750282473,3.9544635323765,3.86686484136516,3.89410922203225,4.00699698904756,4.14378712189383,4.23105039369557,4.14368245465819,4.04378227838735,4.03313005951315,3.8541286306807,3.77519764195929,4.0848444559661,3.91326718550379,4.28539289506154,4.09537235853071,4.30152515117827,4.1855916612698,4.39674697607607,4.63787984201413,4.46002100116767,4.2193097954132,4.15262407461729,4.06273131948302,4.17552896820149,4.15501439841151,4.22505046592274,4.34194972185065,4.51431621579187,4.38390224679148,4.49511928276099,4.52583087806019,4.54388411449024,4.39758377131051,4.29770191499331,4.31488812399404,4.1411170825546,4.01448819533035,3.90537640218347],"EWJ^FMA_PE(NTMA,-10AY,0,AM,\"PORTAGG\",\"MEANR\")":[12.8494573044499,13.6075379610822,13.8061130517862,13.1896086759008,13.7893122528714,13.3449772730231,14.2950699689662,14.6897328831061,13.9224536986246,14.1432836186317,15.1655506805227,15.6808915812925,15.6655521225723,15.7895388534653,14.8762782486373,15.6582503854014,13.9583732414746,14.0086136298185,14.6847249770336,14.2501929813034,13.0983679938856,11.9493928648402,12.6914833973727,12.2559847001336,12.5716959487531,13.4286550894584,12.3165579992413,13.3886704983598,13.6231945826808,13.5161456175383,12.8963077603638,14.9883334209233,14.9450011024825,14.1901429615353,14.225719159309,13.5519300048222,14.2852395375029,14.354416422436,14.192204284289,14.057334219483,13.4253563579144,14.0457376738634,15.0048153169735,14.6920993836785,15.2863937325316,13.7244013862978,12.8410379803821,12.8286354357485,13.1584945133529,13.1813628221858,12.6497491391164,12.8062302223478,12.2991698517824,12.8707409626114,12.1830320458456,11.9399101423011,11.4748243072449,11.7839178368175,12.2742177536373,12.716658278495,12.2628856381935,12.434581211629,12.9037430174079,12.3916945349303,12.9453260524669,13.1324672720874,14.1530601864086,14.5395225567006,14.5784892780583,14.5862936997702,12.0296008147284,12.876598561993,14.1449657045347,17.6504979839216,17.7350886125979,17.5832677747004,17.9977515991666,18.2031711358787,18.0707466270668,18.4893474665629,18.7375314634572,18.9245145096557,17.7062542713347,17.4869297893671,16.8970069010759,16.5254324977473,15.8682688767272,15.6550252458521,15.9373305761293,14.9002000312575,15.2586813774279,14.6340768467254,14.5244171931628,13.9118572223357,12.1213804837228,12.8972634785552,12.6347739308485,13.1354938327407,12.4498846591048,12.72006893205,12.8495892528788,12.3295305596959,12.6306239516464,12.7500404241949,12.1775253613632,13.0233907405746,13.6093321430357,12.8988817315801,13.731182239566,14.558979443088,14.6106082545662,14.4223843411217,14.6725093487035,13.9658138732804,14.2157811757518,13.8751506742074,14.2463570625329,15.0205736678415,15.7484736540153,15.7539446740178,15.4346607368914],"WL-FDS^FG_PRICE_CHANGE(0,-3AM)":-13.5086401202104,"NI-FDS^FG_PRICE_CHANGE(0,-3AM)":18.4419713831478,"BRENT-FDS^FG_PRICE_CHANGE(0,-3AM)":0.0,"FC0000AU^FG_PRICE(0)":356.97443,"EWN^FG_PRICE_MAVG(0,,,,200)":43.71608,"EWC^FG_PRICE_MAVG(0,,,,200)":35.5183,"EWI^FG_TOTAL_RETURNC(0,-12AM)":23.965527,"EWQ^FG_TOTAL_RETURNC(0,-1AM)":2.5910616,"ENZL^FG_TOTAL_RETURNC(0,-3AM)":-2.7282476,"EWQ^SIZE(FG_CONSTITUENTS)":64,"EWJ^FG_ROE(0)":9.83541349590492,"TRYAU10Y-FDS^FG_YIELD_NAME":"Australia Benchmark Bond - 10 Year","REFEUREFI-FDS^FG_YIELD(NOW,,,0)":4.5,"REFAUCASH-FDS^(SUBARRAY(NOT_NA(NO_REPEAT_F(FG_YIELD(NOW,-10AY,D))),0,1)-SUBARRAY(NOT_NA(NO_REPEAT_F(FG_YIELD(NOW,-10AY,D))),1,1))*100":25.0,"TRYUS10Y-FDS^PCTCHG(FG_YIELD(0,,,,\"YTM\"),FG_YIELD(-3AM,,,,\"YTM\"))":6.8816733,"TRYUS10Y-FDS^FG_YIELD(0,,,,\"YTM\")":4.4575,"TRYCH10Y-FDS^FG_YIELD(0,,,,\"YTM\")":0.741,"CC_US^IMF_IFS_RCPI_Q(0)":3.209516,"VGK^FMA_EVAL_EBIT(LTMA,NOW,NOW,M,\"PORTAGG\",\"MEANR\")":13.260949007199,"EWD^FG_FCF_YIELD_NTM(0)":5.09297201381219,"EWQ^FMA_PE(NTMA,0,,,\"PORTAGG\",\"MEANR\")":14.3981260506018,"QQQ^JULIAN(FMA_DIV_YLD(NTMA,NOW,NOW,M,\"PORTAGG\",\"MEANR\").DATES)":45412,"EWC^FMA_DIV_YLD(NTMA,NOW,NOW,M,\"PORTAGG\",\"MEANR\")":3.14188973465838,"ENZL^FMA_PE(LTM,0,,,\"PORTAGG\",\"MEANR\")":29.6404360799036,"EWC^FG_COMPANY_NAME":"iShares MSCI Canada ETF","EWU^FMA_ROE(NTMA,-20AY,NOW,FY,\"PORTAGG\",\"MEANR\")":[17.0013743335587,17.4840740170497,19.4425742504053,18.9225481633064,14.9735451636047,14.6457818658238,16.1542964974398,15.1996078376158,14.4781479669762,13.3640315886099,12.2326503305714,11.1900784012713,12.1967915012023,12.7329318595365,13.1887832891224,12.8710545012496,11.2050609808234,13.9227699470217,15.8587444123321,14.7207289002436],"TRYMX10Y-FDS^FG_YIELD(-10AY,0,Y,,\"YTM\")":[5.8237,6.2537,7.5651,7.6401,8.7069,6.8373,5.552,7.558,9.0223,8.95],"TRYPE10Y-FDS^FG_YIELD(-10AY,0,Y,,\"YTM\")":[5.681629,7.426917,6.415413,5.167133,5.645114,4.243226,3.535983,5.889906,7.923381,6.6087],"EWA^FMA_PE(LTMA,-10AY,0,AM,\"PORTAGG\",\"MEANR\")":[15.2140957094035,15.1616862008642,15.2409396772482,15.1637518846628,15.4482584975231,14.8236260259705,15.3197001559365,14.3509875987456,14.9696334262436,15.8685431190923,16.1609161430026,16.3263426398093,16.171792662089,15.8723959872118,15.8284103870307,15.8319538123132,15.5373932516154,15.7686341041972,15.2831430593618,15.2580521470911,14.9852778490439,14.7833959570743,15.1365248003493,15.0440316161878,15.6056988946231,15.8256515438331,15.7579605937236,16.5950991462665,16.3410469681811,16.8644596042812,16.3575322991239,17.4724396473507,18.1457838908097,17.5749907873108,17.4717205030894,17.3232594569932,17.1283179815082,16.7711077057384,16.7273129030181,16.8108709301772,16.4942940675246,16.4003305465996,16.9338952920325,16.579253036847,16.9348742726036,16.1209237484529,16.502246099838,16.2723393024575,16.3468428380779,16.1680603143844,16.3928017620743,16.3981840262306,16.0074256616399,15.6930484501557,15.4997242575337,14.8477124818024,15.0254027915738,15.7276475991797,15.9024796837006,15.8505241307805,15.8364253271513,16.0253484852617,16.2609396198629,16.2636799741993,16.6187254391309,16.6342125198025,17.467570943009,17.5980913232944,18.1051775092405,18.4543307310423,16.6414417201205,16.7400853802088,17.3381554514832,18.8098551463306,18.6052736525176,19.1389057506213,19.3972280142921,19.9101742863037,20.8709909735239,22.771178607185,23.6619447046297,22.978283852877,21.7116992062134,21.3121881870479,20.9611716476955,20.6828494980998,19.6245206930597,19.2922353888169,18.7411935579641,18.5511302399935,18.5041715036504,17.9145660046787,17.72357191728,16.4044063339942,15.6769392666925,15.7042078430406,15.1539216626814,14.7343751470802,14.1187706221358,14.5200040403921,14.1354768250674,13.5942256205717,13.7513630466322,14.2912873799392,14.1822166176844,14.7840792451734,14.2654765489933,14.2678494278165,14.3875900368775,14.3828880541592,14.4666009984728,15.0025338221565,14.937382748301,14.5968687520692,14.9474015503009,15.3967649470981,16.3041688439932,16.5067742385129,16.682284696027,16.6980330623603,16.663446151853],"WL-FDS^FG_PRICE_CHANGE(0,-1AM)":-9.22567418388267,"NI-FDS^FG_PRICE_CHANGE(0,-1AM)":4.7525309336333,"CPALM-FDS^FG_PRICE_CHANGE(0,-1AM)":-13.1503210095196,"BRENT-FDS^FG_PRICE_CHANGE(0,-1AM)":0.0,"TIOS-FDS^FG_PRICE_CHANGE(0,-1AM)":11.7511741589188,"SPY^FG_COMPANY_NAME":"SPDR S&P 500 ETF Trust","EWJ^FG_TOTAL_RETURNC(0,-1AM)":-3.0363321,"VWO^FG_TOTAL_RETURNC(0,-6AM)":13.3830185,"EWI^P_PRICE(0)/P_PRICE_LOW_PR(0,,,,,,\"PRICE\",\"INTRA\",\"52W\")-1":0.30587626,"EWQ^PERCENT_CHANGE(FMA_EPS(+1,0,,,,\"PORTAGG\",\"MEAN\"),FMA_EPS(+1,-3AM,,,,\"PORTAGG\",\"MEAN\"))":-1.36655246483517,"QQQ^FG_TOTAL_RETURNC(0,-3AM)":1.0406375,"EWG^FG_TOTAL_RETURNC(0,-12AM)":12.660933,"ENZL^FG_TOTAL_RETURNC(0,-1AM)":-0.68085194,"VWO^SIZE(FG_CONSTITUENTS)":1,"REFEUREFI-FDS^PROPER_NAME(0,,,\"SECURITY\",\"NAME\")":"Eurozone Main Refinancing Operations Minimum Bid Rate","TRYUS10Y-FDS^FG_YIELD_NAME":"US Benchmark Bond - 10 Year","EWQ^FMA_PE(LTM,0,,,\"PORTAGG\",\"MEANR\")":16.4623496326959,"EWJ^FG_FCF_YIELD_NTM(0)":4.10562164085355,"CAGDPY@GB^EE_ACTUAL_ANNUAL(MED,+1)":-2.9,"CC_GB^FG_COMPANY_NAME":"United Kingdom","USDSEK^STD(FG_PRICE_CHANGE(0,-1AY,AM))":3.00570696779611,"USDCHF^STD(FG_PRICE_CHANGE(0,-1AY,AM))":1.96805922484328,"USDUSD^STD(FG_PRICE_CHANGE(0,-1AY,AM))":0.0,"USDEUR^STD(FG_PRICE_CHANGE(0,-1AY,AM))":1.45636759639426,"USDAUD^STD(FG_PRICE_CHANGE(0,-1AY,AM))":1.60927750022522,"EWD^FMA_EPS(NTMA,-20AY,0,CY,,\"PORTAGG\",\"MEANR\")":[1.55275820794805,1.54581744522321,2.18886161040082,2.54439610565031,1.55027933568846,1.36361799599867,2.27207932583515,2.18253517023992,2.32063293486455,2.31545066006368,2.02872425818202,1.94857888922314,1.75138174890933,2.10390186893761,2.115438961001,2.04500090501156,2.21381527791346,2.48981565223205,2.56419574366016,2.49567304906309],"EWQ^P_PRICE_RETURNS_PR('52W',2,-10AY,0,AM)":[23.2633,25.32959,23.994839,5.250931,9.589982,-4.8003616,-5.524075,-3.4610152,-11.251509,-6.2252164,-9.077978,-7.4484644,-5.5715857,-10.333472,-10.130655,5.0729394,-7.8691664,6.060374,3.8184762,-2.0755112,-3.585267,-11.245852,-6.9511595,-9.249199,-10.390705,-5.2589893,-6.3892245,-9.567076,0.49573183,-2.8719187,-2.6697397,2.5731921,13.01049,16.60465,11.431146,16.426563,22.446465,22.35366,33.53685,27.061451,24.966372,31.12476,30.597889,31.001068,32.244373,25.613749,28.06828,23.271965,15.307367,12.005782,11.779701,7.990408,1.9240141,0.10905266,-4.584712,-11.225456,-13.122058,-7.1420727,-6.4367175,-3.4800172,-6.087965,-3.1906545,0.19148588,-3.6295772,3.2252192,0.59554577,13.088882,19.779348,22.622013,18.636204,-8.3788395,-16.645605,-16.311407,-3.129971,-8.822203,-0.27852654,-1.3104856,-0.4329145,-1.7431259,6.4465523,6.790054,6.957698,35.29855,49.79892,61.42917,39.715862,39.72875,37.896896,33.87983,32.328487,33.163116,19.06395,19.343817,19.2819,1.3637066,-1.3968766,-14.549703,-12.90484,-15.783858,-13.482761,-17.54331,-23.09717,-19.736135,-8.508194,-7.7538133,-3.1233728,11.181688,15.747368,28.043163,17.667925,29.053843,23.118818,27.994287,32.08065,19.025112,16.570997,11.508346,8.98918,14.646471,10.230446,10.737848],"QQQ^FG_TOTAL_RETURNC(-10AY,0,AM)":[-1.1614621,6.854832,2.6576638,-0.06318092,4.583776,-2.175939,4.8936605,3.3070922,-1.866889,0.17540455,4.7859907,-0.15292168,1.285994,-0.6256342,-1.6061246,4.0365934,-5.847156,2.823937,6.6084623,-0.5987525,-7.5788855999999996,-7.3935213,8.824754,4.2955637,-2.862388,4.0706515,0.36927462,6.0018063,-2.257955,3.9261699,-0.69215894,1.572454,2.6720047,3.7848473,3.0560732,1.0736346,4.811704,1.2001038,-1.3163686,4.6167254,0.062453747,2.498889,4.203677,0.65716505,5.299008,-3.9739132,10.928893,-8.760082,6.4350486,3.9075494,1.7942309,2.663803,-0.43978095,-0.63933134,-4.5148373,-5.911845,-0.05491376,4.8128247,1.5484095,7.971692,0.15720129,-2.0187318,5.5463433,-2.1871388,2.5202394,-1.8737674,7.4774384,1.4113307,7.543075,4.662311,-15.545368,3.9868593,11.948622,8.200657,7.9452515,3.543365,2.3612142,2.9669762,1.0080218,4.4076324,6.0733795,4.5387626,-6.518549,8.261728,-0.86321235,0.78994036,7.299018,2.1384478,2.9127002,-4.7174273,9.45841,-0.40220618,-3.398186,-3.456533,-8.654875,4.35611,-14.8933115,0.75719357,-1.1676073,7.357371,-3.150624,-12.21484,-2.147901,7.109225,-3.8443804,11.510301,-2.989918,8.843315,1.128757,10.216391,3.4536123,0.45598745,1.2693286,-1.4736116,0.9575486,5.971849,3.7225842,7.7141047,0.45075417,0.8632183,-0.27362108],"EWL^FMA_DIV_YLD(NTMA,-10AY,0,AM,\"PORTAGG\",\"MEANR\")":[3.20573738718015,3.21981143989483,3.33511138419283,3.451692122438,3.27894775641933,3.45710065411212,3.32855367803876,3.26398666921325,3.29647717954121,3.28470788773299,3.19127286031733,3.04290324794647,3.11886578770728,3.19964893802709,3.24470626352703,3.12673421383482,3.3158924085081,3.34018456735464,3.27250380526399,3.3324241399519,3.48936491368698,3.66889068341432,3.49495510085252,3.53921875150355,3.57860807979232,3.48478317544096,3.56238703219561,3.45585411244767,3.4483318970418,3.51965555566703,3.60704839437971,3.59783374026028,3.48040991186616,3.42337424387935,3.36644973487355,3.43087806240583,3.29800478033949,3.35235274576484,3.30473133457732,3.28961497166942,3.31057960077694,3.24753206770318,3.27978505118301,3.24156310316238,3.1544147821875,3.46585499246936,3.41710619370605,3.50802477768015,3.43434488263153,3.5836375954796,3.49531009342396,3.37627502063304,3.46214585359415,3.50726472529505,3.49377293801998,3.63242426044259,3.58273864994782,3.46786595566671,3.39760579154675,3.25778974418394,3.36383801283662,3.25998594121275,3.22763403630664,3.26597630324671,3.18035398574015,3.27599626687092,3.13649568964204,3.10463342790515,3.03066459704879,2.96053378455014,3.47016885510092,3.40426873881295,3.25785004849009,3.05172006450397,3.04424672334688,2.97883857137947,2.91359619992901,2.92820217542626,2.90297489385955,2.89862948447627,2.81034229137688,2.82338369572417,2.85578897677005,2.73982619625331,2.73993189997662,2.62821250389805,2.62181296988257,2.57580870227961,2.62016994446847,2.74251032303678,2.58651111364853,2.58226897995619,2.5667147037075,2.72859299008131,2.92643789863409,2.73365907952224,3.04366038395646,3.0636232463653,3.14052766549575,3.0809418346966,3.17956822285297,3.42296457860849,3.23092615733165,3.12580928770435,3.07806845304152,3.0608626155373,3.21659778992696,3.13297294749821,3.05273404777872,3.17702424337124,3.2733811878108,3.21442225438131,3.30147702000454,3.39693338771032,3.45787413009726,3.33329702069226,3.27122988254668,3.39972313893351,3.24294977013595,3.31526843215886,3.37875044097213],"EWG^FMA_PE(NTMA,-10AY,0,AM,\"PORTAGG\",\"MEANR\")":[12.9818036726908,13.4071175988839,13.0057250748026,12.0539412446234,12.8517167227266,11.8813216845264,12.2652606241446,12.8728298641505,12.6855910791261,13.9030673305118,15.0110001764814,15.6318968978903,14.6688245783557,13.5085884104152,13.3735060739916,13.8900089896628,12.4927918100146,12.4114362948476,13.3707587914663,13.231820210801,12.2409557785978,11.2616110688062,12.3918824286131,12.2846244642165,12.5174115036259,12.4649986858803,11.9039448117217,13.1300962820565,12.9826707681633,12.8347739497469,12.8160107831044,13.3932021891696,13.7090686085037,13.6026620159888,13.876106924365,13.9520368514284,14.1288259622343,13.8798517892156,13.3574106857319,13.0767870473345,13.1499492739105,13.8077581039045,14.013226299014,14.0260587045394,14.2219917694645,12.8299170612557,13.0889529675841,12.8957189948321,13.4489094206986,13.2196760785122,12.980525133447,13.109888763837,12.4295864707558,12.3419553549803,11.8044807401602,11.1700301119261,11.3316232392134,11.5165417422748,12.092177694284,12.4590128800049,12.5192344756226,12.3337329538124,12.890172459137,12.3727481152197,12.9585099612457,12.7299844163401,13.9046102450747,13.9503112318763,14.3407013729851,14.3018105966806,11.4063673610984,13.5012910233363,15.4067254308842,18.1286377579822,18.1444033534029,17.7874884135441,17.8821496350829,16.9529287792555,16.0362649592004,15.9807026511417,16.3254657496307,15.7908422998279,15.7991792399079,16.2404691146104,15.0706386754961,14.9209614405699,14.702281825777,14.281267449906,14.0399908999584,13.4697489292329,13.8117809795213,13.2548586671426,13.4229634299116,12.9222704434379,11.2521167354695,11.4808807463767,10.3287794865594,10.8245425300166,9.9710957874304,10.148232022712,9.81141013785207,9.09344469140092,10.2340873144411,10.7051481635387,11.139221300671,11.754695190905,11.6288665495615,11.3238314607596,11.1663852961839,10.7651912296208,10.4460463477786,10.6561840606738,10.5591627976486,10.1291071768098,10.3325960808746,11.2523386019966,11.1125618407802,11.523574137256,12.1050048878255,12.1191236024486,12.0209711320232],"EWN^FG_PRICE_MAVG(0,,,,60)":48.542168,"EWU^FG_PRICE_MAVG(0,,,,60)":33.793667,"EWC^FG_PRICE_MAVG(0,,,,60)":37.478,"FXI^PERCENT_CHANGE(FMA_EPS(+1,0,,,,\"PORTAGG\",\"MEAN\"),FMA_EPS(+1,-1AM,,,,\"PORTAGG\",\"MEAN\"))":-0.949676251230335,"EWD^FMA_PCT_ABOVE_MAVG(200,0,,,,\"PORTAGG\")":90.6976744186046,"EWL^P_PRICE(0)/P_PRICE_HIGH_PR(0,,,,,,\"PRICE\",\"INTRA\",\"52W\")":0.97462136,"EWC^PERCENT_CHANGE(FMA_EPS(+1,0,,,,\"PORTAGG\",\"MEAN\"),FMA_EPS(+1,-1AM,,,,\"PORTAGG\",\"MEAN\"))":-0.549378644420845,"EWQ^FMA_COS_DOWN(\"EPS\",\"1M\",+1,0,,,\"PORTAGG\",\"MEANR\")":29.0,"EWJ^FMA_COS_UP(\"EPS\",\"1M\",+1,0,,,\"PORTAGG\",\"MEANR\")":98.0,"EWU^FMA_RBICS_REV_CURRENT(30, LOC, \"PORTAGG\")":18.8933168361866,"EWG^FG_ROE(0)":12.4503744848109,"TRYNZ10Y-FDS^FG_YIELD_NAME":"New Zealand Benchmark Bond - 10 Year","REFGBBANK-FDS^(SUBARRAY(NOT_NA(NO_REPEAT_F(FG_YIELD(NOW,-10AY,D))),0,1)-SUBARRAY(NOT_NA(NO_REPEAT_F(FG_YIELD(NOW,-10AY,D))),1,1))*100":25.0,"REFAUCASH-FDS^FG_YIELD(NOW,,,0)":4.35,"TRYUS10Y-FDS^PCTCHG(FG_YIELD(0,,,,\"YTM\"),FG_YIELD(-1AM,,,,\"YTM\"))":2.1401892,"TRYCH10Y-FDS^FG_YIELD_NAME":"Treasury - Switzerland Benchmark Bond 10Y","VGK^FMA_EVAL_EBITDA(NTMA,0,,,\"PORTAGG\",\"MEANR\")":9.01965029769491,"EWD^FMA_DIV_YLD(NTMA,NOW,NOW,M,\"PORTAGG\",\"MEANR\")":3.27070263255404,"EWU^FMA_EVAL_EBIT(LTMA,NOW,NOW,M,\"PORTAGG\",\"MEANR\")":10.5303814494734,"EWC^FMA_PE(NTMA,0,,,\"PORTAGG\",\"MEANR\")":14.476496736899,"EWL^FMA_ROE(NTMA,-20AY,NOW,FY,\"PORTAGG\",\"MEANR\")":[15.9587717941353,16.6709442456462,17.3190561042513,18.194046530629,15.5136874283454,17.2258858021045,16.663378494352,15.1353221205521,15.5882414428409,15.2483951449653,14.5028009204846,13.2798091113486,13.3994953105419,13.9322208239423,14.6457996836392,14.5388198691271,14.667779515581,16.3837417700753,16.6906517335277,19.2996868127809],"TRYIN10Y-FDS^FG_YIELD(-10AY,0,Y,,\"YTM\")":[7.86,7.89,6.63,7.35,7.35,6.55,5.9,6.45,7.33,7.19],"TRYGR10Y-FDS^FG_YIELD(-10AY,0,Y,,\"YTM\")":[9.61,8.24,7.15,4.14,4.37,1.45,0.618,1.315,4.585,3.099],"VWO^FG_TOTAL_RETURNC(0,-3AM)":6.8425655,"EWI^P_PRICE(0)/P_PRICE_HIGH_PR(0,,,,,,\"PRICE\",\"INTRA\",\"52W\")":0.99815595,"EWN^FG_TOTAL_RETURNC(0,-12AM)":23.110485,"EWQ^PERCENT_CHANGE(FMA_EPS(+1,0,,,,\"PORTAGG\",\"MEAN\"),FMA_EPS(+1,-1AM,,,,\"PORTAGG\",\"MEAN\"))":-0.239950394752718,"QQQ^FG_TOTAL_RETURNC(0,-1AM)":-0.27362108,"EWL^FG_TOTAL_RETURNC(0,-6AM)":10.615563,"EWG^P_PRICE(0)/P_PRICE_LOW_PR(0,,,,,,\"PRICE\",\"INTRA\",\"52W\")-1":0.29771304,"EWC^FMA_PCT_ABOVE_MAVG(200,0,,,,\"PORTAGG\")":71.5909090909091,"ENZL^PERCENT_CHANGE(FMA_EPS(+1,0,,,,\"PORTAGG\",\"MEAN\"),FMA_EPS(+1,-3AM,,,,\"PORTAGG\",\"MEAN\"))":-16.326585366942,"VWO^FMA_COS_DOWN(\"EPS\",\"1M\",+1,0,,,\"PORTAGG\",\"MEANR\")":1334.0,"EWQ^FMA_COS_UP(\"EPS\",\"1M\",+1,0,,,\"PORTAGG\",\"MEANR\")":31.0,"EWG^SIZE(FG_CONSTITUENTS)":57,"EWL^FMA_RBICS_REV_CURRENT(30, LOC, \"PORTAGG\")":17.8649112648431,"EWC^FG_ROE(0)":11.3521885515767,"REFSEREPO-FDS^(SUBARRAY(NOT_NA(NO_REPEAT_F(FG_YIELD(NOW,-10AY,D))),0,1)-SUBARRAY(NOT_NA(NO_REPEAT_F(FG_YIELD(NOW,-10AY,D))),1,1))*100":25.0,"REFGBBANK-FDS^FG_YIELD(NOW,,,0)":5.25,"REFAUCASH-FDS^PROPER_NAME(0,,,\"SECURITY\",\"NAME\")":"Australia Target Cash Rate","TRYGB10Y-FDS^PCTCHG(FG_YIELD(0,,,,\"YTM\"),FG_YIELD(-3AM,,,,\"YTM\"))":1.5445011,"TRYIT10Y-FDS^FG_YIELD(0,,,,\"YTM\")":3.809,"TRYJP10Y-FDS^FG_YIELD(0,,,,\"YTM\")":0.9069,"CC_GB^IMF_IFS_RCPI_Q(0)":3.9194994,"VGK^FG_FCF_YIELD_NTM(0)":5.19907329895716,"EWD^FMA_PE(NTMA,0,,,\"PORTAGG\",\"MEANR\")":16.0640832518898,"EWQ^JULIAN(FMA_DIV_YLD(NTMA,NOW,NOW,M,\"PORTAGG\",\"MEANR\").DATES)":45412,"CAGDPY@GB^EE_ACTUAL_ANNUAL(MED,0)":-3.3,"CC_CH^FG_COMPANY_NAME":"Switzerland","USDSEK^FG_PRICE_CHANGE(0,-6AM)":0.1383543,"USDCHF^FG_PRICE_CHANGE(0,-6AM)":0.8228183,"USDUSD^FG_PRICE_CHANGE(0,-6AM)":0.0,"USDEUR^FG_PRICE_CHANGE(0,-6AM)":-0.56604147,"USDAUD^FG_PRICE_CHANGE(0,-6AM)":-2.7622223,"EWN^FMA_EPS(NTMA,-20AY,0,CY,,\"PORTAGG\",\"MEANR\")":[1.49109929215903,1.5900517234348,2.15625739003115,2.62697068480407,1.79921066251297,1.65442974417331,2.1135843669069,1.84050659390711,1.84155905202006,1.85694784607263,1.61003576125895,1.5506283745409,1.60511092021475,1.99467947715871,2.00955458235889,1.99085797419876,2.00892945351409,2.43601807668502,2.42941425498409,2.95560750186165],"SPY^P_PRICE_RETURNS_PR('52W',2,-10AY,0,AM)":[17.723715,21.069897,21.719433,16.04184,21.23946,18.650019,18.49904,16.031515,13.39469,16.10943,12.8377075,13.837051,14.959824,8.660889,5.987048,10.993838,-0.35459995,6.57146,4.402709,1.4660716,-4.8481045,-7.496661,-2.318126,0.44652224,-0.61261654,3.9327025,6.244838,7.2149754,11.88786,10.173821,6.240785,12.698973,20.532763,27.033997,21.353054,17.711353,18.704689,17.150318,17.904413,15.631617,15.144121,20.485188,21.729267,20.31331,23.582851,15.599644,20.020163,13.081657,14.696741,16.287338,16.922974,17.446304,18.671036,15.233576,9.5479965,1.6289473,-4.2387543,6.9914103,2.0460606,12.228298,8.442736,5.729699,9.068632,4.33259,5.7482004,3.373754,12.342119,21.469986,29.018902,25.299847,1.8065691,-1.1659801,3.8134575,13.8299465,7.9268217,18.535482,16.254986,21.422768,17.02261,19.173325,19.746172,19.710266,43.871532,50.297928,49.09984,33.561768,40.612377,34.132313,34.117924,29.17322,33.689774,28.92624,24.601078,18.820656,11.879039,11.010349,-4.4240894,-3.531754,-8.519136,-5.635774,-8.148503,-16.041481,-18.737555,-14.389431,-15.430474,-9.578848,-6.8972883,-6.79605,4.9662113,8.917332,14.598572,10.14843,13.108004,21.05199,17.803741,17.988693,24.048592,25.002611,30.240177,28.762936,28.427578],"EWU^FG_TOTAL_RETURNC(-10AY,0,AM)":[3.6842108,0.69220066,0.35045147,-4.2165813,-0.25011897,-6.7201614,1.9892454,-1.528722,-3.9765298,5.230248,0.6482959,-0.26838183,5.7588816,-4.681933,-2.7440012,3.6333203,-9.115428,4.33234,-3.0716658,-2.9929578,-7.3205233,-4.127836,7.569444,0.25823116,1.2234449,3.1806588,-5.429083,4.3420196,1.2163877,-1.6445279,-2.2829592,2.5995374,0.37676096,2.8182626,-0.7561445,2.5396824,4.4891715,1.3036966,-0.7474065,3.193736,-0.029194355,1.4310718,-0.057590008,0.97954273,5.755818,-5.7724056,2.304554,1.283145,3.1813145,-0.6002784,-0.9375453,-2.0992935,-4.984057,1.3723731,-2.587247,-6.4237237,2.6245236,4.140651,1.8933415,4.2737603,-2.346295,-0.39538145,0.71851015,-6.4365683,2.6919246,-1.9741058,7.6262712,0.98159313,4.7180176,-3.6894917,-19.675154,-4.6547117,1.4405727,8.52071,-4.9788356,2.951455,-0.5281031,0.0,3.6404967,9.037685,6.101215,-3.4868836,4.2094827,2.1310449,5.5434346,0.17704964,-0.64664483,0.12059212,-1.4754534,0.21393299,2.256775,-1.5210211,5.740273,2.2954702,-7.5373945,6.4094663,-10.204685,4.8204064,-6.7067385,4.340458,-4.712385,-9.140521,6.4939976,11.068022,2.398193,2.2019506,-2.1545112,3.9949656,1.7543793,-2.5424361,-2.238804,3.8486004,-2.7565122,-0.72440505,-1.2690365,4.6915174,2.9929519,-1.6768277,3.3488393,3.0303001,5.008745],"EWJ^FMA_DIV_YLD(NTMA,-10AY,0,AM,\"PORTAGG\",\"MEANR\")":[2.20636467399354,2.10441512694738,2.0669670765427,2.15463443255663,2.05515947432572,2.13249117562689,1.97905711928018,1.92672038675269,2.02456223817472,1.99678479952159,1.87935169917615,1.83454802125125,1.8762165620882,1.8995209371513,1.98691963546215,1.88174235547768,2.10526119266368,2.10330704758935,2.01457083118037,2.07145207501542,2.25240336398616,2.50739074895624,2.41111437391931,2.50648084240464,2.45204200483355,2.36606654879839,2.60836017181605,2.38823414145749,2.34644872613198,2.35917528264992,2.47609267228955,2.10087054762229,2.08328993888721,2.17107778573255,2.1464332643528,2.25706014424334,2.1515557210584,2.17547450532924,2.17636190844132,2.18472026615089,2.25204996512068,2.1495821983357,2.02234975484772,2.06481417274468,1.98029232041173,2.19981080208256,2.2567325470921,2.26316739765273,2.22001895176088,2.23228407234798,2.32710878239526,2.30130868419442,2.38818812340286,2.2882463923524,2.43389557508879,2.52843025551967,2.68639272708269,2.68350858947802,2.61965015606886,2.5589863875792,2.67091765152921,2.71878265457514,2.64576220588806,2.77226268766171,2.67677339690504,2.64176349860407,2.46069349422465,2.44199754735167,2.44069482796295,2.43240714230281,2.99880727609968,2.91891278617984,2.80723043569925,2.43337673514019,2.50789840795719,2.5065823460002,2.40603295928325,2.36562250884777,2.31632692045102,2.16163788046935,2.0859677786359,2.03171749282781,2.08992379677191,2.06618037527474,2.13018866670934,2.15678511945546,2.23588962126658,2.24639188444402,2.15318174436685,2.28802031860877,2.24317498963731,2.30476733104792,2.31435312411201,2.4134692107785,2.7512845278096,2.58321602033535,2.63713690052092,2.5458044804669,2.68127819877206,2.62383795473191,2.59604908291789,2.71224708572583,2.65605805631866,2.64604134607007,2.76596828657869,2.6106869416416,2.52460078409122,2.68130639603469,2.5187911099247,2.37740559693269,2.37470443538914,2.38781375500209,2.33030540450308,2.44964155242678,2.40347794865343,2.45793560065454,2.38808146100007,2.27304481666212,2.16103907813215,2.16695489159,2.21541015744956],"EWC^FMA_PE(NTMA,-10AY,0,AM,\"PORTAGG\",\"MEANR\")":[14.7275150967361,14.8192533754475,15.0966623570882,14.8831919315186,15.1407122984642,13.9920300185557,14.4497582395154,14.502064794738,15.3149830697429,17.1463277699207,17.056171223047,17.4853443260587,17.1771213709161,16.3145439055689,15.5123459480797,15.5029071218872,14.6501342903192,15.2171116414363,14.7243289802296,14.0481668772225,13.5282801551715,13.9982763124771,15.5396466233549,15.8352969578041,16.1134852634677,16.8087936460007,16.4029094886006,16.6073408121037,16.10554107775,15.9541864912331,15.8860864753293,15.9969482324079,15.8168604226243,16.1327694877527,15.9519956117587,15.948190873614,15.6441313870472,15.5265470273275,15.1231706187764,15.6742304261626,15.1299249058398,15.806109644792,15.990702021476,15.9796193354354,15.9233720733168,14.2710920811937,14.4567043259723,13.9952179742625,14.3024675254608,14.3269042801475,14.3005313149361,14.1270844883347,13.6137053487051,13.3175681388667,12.6934806330384,12.4792850401097,12.8054621255762,13.7901929408963,14.0913009231824,14.2070478773749,13.6356021311905,13.5388941024816,13.7528002933267,13.5866796270719,13.7470981667964,13.6878583926278,14.3010468385168,14.2737111979631,14.5373158151326,14.7927216556065,12.4602298644206,14.6933365726659,17.4520256216592,18.5569875897032,17.4883214488558,17.6966760986152,16.9104521838263,16.4952905881851,15.8516917858611,16.2540561637277,16.2979510066499,16.2475249400009,15.4744767665767,15.6017763757538,15.6041887488279,15.4956418691033,15.5256302553181,15.1005501318584,14.9173049131555,14.5818123564616,15.0552274003503,14.2614410909953,14.2666630416435,14.3930737961918,13.9938616012689,13.4699011542538,12.0138002297247,12.2649721723574,11.258766712821,11.4956503191618,11.6262405811149,10.8607747570257,11.4803988836001,12.1594861715241,12.2755660677201,12.8271517169724,12.6775517020192,12.7642705625729,13.0579119113393,12.8537991193252,12.7713273276333,13.204402993474,13.0013149379226,12.3635195686251,12.4630404783953,13.1734722300294,13.6632843247869,13.8937826067398,14.4535069213607,14.7157615102366,14.476496736899],"ENZL^FMA_PE(LTMA,-10AY,0,AM,\"PORTAGG\",\"MEANR\")":[18.0124463996806,17.9848191163251,17.9556627339154,17.8140554452325,17.97102129009,17.9581608061459,18.4979882655596,19.0541842460945,19.2938661591459,19.888558147425,20.4993947355674,20.2095275115956,20.0486370879803,20.0079154517319,19.6757742954693,19.7606320245722,19.1624734402009,18.6646324256699,19.5873412767795,19.3751020824657,19.2829323334111,18.8141183973487,19.3203618095863,19.3363810249183,19.5678268394164,19.7648392899219,19.8396744477502,20.6095189700207,21.2835286217647,20.5359243226378,19.3668084596111,19.9085519685142,20.3419725231417,20.6014135373868,19.7816345408462,19.8348037155764,19.9874327684503,19.946115112116,20.0987216470284,20.5984815301352,20.7030376270656,20.7565720079006,21.197397529953,21.8003076342161,22.3865258228564,20.4918446230976,22.5603705497098,22.4353528468598,22.4160148998688,22.7313828253394,22.9661308671716,22.9296251787785,23.2582411153284,23.1723802463805,23.1008487815122,22.788032044044,23.2921256941651,23.7647228636815,24.1803351618377,24.1124247581634,24.2570842780731,24.1552641667163,24.7886815938605,25.4422551338654,28.9838589793967,28.7721845792973,29.0897808951353,31.157234614435,32.4103342053015,32.7925074843803,30.9040411696865,30.7890893984906,31.8079860318139,32.445971086315,33.1385305935976,33.6940960123936,33.7165131904819,35.0361357978003,36.4958882532807,37.0296580922001,39.1768979265783,35.9895872061631,34.305506222675,34.4754655488868,34.58626107686,35.3692395860126,36.4228497855203,36.8491545178071,38.2823106645223,38.5008227676632,39.4471411030969,38.9569502089576,39.0782103740638,37.6547682608646,35.0846747009322,34.6115275159931,34.3812294897839,33.3141466698399,33.1441432492791,33.5433185238056,34.3223276342766,31.7735960771223,30.8542334142635,29.5336256195382,29.518446138585,29.9069019164909,29.3060140550876,28.8377979758141,28.3054036997607,26.4766955421626,25.9927743640592,24.9367153977503,24.2680254645382,23.3950016095576,22.7824280989704,23.6111312262723,24.0978435728865,23.29424360869,23.7985707184715,24.0666527483756,24.4111047655035],"WL-FDS^FG_PRICE_MAVG(0,,,,30)":598.02,"NI-FDS^FG_PRICE_MAVG(0,,,,30)":18171.5,"CPALM-FDS^FG_PRICE_MAVG(0,,,,30)":4188.9,"BRENT-FDS^FG_PRICE_MAVG(0,,,,30)":85.86,"TIOS-FDS^FG_PRICE_MAVG(0,,,,30)":108.83667,"EWN^FG_PRICE_MAVG(0,,,,30)":48.804832,"EWU^FG_PRICE_MAVG(0,,,,30)":34.393333,"EWC^FG_PRICE_MAVG(0,,,,30)":37.644333,"QQQ^FG_COMPANY_NAME":"Invesco QQQ Trust Series I","FXI^FMA_PCT_ABOVE_MAVG(200,0,,,,\"PORTAGG\")":80.3921568627451,"CAGDPY@IT^EE_ACTUAL_ANNUAL(MED,+1)":0.95,"CAGDPY@JP^EE_ACTUAL_ANNUAL(MED,+1)":3.5,"CC_CA^FG_COMPANY_NAME":"Canada","USDSEK^FG_PRICE_CHANGE(0,-1AY)":6.437528,"USDCHF^FG_PRICE_CHANGE(0,-1AY)":1.7277241,"USDEUR^FG_PRICE_CHANGE(0,-1AY)":1.6610146,"USDAUD^FG_PRICE_CHANGE(0,-1AY)":2.2627473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5695688,10.4260783076313,13.6402697494705,12.7503134568906,16.3243001939027],"EWL^P_PRICE_RETURNS_PR('52W',2,-10AY,0,AM)":[15.822554,20.032227,21.018578,8.654345,13.239312,5.1068664,3.5873532,4.3702602,-1.1441171,1.184535,-2.76317,1.2048483,3.1496644,0.29855967,-1.4026582,5.897236,-3.4921288,5.1244617,-0.28759837,-3.240782,-4.7481594,-12.417394,-8.552689,-9.7456455,-12.767315,-8.350414,-7.360637,-7.481498,-0.85659623,-1.6426384,-3.3073604,-3.3436477,6.1702967,13.152992,10.332918,10.058821,16.798258,14.132822,19.786442,17.063225,14.52285,18.365705,18.98123,23.937057,22.525143,14.797651,14.363373,9.809685,3.0685425,-0.3545165,0.37078857,2.596569,1.3222218,-1.2193918,-0.27011633,-4.622042,-7.5904074,-1.466918,0.9754658,7.00227,5.612111,14.022934,13.530434,10.281897,13.278341,12.06038,17.979097,23.896753,26.983011,28.107632,7.4153185,3.6839724,6.4263105,8.998966,9.131586,13.717138,12.712515,16.144062,10.867178,13.102472,13.487207,10.233891,23.525928,29.537224,31.8946,28.431463,26.042128,24.310244,20.200062,16.3324,23.893654,19.231533,16.90092,12.2773285,7.887268,10.34627,-7.702112,-13.28795,-13.926906,-12.653196,-14.36016,-19.16877,-20.500261,-14.3558445,-13.80912,-8.672732,-5.631423,-4.143983,15.221262,11.12628,10.85999,10.535086,13.431919,18.913532,10.344577,10.207712,11.319947,6.564498,14.364445,3.3517241,-0.0019609928],"EWG^FG_TOTAL_RETURNC(-10AY,0,AM)":[-0.3498733,2.8726459,-1.7177463,-8.599037,2.5722384,-9.824806,2.4380922,5.541098,-5.7434797,5.0841093,4.2333603,3.2423258,0.4297495,-5.7274523,-2.1719754,4.4299126,-9.179413,0.5359888,0.83777905,-0.3021121,-7.9924164,-5.4343405,5.964303,2.7937531,3.1974435,0.735867,-6.8639517,11.078226,-0.7613301,0.03836155,-1.6487718,1.7153978,2.8716683,1.7145038,1.8321753,2.3029804,6.7885995,3.0303001,-1.1813283,1.3522387,2.7985692,2.7540326,1.1090636,0.9750128,3.519535,-6.2536535,2.2132158,-1.4638603,1.8260598,-2.1276593,-1.9747436,-0.55158734,-4.95922,-1.2358367,-4.483843,-6.623,2.8838634,-1.8560588,3.78232,2.826333,1.7721534,-0.95948577,2.445805,-5.4695964,2.931106,-2.329886,9.882617,-0.8959353,3.7552118,-2.010727,-18.741447,-3.0303001,2.34375,19.762505,-0.6388068,5.149448,4.178083,-0.723207,-2.5165558,5.808425,7.013643,-0.5467713,0.09162426,5.584371,2.543354,1.7474651,-1.6251206,-0.7731855,-0.34632683,-5.2128553,5.255127,-5.602324,2.6951432,-1.4799178,-15.113425,0.0,-10.039729,5.989039,-11.55799,3.4878612,-4.3515387,-10.838538,12.906456,11.918473,5.775821,5.316365,-2.1329463,3.8140178,2.3093104,-2.4546564,-0.2881825,1.8063545,-3.7970185,-4.4264135,1.273644,10.518289,0.55698156,0.37722588,5.9446573,1.1286736,2.2321463],"EWA^FMA_DIV_YLD(NTMA,-10AY,0,AM,\"PORTAGG\",\"MEANR\")":[4.76981077376249,4.7945711427142,4.78080622288383,4.82608531247445,4.72293913320096,5.05053838686255,4.83101068606998,5.06921692952282,4.92127442003952,4.6590006276947,4.65119479102632,4.57045902541765,4.76821810593173,4.98222116087673,4.98413004003883,5.00101723778197,5.29740238016271,5.15528970427274,5.36637335968449,5.36771517352283,5.46118944138663,5.31270447577301,4.73593163150686,5.00007836423593,4.59611049726935,4.56250805430438,4.69685002756172,4.43375110131869,4.62050310787135,4.51816207448043,4.80094939365631,4.52908905740887,4.41584355874051,4.57300934219857,4.56137091263149,4.53225785933061,4.58158801870684,4.69411972917047,4.64418777850034,4.57489997388311,4.61846359626082,4.59605633392897,4.40126681614496,4.50835986724268,4.4133836043493,4.69933442738275,4.64656496734572,4.79785105091487,4.62406502913093,4.7309522319428,4.5353888939183,4.5691844003124,4.78012949547478,4.91201317054555,5.04993086166187,5.30682210082316,5.19577712420341,4.95220145604464,4.93604532574986,4.92910282467134,4.86373270817841,4.76272071158054,4.64410391087579,4.66313952740549,4.50451819173683,4.55077506061494,4.34359251903341,4.31810199926116,4.22771566498196,4.15847152705283,4.98769313487147,4.62239158745415,3.87098455111108,3.27091901247667,3.46137473298454,3.41798261446027,3.5695354400945,3.55089826648606,3.56172340278529,3.46753525948459,3.48645609739439,3.5745214394181,3.87631177926821,3.87995382583436,3.88889385532586,3.85073169770417,4.12660363312407,4.03317635664142,4.11203151457204,4.04961273166961,3.94956999169852,3.94453769325642,3.89493543526184,4.19505826539447,4.34849939748968,4.34148961080232,4.70519942560017,4.86121546988935,5.17432759812901,4.77461400239156,4.84058991028999,5.01072148610674,4.79796434254281,4.46801868135345,4.51467835819219,4.30827475243249,4.47615758324083,4.50458110386338,4.40564989348564,4.42272102375968,4.38304138438029,4.17843974092783,4.23036400645415,4.39658547965742,4.36513731737541,4.23824593486419,4.04492095284039,3.98663989765335,3.88721880852055,3.90144067676302,3.99311720867571],"ENZL^JULIAN(FMA_DIV_YLD(NTMA,-10AY,0,AM,\"PORTAGG\",\"MEANR\").DATES)":[41768,41799,41829,41859,41891,41921,41950,41982,42013,42044,42072,42103,42132,42164,42194,42223,42256,42286,42317,42347,42377,42409,42438,42468,42499,42530,42559,42591,42622,42650,42683,42713,42744,42775,42803,42832,42864,42895,42923,42956,42986,43017,43048,43077,43109,43140,43168,43199,43229,43259,43290,43321,43350,43382,43413,43441,43474,43504,43532,43564,43594,43623,43655,43686,43717,43747,43777,43808,43839,43868,43899,43930,43959,43991,44021,44050,44083,44113,44144,44174,44204,44236,44264,44295,44323,44356,44386,44417,44448,44477,44509,44539,44567,44601,44629,44659,44690,44721,44750,44782,44813,44841,44874,44904,44935,44966,44994,45022,45055,45086,45114,45147,45177,45208,45239,45268,45300,45331,45359,45391,45418],"DDR3512M-FDS^FG_PRICE(0)/MAX(FG_PRICE(0,-1AY))":0.91267339254432,"PASP-FDS^FG_PRICE(0)/MAX(FG_PRICE(0,-1AY))":0.587875076546234,"PLATI-FDS^FG_PRICE(0)/MAX(FG_PRICE(0,-1AY))":0.860176991150442,"W-FDS^FG_PRICE(0)/MAX(FG_PRICE(0,-1AY))":0.815192370930615,"COPP-FDS^FG_PRICE(0)/MAX(FG_PRICE(0,-1AY))":0.988946125778064,"FC0000JP^FG_PRICE(0)":171.97885,"FC0000NZ^FG_PRICE(0)":379.8362,"EWQ^FG_PRICE_MAVG(0,,,,60)":40.598835,"EWL^FG_PRICE_MAVG(0,,,,60)":46.85367,"EWA^FG_PRICE_MAVG(0,,,,60)":24.090334,"EWJ^FG_COMPANY_NAME":"iShares MSCI Japan ETF","CAGDPY@NL^EE_ACTUAL_ANNUAL(MED,+1)":8.35,"CAGDPY@CA^EE_ACTUAL_ANNUAL(MED,+1)":-0.8,"USDITL^STD(FG_PRICE_CHANGE(0,-1AY,AM))":1.45636767432651,"USDANG^STD(FG_PRICE_CHANGE(0,-1AY,AM))":0.02188090085887,"USDGBP^STD(FG_PRICE_CHANGE(0,-1AY,AM))":1.57083790987435,"USDJPY^STD(FG_PRICE_CHANGE(0,-1AY,AM))":2.21772991607599,"USDCAD^STD(FG_PRICE_CHANGE(0,-1AY,AM))":0.89633579474225,"USDNZD^STD(FG_PRICE_CHANGE(0,-1AY,AM))":1.99325596958935,"EWG^FMA_EPS(NTMA,-20AY,0,CY,,\"PORTAGG\",\"MEANR\")":[1.52066411043583,1.60643474084628,2.11909900762238,2.80661608339197,1.99715132688841,1.74300870329695,2.17390808983831,2.1750966873774,2.27358500860511,2.40616014173578,2.13415894814862,1.96165601541568,1.94158660997406,2.40362877806351,2.32116072306873,2.08815829612982,1.98003612030208,2.44944590598376,2.36386839889078,2.65636105556206],"EWA^P_PRICE_RETURNS_PR('52W',2,-10AY,0,AM)":[1.9170642,17.519272,19.192146,14.413225,11.486685,-1.0967374,-2.400887,-2.5909722,-2.1942973,1.0628104,-5.228013,-8.100754,-9.548182,-15.740991,-18.184608,-17.523485,-27.46194,-12.988639,-23.12054,-14.180642,-20.269691,-22.779734,-11.342454,-16.884882,-11.100918,-2.3590565,1.4700413,7.78656,12.747455,13.218379,17.855381,18.542385,30.593884,33.315636,17.273283,26.188623,16.601563,12.69828,17.14797,11.966764,17.212809,11.983931,18.424786,12.689376,16.734886,7.4350357,11.661029,3.5417438,9.156728,11.020374,12.685561,6.3750744,-2.0599127,-0.09198189,-4.4157386,-6.077367,-9.723598,0.7514119,-1.6926289,3.490746,0.45810938,3.3475876,2.504778,-0.3267944,10.129428,8.174467,12.871325,17.66975,17.584694,12.931442,-14.618736,-19.717138,-17.706411,-5.4638624,-10.345596,-0.67781806,-4.8902454,-0.68635345,0.37463903,8.83609,11.848295,13.126219,47.881912,57.05415,64.19163,36.676693,37.603317,31.59151,29.701674,25.877953,21.704758,8.680164,4.7062993,1.5117407,1.8362999,9.460902,-8.537966,-7.9225245,-11.172563,-8.623827,-7.991868,-15.330577,-14.299833,-1.625973,-1.7233729,5.8505297,-2.4686515,-8.584982,4.611206,0.85567236,7.1323752,3.9727688,3.9791942,10.589874,5.513191,2.0875454,7.198167,1.2912035,12.38302,11.915898,9.913754],"ENZL^JULIAN(FG_TOTAL_RETURNC(-10AY,0,AM).DATES)":[41768,41799,41829,41859,41891,41921,41950,41982,42013,42044,42072,42103,42132,42164,42194,42223,42256,42286,42317,42347,42377,42409,42438,42468,42499,42530,42559,42591,42622,42650,42683,42713,42744,42775,42803,42832,42864,42895,42923,42956,42986,43017,43048,43077,43109,43140,43168,43199,43229,43259,43290,43321,43350,43382,43413,43441,43474,43504,43532,43564,43594,43623,43655,43686,43717,43747,43777,43808,43839,43868,43899,43930,43959,43991,44021,44050,44083,44113,44144,44174,44204,44236,44264,44295,44323,44356,44386,44417,44448,44477,44509,44539,44568,44601,44629,44659,44690,44721,44750,44782,44813,44841,44874,44904,44935,44966,44994,45022,45055,45086,45114,45147,45177,45208,45239,45268,45300,45331,45359,45391,45421],"EWD^FMA_PE(NTMA,-10AY,0,AM,\"PORTAGG\",\"MEANR\")":[15.6068609554671,15.9079370484149,15.49485389754,14.8506271270156,14.6159915730994,13.7877761499124,15.2701943552714,15.5708228243814,15.4187242794354,16.2924441519184,17.0164959382225,17.0741975497701,15.7315857377599,15.8350527431206,15.4913239362845,16.1003427022132,14.9969569501915,15.0764009710019,15.5591120000554,14.8735853222477,13.9946447295889,14.0267654393598,15.4562899706325,15.0505028049902,14.9293183750173,14.7610358942226,14.555124475279,15.5204864820467,15.4947158805012,15.8781062213726,16.0196612815851,16.6507371174598,16.3754557340536,16.026749029531,16.4804553096633,16.9758024435785,17.2557537216668,16.9129138384542,16.5830811195653,16.0792189906635,15.9137116015378,16.7319246084691,16.9870020960095,16.4656506946612,16.6790292423527,15.5817227402787,16.3812019920089,15.5194574748098,16.1452679073009,15.3909449207469,15.3809732866278,15.7078198415454,15.4753898922039,15.3886775519943,14.3961772472307,13.6271329047409,13.9495818880817,14.4528062223253,14.6442200593129,15.0651920235101,14.9485384231569,14.554472240062,15.1390451890527,13.6686927960819,14.2523660518033,14.7259199784721,15.9896266589797,15.7611271445129,16.3475710307988,16.5952314157512,13.7568741380819,15.6659802455603,18.1279377349612,19.515319841162,19.3793522492187,18.5241623902571,18.4254228080844,18.3315300423344,17.1821430796768,17.4495449619684,18.7575407290647,18.6736631229253,19.7127603803596,20.6082986765868,18.2337712516193,18.6873681080744,18.8861156467799,18.5523321920817,18.4942085840132,17.6398196823148,18.6059937474826,19.1283422141995,18.2960832702389,16.719163435139,14.5088332734,15.2781394271757,15.0445191265907,15.6413096156291,14.8292195555931,14.7518337615776,14.0987324904055,13.025707888819,12.5949627142566,13.2761822911118,13.4957685923557,14.2027200931916,14.0524824867486,13.4634808127087,13.49005846221,13.710378299229,13.2142724564697,13.1361200036528,12.9363772360661,12.7456303768042,12.9269138958634,15.2009122401653,15.3662038207416,15.7919349959321,16.6568349113682,16.4009519747675,16.0640832518898],"EWQ^FMA_PE(LTMA,-10AY,0,AM,\"PORTAGG\",\"MEANR\")":[15.8082287657263,15.938104116233,15.5255381520536,15.0417639271876,15.5292790799928,14.7143551136142,14.8340064302569,15.0951567932663,14.7245678776234,16.2631915075064,17.5215945147316,17.6962778978494,17.5264820946777,17.1403531796531,16.8344414733527,17.2367325472046,16.1003900609358,16.0780701715542,16.401225334027,15.6011033999393,14.464777058505,14.0614035703684,15.171977505742,15.0653239307366,15.0605631821684,15.1291829994663,14.6954175579069,15.0344070184599,15.0337553651864,14.8489451468359,14.937490299912,15.4907924628096,15.8513609136202,15.5642446053723,15.6073379441059,15.6743108017477,15.8707678709631,15.7555517255321,15.5513450753806,15.5479805518139,15.5319578332354,16.0455852643909,16.0894656112849,16.2025184689695,16.5547876199056,15.3835866010904,15.5902164776156,15.4990227275677,15.61506446273,15.3579321890648,15.2556798559186,15.2374942397636,14.7401988710944,14.6965082036402,14.1703250775406,13.3059676187005,13.2000164513679,13.7060883241638,14.5387710563668,14.586657436098,14.460874664571,14.4880721149303,14.719126250853,14.5334875072987,14.9662653914155,14.8707794935935,15.9322165165079,16.0051034163816,16.6227996493688,16.5024476720688,14.3713638988101,14.9613602640288,16.1595324824461,18.012237509301,19.1064931664955,21.4761736410017,23.168567878509,23.9538881546475,26.3852659293112,28.0439393755376,29.3587071449445,28.0356765556814,26.8541092416673,26.1105208907217,25.268243259474,24.4638193655105,23.2889974246902,22.0315839443485,20.7615062072069,19.2800905796722,18.7794376680959,17.5929799404729,17.2644861629215,16.6110735586889,15.3285706102704,15.108468546246,14.4337120816124,14.1947967806409,13.4449540022641,13.2178628106301,12.520209251778,11.5445701748674,11.9174762771899,12.0529455222884,12.2861567580244,12.7497608414905,12.9343638128643,13.0301886729084,13.1518862373873,13.0900081856293,13.033793831598,13.3125971326036,13.1829646268716,12.8210315804617,13.0128501981076,13.8604979537464,13.8733364629663,14.6913277780959,15.5039738890378,15.4536233282165,15.4030391429218],"DDR3512M-FDS^FG_PRICE_CHANGE(0,-1AM)":-0.328494416725789,"PASP-FDS^FG_PRICE_CHANGE(0,-1AM)":-11.1111111111111,"PLATI-FDS^FG_PRICE_CHANGE(0,-1AM)":-1.31979695431472,"W-FDS^FG_PRICE_CHANGE(0,-1AM)":11.1160914388167,"COPP-FDS^FG_PRICE_CHANGE(0,-1AM)":7.50116658889408,"TRYUS10Y-FDS^FG_YIELD(-10AY,0,Y,,\"YTM\")":[2.1881,2.2961,2.4752,2.4325,2.6836,1.9185,0.9174,1.5119,3.8776,3.8791],"CC_AU^FG_COMPANY_NAME":"Australia","USDCHF^FG_COMPANY_NAME":"Swiss Franc per U.S. Dollar","USDJPY^STD(FG_PRICE_CHANGE(0,-3AY,M))":3.04123201183011,"EWA^FMA_PE(NTMA,-10AY,0,AM,\"PORTAGG\",\"MEANR\")":[14.2700358497457,14.2669264435439,14.5083672875468,14.4285821173691,14.8514891279475,13.9608421756518,14.5804464744875,13.9633795348226,14.7910246106693,15.9381104441022,15.9513951403005,16.4133012616897,15.7971097554148,15.0553254862564,15.0494049104612,15.1295523858098,14.711549399402,15.1554685743865,14.7281633145489,14.819278255662,14.7537417655739,14.8141725304149,16.0738869403644,15.180061713093,16.4337951771682,16.4229956914625,15.8447968025185,16.8009859340867,16.0677382127277,16.3381031784196,15.2613986699118,15.902515362013,16.1480797242247,15.6934538207063,15.7215261069394,15.7383375672236,15.5978591861164,15.1595002902089,15.3656604042329,15.7543164886192,15.4872101366758,15.5130013793484,16.1648479748985,15.8265540934873,16.1538228477086,15.1562252732907,15.4056068152723,14.8711759569546,15.4315566292753,15.1273524531377,15.7067452102291,15.6960791744971,15.1760691718222,14.7450403496087,14.647037538523,14.0808830244327,14.4432107016465,15.1140590559393,15.3585800957746,15.288890040992,15.3275641144328,15.7551697445926,16.1544851715319,15.9716847105929,16.4522010431975,16.3009586979215,17.1427874338584,17.153345765822,17.5008572413404,17.9035740255197,14.9147611614529,15.7640645999622,17.2274025716501,20.0817547502593,18.9507762388316,19.0430304362691,18.7168786590926,18.7865480733202,18.8268607933014,19.6169986500319,19.5204763624908,19.0714938413981,18.1798583958556,18.0821954365405,18.0243339146686,18.3177775076718,17.0199912304574,17.1849452096495,16.9434953225559,17.2444094781319,17.58552686805,17.32096836098,17.3829440977143,16.2100592735772,15.5664730192989,15.8310059300876,14.2762540838332,13.6649687650884,12.8841516760802,13.9316026927717,13.6558920110344,13.178695876922,13.7385277339242,14.4531920800488,14.2765239793974,14.9217758734639,14.4578358146624,14.4088833649342,14.7082921628923,14.5726792864749,14.6341410977162,15.4005089281853,15.2086868676319,14.597076017661,14.9354366958954,15.4206126412945,16.1858750706512,16.4366464563173,16.9493064102587,16.8264569798506,16.5960932435882],"PASP-FDS^MAX(FG_PRICE(0,-5AY))":3158.12,"EWQ^FG_PRICE_MAVG(0,,,,200)":38.228274999999996,"EWC^FG_PRICE(0)":38.28,"VGK^FG_TOTAL_RETURNC(0,-12AM)":12.661993,"EWN^P_PRICE(0)/P_PRICE_HIGH_PR(0,,,,,,\"PRICE\",\"INTRA\",\"52W\")":0.9980146,"EWJ^SIZE(FG_CONSTITUENTS)":218,"ENZL^FMA_COS_UP(\"EPS\",\"1M\",+1,0,,,\"PORTAGG\",\"MEANR\")":5.0,"ENZL^FMA_RBICS_REV_CURRENT(30, LOC, \"PORTAGG\")":14.5670087916152,"TRYCA10Y-FDS^FG_YIELD_NAME":"Canada Benchmark Bond - 10 Year","REFCATARG-FDS^PROPER_NAME(0,,,\"SECURITY\",\"NAME\")":"Canada Target Rate","TRYJP10Y-FDS^PCTCHG(FG_YIELD(0,,,,\"YTM\"),FG_YIELD(-1AM,,,,\"YTM\"))":15.602293,"USDNZD^FG_PRICE_CHANGE(0,-6AM)":-1.1709988,"W-FDS^FG_PRICE_CHANGE(0,-1AY)":-1.70499603489294,"SPY^PERCENT_CHANGE(FMA_EPS(+1,0,,,,\"PORTAGG\",\"MEAN\"),FMA_EPS(+1,-1AM,,,,\"PORTAGG\",\"MEAN\"))":0.150401847721569,"EWA^P_PRICE(0)/P_PRICE_HIGH_PR(0,,,,,,\"PRICE\",\"INTRA\",\"52W\")":0.9780351,"QQQ^FMA_COS_DOWN(\"EPS\",\"1M\",+1,0,,,\"PORTAGG\",\"MEANR\")":40.0,"REFEUREFI-FDS^(SUBARRAY(NOT_NA(NO_REPEAT_F(FG_YIELD(NOW,-10AY,D))),0,1)-SUBARRAY(NOT_NA(NO_REPEAT_F(FG_YIELD(NOW,-10AY,D))),1,1))*100":25.0,"TRYGB10Y-FDS^FG_YIELD(0,,,,\"YTM\")":4.142,"EWI^FMA_PE(LTM,0,,,\"PORTAGG\",\"MEANR\")":9.85903252981916,"EWL^FG_FCF_YIELD_NTM(0)":5.12142090086461,"EWC^JULIAN(FMA_DIV_YLD(NTMA,NOW,NOW,M,\"PORTAGG\",\"MEANR\").DATES)":45412,"SPY^FG_TOTAL_RETURNC(0,-6AM)":20.762587,"EWC^FMA_DIV_YLD(NTMA,-10AY,0,AM,\"PORTAGG\",\"MEANR\")":[2.8961472519003,2.8529508354614,2.79132044914763,2.81854734294966,2.76144590727433,2.98764826524457,2.95372226704159,3.02776073058022,2.99801577403161,2.87564466450229,2.9239834202045,2.82184307289164,2.85973993690458,2.94159134959171,3.07899893299708,3.09727753694975,3.24031370410213,3.15505015639616,3.27701225381879,3.42317380769526,3.53317833530462,3.52660045305844,3.16638840924509,3.18185771764481,3.15200649335637,3.02144193138342,3.0471929614729,2.93354882217248,2.98454648841571,2.96201671253618,2.93812000576612,2.83367271891927,2.834979691293,2.81766949119177,2.89892528011148,2.9024716512,2.94225555676969,2.97693865529526,3.07639981210799,3.02971682433972,3.11659573652833,2.96486053891753,2.90237094828493,2.90883863902927,2.89324871572169,3.17889950624327,3.13244549703684,3.2199356682521,3.0965612714379,3.06964682170452,3.04273559742106,3.06376668512292,3.15999157907682,3.21849047520287,3.36301143524639,3.48413010945023,3.48201496596178,3.32254664516206,3.29286346745808,3.23158338575786,3.26432557309374,3.34254554705642,3.29255461015479,3.39060779978917,3.3686230275976,3.38504908203398,3.26062803516017,3.2727632487295,3.23296460887159,3.22331430733127,4.02174704864768,4.06022600286676,3.74521971619074,3.47307755360601,3.55035206481356,3.34318214310102,3.3784277834671,3.3603886836118,3.36878252915708,3.1109108320248,3.01524343792361,2.95542362150721,2.88750939878109,2.76472298616105,2.72742848312431,2.59488369436961,2.70442158023575,2.68382793281394,2.73207972326581,2.78252998844817,2.70237647417259,2.83413644445571,2.80437631255563,2.7506407411569,2.84284696155851,2.84666171859552,3.19998410479836,3.13777505267948,3.40559679563681,3.34729663337339,3.37802835544338,3.609566165327,3.50422738310828,3.36797165354136,3.38090994716929,3.27067536750564,3.36961269005365,3.32349366972571,3.23367762026088,3.32182106116738,3.29861682997746,3.44462151173353,3.52858311394592,3.70441663698002,3.603656903409,3.4667156481652,3.3472911720181,3.32552836827338,3.19661099744415,3.06750620547482,3.0578645820509],"EWU^FG_COMPANY_NAME":"iShares MSCI United Kingdom ETF","CAGDPY@IT^EE_ACTUAL_ANNUAL(MED,0)":0.508205836311015,"CC_NZ^FG_COMPANY_NAME":"New Zealand","EWL^FG_TOTAL_RETURNC(-10AY,0,AM)":[0.77990294,1.1751175,-0.99102855,-4.434359,2.388966,-7.0894423,3.4771442,1.8668413,-3.5125256,3.5454273,-0.15285611,4.8683405,2.5693417,-1.4802158,-2.6703775,1.8236995,-5.9403,1.2059689,-1.8501103,-1.1501551,-5.526829,-4.2764306,4.2530417,3.0167937,-0.39933324,3.5081863,-2.9050887,3.037548,0.79495907,-0.88728666,-2.254641,-1.187247,3.772223,2.0192027,1.654768,1.5639901,6.945312,1.1460423,1.0698318,1.5267134,0.26025772,0.7499337,-1.7463505,1.5151501,4.0183783,-4.415017,1.2702107,-2.480054,0.38000345,-2.2131562,1.8055081,3.778112,-1.2135267,-1.5501559,-0.8021414,-3.4441352,1.3337374,1.6835093,3.160739,4.201925,-0.92410445,5.511594,1.4261842,0.8086324,1.4705896,-2.6086986,4.437232,1.3989687,3.8579464,2.3370147,-13.293266,0.5821943,2.6736498,7.0335507,1.5495777,3.1626463,2.4087667,0.3563881,-0.30776858,3.4433603,4.4163346,-0.7919073,-2.8381348,5.4769516,2.9424548,5.842793,-0.3396392,1.7451286,-0.9772599,-4.068482,7.495272,-0.44921637,2.060032,-4.421377,-6.6371737,7.3675156,-13.483149,-0.56278706,-1.4754832,3.6714911,-2.9123962,-9.911203,6.2599897,7.2449207,2.7115464,1.2744665,-3.5280883,7.593751,5.4124236,-4.096806,-1.664108,3.3177495,-2.9741406,-3.0208826,-1.3971627,6.736362,4.1131616,-3.0518353,3.9672256,-3.1729639,1.9918561],"ENZL^FMA_PE(NTMA,-10AY,0,AM,\"PORTAGG\",\"MEANR\")":[17.4163911524998,17.2706305741786,17.2075908108407,16.8585573587513,17.3464195580397,17.1984708753075,17.7460947356817,18.1332626751689,18.4251532652318,18.9840152164882,19.2451762530786,18.4056751784969,18.2364671207994,18.3275634398357,17.8961084393424,18.235922259904,17.4976194231178,17.0316120615796,18.1270651132085,17.9808383660766,17.749291676187,17.1034256910226,18.0410747104811,18.4723575618665,19.0997081721889,19.3281648170739,19.2810162965941,20.2364112685103,20.985895910256,19.6823184321968,18.090751168447,18.5969651239115,18.8637879333417,19.1982931694631,18.8799988148611,19.2041000260692,19.582092594641,19.3419452657852,19.4803758467761,19.9462637707013,19.9748460346356,19.911935948641,20.2069313716387,20.5147144500842,20.91483861781,19.1829856079539,20.3239563604608,20.2861858439261,20.4237135619937,21.1911624078075,21.3164784046031,21.0885517849013,21.3217687899442,20.9136505484515,20.5368053214283,20.020192228927,20.3738935848584,20.9242564049207,21.8522360985045,22.2239156422591,22.9017350174977,22.6752646630474,23.8833699651415,24.6598040535111,26.6626892527254,25.3699824156548,24.8369855757782,25.4525368997083,25.8072643754428,26.4007022046737,25.5061885448843,26.4067438196473,29.7969380845218,30.7594526934417,31.4317627181644,31.8387501001632,32.0938671290687,33.1656204674979,33.9938525840865,33.1972504814305,35.3643673848466,32.5724944447288,31.4796947485154,32.2570585697458,32.2733964162456,33.178701227106,34.3236059715828,33.8907058549711,34.4617467881037,33.8363379426447,33.6817376458467,32.0743440389608,32.0253089221071,30.6731219871423,28.5753181962286,28.4642249943043,28.0916100395909,26.190519267583,26.0828796286135,26.6577233407216,27.0220488287042,24.0917343072942,23.1571328046332,23.2466483788271,23.541066145687,24.2415080565038,23.1555802273948,23.3792101612306,23.4650019614078,20.6862263039356,21.1071160270089,20.5344821506031,20.3350383504232,19.7431374198265,20.1770132501006,21.8316271366849,23.0015870596821,22.2274988672056,24.9348897718481,24.935583560774,25.1300265940594],"EWA^FG_PRICE_MAVG(0,,,,200)":22.9261,"VGK^P_PRICE(0)/P_PRICE_LOW_PR(0,,,,,,\"PRICE\",\"INTRA\",\"52W\")-1":0.24627686,"EWN^FG_TOTAL_RETURNC(0,-6AM)":28.35108,"QQQ^FG_TOTAL_RETURNC(0,-12AM)":38.028717,"URTH^FMA_COS_DOWN(\"EPS\",\"1M\",+1,0,,,\"PORTAGG\",\"MEANR\")":559.0,"EWI^FG_ROE(0)":14.5781672192801,"REFNZOCR-FDS^(SUBARRAY(NOT_NA(NO_REPEAT_F(FG_YIELD(NOW,-10AY,D))),0,1)-SUBARRAY(NOT_NA(NO_REPEAT_F(FG_YIELD(NOW,-10AY,D))),1,1))*100":25.0,"TRYDE10Y-FDS^PCTCHG(FG_YIELD(0,,,,\"YTM\"),FG_YIELD(-3AM,,,,\"YTM\"))":4.831923,"TRYGB10Y-FDS^FG_YIELD_NAME":"United Kingdom Benchmark Bond - 10 Year","CC_AU^IMF_IFS_RCPI_Q(0)":3.61991,"EWI^JULIAN(FMA_DIV_YLD(NTMA,NOW,NOW,M,\"PORTAGG\",\"MEANR\").DATES)":45412,"SPY^FMA_DIV_YLD(NTMA,NOW,NOW,M,\"PORTAGG\",\"MEANR\")":1.50895004444709,"EWL^FG_COMPANY_NAME":"iShares MSCI Switzerland ETF","USO^FG_TOTAL_RETURNC(0,-1AM)":-5.7054877,"SPY^FG_TOTAL_RETURNC(0,-3AM)":4.1095853,"EWD^FMA_EVAL_EBITDA(NTMA,0,,,\"PORTAGG\",\"MEANR\")":11.1026437451997,"DBA^P_PRICE(0)/P_PRICE_HIGH_PR(0,,,USD,,,\"PRICE\",\"INTRA\",\"52W\")":0.9171208,"EWG^P_PRICE(0)/P_PRICE_HIGH_PR(0,,,,,,\"PRICE\",\"INTRA\",\"52W\")":0.99953234,"QQQ^FG_ROE(0)":22.1044171746105,"EWN^FG_FCF_YIELD_NTM(0)":3.68772496978005,"EWG^FG_COMPANY_NAME":"iShares MSCI Germany ETF","EWG^FMA_DIV_YLD(NTMA,-10AY,0,AM,\"PORTAGG\",\"MEANR\")":[3.02201102096729,2.95090744566859,3.06334597861313,3.3225899992632,3.09951125861469,3.3599471943098,3.31325673671482,3.18927882732014,3.23809334138701,2.96597448081487,2.74477249324485,2.64939032158464,2.8329193735967,3.06025621030117,3.08568288313694,2.97087954538524,3.31566761560576,3.30474400999604,3.0145768021941,3.06980700597599,3.3108190546449,3.69541642855771,3.38505326392629,3.4090693814605,3.34081799595088,3.33339725972673,3.50170641485408,3.15292561498454,3.18462599176139,3.16766295971918,3.17923410878919,3.0388274934947,2.95648934951892,2.98139286397819,2.95259474687951,2.91301374575283,2.85461942697969,2.9050955420522,3.02301197909455,3.09082511145707,3.09927304887004,2.95773463031344,2.91092740042349,2.89667658692454,2.85238364729209,3.19950504726284,3.14791412114316,3.2271250136581,3.09512717377356,3.15228694046349,3.21468382465057,3.18799125550097,3.36969355611784,3.4059914366904,3.58925817903421,3.83998629002061,3.81755268649903,3.80292451831539,3.63406054587297,3.53161008925733,3.52191576264419,3.58514670910703,3.47361958326582,3.6003553181979,3.42798171214663,3.48194832604834,3.15304535990835,3.12877624872354,3.04601300389215,3.06401464080955,3.84666204836162,3.58605127018635,3.31824950431472,2.83865787919295,2.8818262132169,2.86803021513996,2.77604041786601,2.81433848698402,2.87290570104791,2.77374801450095,2.6900125049038,2.74476590748308,2.76193848407895,2.68523749582644,2.78991645021532,2.79766173578374,2.79885024823141,2.85375065239541,2.87003651000605,2.99396107680846,2.93353830768029,3.07187925634111,3.04679543805461,3.17270584914676,3.65300937349867,3.56860471719382,3.99975849572866,3.79841730411649,4.12030169900357,3.99571991038641,4.11303520794007,4.42843330813067,3.99981353000128,3.74349959783665,3.61247649491203,3.43166089531519,3.48933313782305,3.54684958805782,3.55006239339849,3.64751341293101,3.76701963820375,3.7155126810265,3.75855272364857,3.92167797933048,3.85518110760822,3.54227933929578,3.59019124284296,3.53877334220308,3.32734915148276,3.32321453070574,3.35742691793737],"TRYFR10Y-FDS^FG_YIELD(-10AY,0,Y,,\"YTM\")":[0.837,0.9989,0.682,0.785,0.71,0.118,-0.344,0.201,3.07,2.534],"VGK^FG_TOTAL_RETURNC(0,-6AM)":19.703913,"QQQ^P_PRICE_RETURNS_PR('52W',2,-10AY,0,AM)":[21.446228,28.385746,31.919909,25.467896,29.482508,27.679407,26.59316,23.34336,19.731676,19.556988,20.312798,23.54977,27.077627,17.745758,12.855315,18.332947,5.767381,11.173237,12.990713,8.718753,1.7165661,-5.345708,-1.6974568,3.3273578,-1.5233397,3.1305194,5.1415205,7.188213,11.274349,13.425434,4.7653437,7.053733,18.927597,33.28314,26.217949,22.229052,31.982231,28.341818,28.138077,24.537552,24.285793,25.743126,31.942188,31.77879,34.098732,24.073769,33.552193,20.558537,22.425783,22.55789,29.663277,27.242828,25.507568,22.727919,12.459528,5.584371,-0.22454262,10.786009,1.6327977,17.978394,11.019683,4.6937704,8.546555,3.417647,6.4923406,5.1692963,16.382921,27.591537,37.291264,37.36303,14.016867,9.808922,22.07594,35.537983,38.618553,48.523724,46.512115,53.739834,44.485737,48.754726,47.96505,46.548607,62.212265,68.880775,51.602997,39.31042,38.476406,36.59749,37.333416,29.026115,37.716198,31.371902,21.179699,10.491001,7.96597,4.701495,-10.657394,-10.686416,-17.220234,-13.530361,-18.6249,-25.401848,-32.977562,-27.922894,-28.255808,-17.133522,-11.994386,-9.2781725,9.069979,19.309593,25.044918,16.859936,24.864506,37.144436,41.496872,39.10166,51.011158,45.87022,48.42684,39.969696,38.028717],"USDJPY^FG_PRICE_CHANGE(0,-6AM)":3.063929,"PASP-FDS^FG_PRICE_CHANGE(0,-1AY)":-39.4321766561514,"W-FDS^FG_PRICE_CHANGE(0,-6AM)":6.71545415411106,"EWQ^FG_PRICE_MAVG(0,,,,30)":40.565334,"EWJ^P_PRICE(0)/P_PRICE_LOW_PR(0,,,,,,\"PRICE\",\"INTRA\",\"52W\")-1":0.1947552,"EWA^FG_TOTAL_RETURNC(0,-6AM)":16.797089,"QQQ^FMA_COS_UP(\"EPS\",\"1M\",+1,0,,,\"PORTAGG\",\"MEANR\")":42.0,"EWD^FMA_EVAL_EBIT(LTMA,NOW,NOW,M,\"PORTAGG\",\"MEANR\")":15.9134277089997,"EWL^FMA_DIV_YLD(NTMA,NOW,NOW,M,\"PORTAGG\",\"MEANR\")":3.41440942785273,"EWA^FMA_EVAL_EBIT(LTMA,NOW,NOW,M,\"PORTAGG\",\"MEANR\")":12.3736966762008,"EWL^FMA_PE(NTMA,0,,,\"PORTAGG\",\"MEANR\")":16.74284061865,"SPY^FG_TOTAL_RETURNC(0,-1AM)":0.16367435,"TRYAU10Y-FDS^PCTCHG(FG_YIELD(0,,,,\"YTM\"),FG_YIELD(-1AM,,,,\"YTM\"))":4.2155604,"EWQ^FG_TOTAL_RETURNC(0,-12AM)":10.737848,"TRYIT10Y-FDS^FG_YIELD_NAME":"Italy Benchmark Bond - 10 Year","ENZL^JULIAN(FMA_DIV_YLD(LTMA,-10AY,0,AM,\"PORTAGG\",\"MEANR\").DATES)":[41768,41799,41829,41859,41891,41921,41950,41982,42013,42044,42072,42103,42132,42164,42194,42223,42256,42286,42317,42347,42377,42409,42438,42468,42499,42530,42559,42591,42622,42650,42683,42713,42744,42775,42803,42832,42864,42895,42923,42956,42986,43017,43048,43077,43109,43140,43168,43199,43229,43259,43290,43321,43350,43382,43413,43441,43474,43504,43532,43564,43594,43623,43655,43686,43717,43747,43777,43808,43839,43868,43899,43930,43959,43991,44021,44050,44083,44113,44144,44174,44204,44236,44264,44295,44323,44356,44386,44417,44448,44477,44509,44539,44567,44601,44629,44659,44690,44721,44750,44782,44813,44841,44874,44904,44935,44966,44994,45022,45055,45086,45114,45147,45177,45208,45239,45268,45300,45331,45359,45391,45418],"EWI^FG_TOTAL_RETURNC(0,-1AM)":2.074349,"QQQ^FMA_PE(NTMA,0,,,\"PORTAGG\",\"MEANR\")":25.5439841689895,"DDR3512M-FDS^MAX(FG_PRICE(0,-5AY))":3.3053632,"FXI^FG_TOTAL_RETURNC(0,-6AM)":9.186686,"COPP-FDS^FG_PRICE_CHANGE(0,-6AM)":26.7537826685007,"CAGDPY@SE^EE_ACTUAL_ANNUAL(MED,+1)":5.4,"USDITL^STD(FG_PRICE_CHANGE(0,-3AY,M))":2.17952831157567,"EWQ^FMA_EPS(NTMA,-20AY,0,CY,,\"PORTAGG\",\"MEANR\")":[2.02293794620879,2.09338204215347,2.69740018358616,3.1669085058651,2.36664992614361,2.07401175960449,2.36258917800502,2.15605314606315,2.15764377090538,2.15768724966229,1.78907537429816,1.66363137331966,1.69319582409989,2.10907755629154,2.23155948612122,2.19705971714274,1.85109750880863,2.46081746914008,2.80266518938636,2.92070468127568],"EWJ^FG_TOTAL_RETURNC(-10AY,0,AM)":[-0.17920732,5.9245944,3.5001755,-3.21517,-0.085181,-4.688823,3.4883618,0.43215752,-3.6532044,3.683734,6.325829,5.29747,1.7027855,-2.891934,-1.8584371,3.8523197,-9.273571,3.0664444,2.0661116,-2.1052659,-4.6874943,-6.293702,5.2238703,0.44326782,1.7652273,2.8620958,-1.6710877,5.963707,0.5709648,0.97323656,-0.8232951,3.7659407,-0.28797984,1.0097027,-0.09800196,0.19619465,3.0350447,2.793622,-1.4211535,3.2842636,0.4568696,1.9829035,6.1719537,0.13440847,5.467069,-5.3971767,2.623999,-0.77531934,0.5320072,0.61187744,-3.9379418,0.6035447,-2.862531,4.270339,-6.7524137,-2.8312087,0.022685528,-0.77154636,1.175797,2.9803157,-2.2570014,1.2663007,1.3903975,-1.9582689,3.0240774,2.4098635,6.0332656,0.6507635,0.5501151,-0.784111,-16.058523,0.9214759,3.890431,10.049677,-3.625846,1.6887546,3.160715,2.925396,6.508577,3.7422895,5.8775067,2.280271,-3.852129,2.2453785,-0.87555647,-0.10136366,-0.08365512,-0.9498775,7.5390935,-6.9008055,2.8146148,-2.063918,-1.1338949,-1.7249167,-8.806467,-0.5355656,-7.3027077,2.2797227,-3.727597,1.8987298,-3.0507863,-6.142825,2.429235,8.310461,-0.44879317,5.283296,-0.55372715,0.59161186,3.8574576,4.3625116,-0.9321809,-0.69760084,0.6534934,-3.343618,0.5709529,4.8255086,3.4932494,3.9956212,6.828761,-0.98341703,-3.0363321],"VGK^P_PRICE(0)/P_PRICE_HIGH_PR(0,,,,,,\"PRICE\",\"INTRA\",\"52W\")":1.0,"EWN^FG_TOTAL_RETURNC(0,-3AM)":6.3555717,"QQQ^PERCENT_CHANGE(FMA_EPS(+1,0,,,,\"PORTAGG\",\"MEAN\"),FMA_EPS(+1,-3AM,,,,\"PORTAGG\",\"MEAN\"))":-0.00862951605292527,"VWO^FMA_COS_UP(\"EPS\",\"1M\",+1,0,,,\"PORTAGG\",\"MEANR\")":838.0,"EWD^FG_ROE(0)":16.2887254789292,"REFNZOCR-FDS^FG_YIELD(NOW,,,0)":5.5,"TRYDE10Y-FDS^PCTCHG(FG_YIELD(0,,,,\"YTM\"),FG_YIELD(-1AM,,,,\"YTM\"))":5.1411705,"TRYJP10Y-FDS^FG_YIELD_NAME":"Japan Benchmark Bond - 10 Year","CC_NZ^IMF_IFS_RCPI_Q(0)":4.022989,"SPY^FMA_PE(NTMA,0,,,\"PORTAGG\",\"MEANR\")":20.349688941604,"TRYIT10Y-FDS^PCTCHG(FG_YIELD(0,,,,\"YTM\"),FG_YIELD(-1AM,,,,\"YTM\"))":2.7238421,"EWJ^FMA_PE(NTMA,0,,,\"PORTAGG\",\"MEANR\")":15.4346607368914,"USDCAD^STD(FG_PRICE_CHANGE(0,-3AY,M))":1.84677137832339,"URTH^FG_TOTAL_RETURNC(0,-3AM)":4.5250177,"EWN^FMA_PE(NTMA,0,,,\"PORTAGG\",\"MEANR\")":15.9548326456327,"EWG^FMA_EVAL_EBITDA(NTMA,0,,,\"PORTAGG\",\"MEANR\")":8.35150642185312,"EWI^FMA_PE(LTMA,-10AY,0,AM,\"PORTAGG\",\"MEANR\")":[17.0669320017407,17.4369104562077,17.2012345261801,16.5911838533686,17.9757758230313,16.6998252092705,17.1607401359139,18.3381191285941,17.9847340611129,25.1964040353964,44.4168927775323,41.7212694998106,39.0103002593332,35.6615229797865,32.6801468976763,30.8630446414667,27.1851326848255,24.7980715969217,22.3631760480499,19.8787265380704,16.9106685130241,12.9046880760825,15.3861449759853,15.1288093531516,15.053083400576,15.0093415368214,14.3120535116153,15.0537138797208,15.0932806233599,14.6081785003475,14.7789758844801,15.600308867887,28.1376991349804,20.7790558734695,83.924408876483,77.1249139357744,69.8624462594076,62.4456491444949,55.8494317350026,48.3220967155886,41.2034559082728,34.3722437250861,27.2109894771594,20.9907625514815,15.7135831898475,14.2880606067901,14.213166354276,14.1179532479109,14.211198858281,13.3380397091967,13.3367711248521,13.1017799005037,12.3863291595943,12.0133621287197,11.4554618129675,10.8202107571258,10.8304073810994,10.7399408502187,11.2641008276793,11.3328103954688,11.1442072197864,10.9484591021744,11.2737490191427,10.8206329945518,11.29679596013,11.1390757684314,12.001388835943,11.769613313833,12.3204451105729,12.7266777283102,11.0365128931983,11.3594125527211,13.4476460483447,15.8254193625955,16.8089352443064,17.3334917203411,18.5168249778428,18.7647342688994,20.294125207479,22.5306498077803,23.8226769907425,21.2941926850088,20.163597467477,19.5983226751671,18.9365937865895,18.5738980017854,17.703134076901,16.3615530659419,15.3681567333771,14.6235703659098,13.8815058605929,12.432807573142,12.2306394402933,11.8222141905303,10.5664022184962,10.5389922310933,10.135506206432,9.88035501529469,9.32628435033607,8.88241807496404,8.47891126965454,8.00252786564641,8.31590474245923,7.71614793984135,7.85987349203501,8.322473520743,8.31910041825226,8.3333126965669,8.308775630507,8.44372267252691,8.53090703596223,8.25220230696088,8.30332205051294,8.08652564341676,8.15563628222955,8.7951273803108,8.92943320939297,9.0843759536886,9.38589187618424,9.43021630728211,9.52133648556804],"PASP-FDS^FG_PRICE_CHANGE(0,-6AM)":-7.69230769230769,"W-FDS^FG_PRICE_CHANGE(0,-3AM)":3.8542103058232,"EWQ^FG_PRICE(0)":41.97,"EWA^FG_PRICE_MAVG(0,,,,30)":24.058332,"EWA^FG_TOTAL_RETURNC(0,-3AM)":3.551793,"EWU^SIZE(FG_CONSTITUENTS)":85,"EWL^FMA_PE(LTM,0,,,\"PORTAGG\",\"MEANR\")":15.234973408208,"EWA^FMA_EVAL_EBITDA(NTMA,0,,,\"PORTAGG\",\"MEANR\")":8.5681435246479,"ENZL^P_PRICE(0)/P_PRICE_LOW_PR(0,,,,,,\"PRICE\",\"INTRA\",\"52W\")-1":0.10358,"PLATI-FDS^FG_PRICE_CHANGE(0,-1AY)":-10.989010989011,"VGK^FG_PE_NTM(0,,,90,0)":13.6709040597542,"UUP^P_PRICE(0)/P_PRICE_HIGH_PR(0,,,USD,,,\"PRICE\",\"INTRA\",\"52W\")":0.9514338,"SPY^FG_TOTAL_RETURNC(0,-12AM)":28.427578,"CAGDPY@SE^EE_ACTUAL_ANNUAL(MED,0)":6.76905401199225,"USDEUR^FG_PRICE_CHANGE(0,-3AM)":0.09279251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307027,16.6617703337835,22.2767073880581,22.9687104706434,24.3449868014255],"EWN^FG_TOTAL_RETURNC(0,-1AM)":1.083684,"QQQ^PERCENT_CHANGE(FMA_EPS(+1,0,,,,\"PORTAGG\",\"MEAN\"),FMA_EPS(+1,-1AM,,,,\"PORTAGG\",\"MEAN\"))":-0.287149135736504,"VGK^SIZE(FG_CONSTITUENTS)":1280,"EWN^FG_ROE(0)":11.6637686072044,"REFNZOCR-FDS^PROPER_NAME(0,,,\"SECURITY\",\"NAME\")":"New Zealand Official Cash Rate","TRYCA10Y-FDS^PCTCHG(FG_YIELD(0,,,,\"YTM\"),FG_YIELD(-3AM,,,,\"YTM\"))":2.1556356,"TRYDE10Y-FDS^FG_YIELD(0,,,,\"YTM\")":2.495,"VWO^FMA_EVAL_EBIT(LTMA,NOW,NOW,M,\"PORTAGG\",\"MEANR\")":14.3855573951628,"EWD^FMA_PE(LTM,0,,,\"PORTAGG\",\"MEANR\")":14.3507113620819,"SPY^FMA_PE(LTM,0,,,\"PORTAGG\",\"MEANR\")":25.5576945382472,"EWL^JULIAN(FMA_DIV_YLD(NTMA,NOW,NOW,M,\"PORTAGG\",\"MEANR\").DATES)":45412,"DBA^FG_TOTAL_RETURNC(0,-6AM)":15.295482,"USDITL^FG_PRICE_CHANGE(0,-6AM)":-0.56604147,"PASP-FDS^FG_PRICE_CHANGE(0,-3AM)":7.86516853932584,"SPY^FG_PRICE_MAVG(0,,,,200)":470.42975,"EWA^FG_PRICE(0)":24.49,"EWJ^FMA_EVAL_EBIT(LTMA,NOW,NOW,M,\"PORTAGG\",\"MEANR\")":17.9821576383159,"VWO^P_PRICE(0)/P_PRICE_HIGH_PR(0,,,USD,,,\"PRICE\",\"INTRA\",\"52W\")":0.9935853,"EWU^FG_TOTAL_RETURNC(0,-12AM)":11.791825,"VGK^FMA_COS_UP(\"EPS\",\"1M\",+1,0,,,\"PORTAGG\",\"MEANR\")":425.0,"TRYCA10Y-FDS^FG_YIELD(0,,,,\"YTM\")":3.6206,"EWN^FMA_EVAL_EBIT(LTMA,NOW,NOW,M,\"PORTAGG\",\"MEANR\")":21.9357074692719,"TRYPH10Y-FDS^FG_YIELD(-10AY,0,Y,,\"YTM\")":[3.8633,4.1,4.6281,5.6986,7.1730304,4.847582,3.4208684,4.796723,6.9293385,6.0028777],"EWC^FG_TOTAL_RETURNC(-10AY,0,AM)":[0.62913895,2.1717668,5.3489923,-2.648598,2.7839303,-8.525705,0.43741465,-3.986603,-2.227199,0.5788684,-2.3021579,3.534615,2.8805137,-4.5281706,-5.979782,-2.3670971,-6.359303,5.7724953,-6.05939,-5.6813297,-7.9605637,0.74813366,14.356434,1.7315984,1.2765884,7.058823,-2.5287747,3.4090877,-0.5101979,-0.8284092,1.2331009,5.8546185,0.099396706,2.209735,-2.8948367,1.3962269,-2.7540088,1.4542699,1.7755747,2.9521585,2.6497364,2.404523,1.5538692,-0.9180546,4.825914,-8.919102,2.0021915,-1.1777282,3.5030723,1.360774,0.37760735,0.65675974,-3.296709,0.78125,-5.637765,-3.659451,1.1226416,5.027282,1.3729095,3.1844854,-0.6739974,0.5357146,3.5612583,-2.4922073,1.6684413,-1.7458081,4.690826,0.06788969,3.2254338,0.33299923,-20.643871,-3.2204092,6.1365604,9.975576,-3.1443954,7.9150677,1.0733366,1.2389421,0.17482042,9.42409,3.7061095,1.7751455,2.5091767,4.68657,4.9615145,3.232813,-1.3438284,0.2952218,0.34787655,0.55999756,5.701411,-4.490721,1.9329906,2.5319695,-2.1130323,3.7451148,-11.281025,5.3855896,-8.833063,3.170371,0.20103455,-10.662079,5.935192,2.5136232,1.7568707,3.3284307,-4.8460665,3.3553004,2.9275298,-2.99775,0.6744981,1.3981938,-2.2982001,-2.5580704,0.120699406,5.666065,5.0920367,-0.027507544,3.4947753,2.419567,-0.6230593],"EWD^FMA_PE(LTMA,-10AY,0,AM,\"PORTAGG\",\"MEANR\")":[15.4769459623595,15.7981718444561,15.804605720265,15.6603574981335,15.8332956529992,15.3985527326239,16.6450859233152,17.3595489694312,17.3501845842365,18.9175639431173,20.1536880982346,19.9031268324798,19.1411090214752,18.921257356373,18.4282398096743,18.53745497413,17.4399780300281,17.0746739120283,16.9897627917953,16.3018516870773,14.8563815503764,14.1843509515804,15.6363490903444,15.5686234328624,15.5317168894061,15.4813459600807,15.3556729210987,16.0239106151685,16.0850630095338,16.6014571677665,17.0761527826424,18.0715369323263,18.0978367518161,17.943887209202,17.4366358667746,17.5673085890507,17.7209487844412,17.6468614598417,17.5805879425515,17.0583592564286,16.9373572160079,17.6884312756097,18.3065804038772,18.06014548616,18.5072584114351,16.1654813673167,16.9807111730829,16.7303784213034,16.8765289421961,16.5264792034606,16.528003915135,16.6820203994259,16.5525170140672,16.3759280929293,15.2068225607652,14.2681216471785,14.4561565052809,16.7663383199979,18.0503338996137,17.8329677146586,17.5545823034733,17.1106943260775,17.1385575938063,15.9687518736928,16.0643530708143,16.1950011396824,17.0747681711679,15.9034220566104,16.436302432675,14.0504937587659,12.7125525177208,13.61637114756,15.1996961122356,16.5496353692824,17.5419245451068,17.3030558928166,17.7201111671947,18.3045686411082,16.4235152088718,17.2790274726211,18.6230335668748,17.9229822146967,17.8116522787875,18.349470590264,17.5885438999124,17.8984996983735,18.1301508808067,17.5591152804481,17.4812108967855,16.8632439011212,16.6703065661884,16.6778590000611,16.696888144745,12.6168517238987,11.6544299020759,12.1985361856971,12.8660318591899,13.6500187447129,13.8562486289664,14.546516504552,14.7530283414115,14.4140826534026,13.6250081631311,15.7271530681758,16.4653209113305,26.4260661350438,25.3267044510605,24.1239776257193,22.8957513241552,21.7578853154904,20.436461284832,19.0496159653574,17.6029257932716,16.2314040654565,15.7489738382727,17.9131217798308,17.3713931140777,15.2988691255663,16.0819749670622,16.1218235527212,16.1032490345615],"EWA^FG_TOTAL_RETURNC(0,-1AM)":-1.4486969,"EWU^FMA_COS_DOWN(\"EPS\",\"1M\",+1,0,,,\"PORTAGG\",\"MEANR\")":33.0,"EWA^FG_FCF_YIELD_NTM(0)":4.94636723079552,"EWN^PERCENT_CHANGE(FMA_EPS(+1,0,,,,\"PORTAGG\",\"MEAN\"),FMA_EPS(+1,-1AM,,,,\"PORTAGG\",\"MEAN\"))":0.130596150095262,"QQQ^FMA_EVAL_EBIT(LTMA,NOW,NOW,M,\"PORTAGG\",\"MEANR\")":24.2425904372791,"DBA^FG_TOTAL_RETURNC(0,-1AM)":-2.5559127,"EWC^FMA_ROE(NTMA,-20AY,NOW,FY,\"PORTAGG\",\"MEANR\")":[14.6738571923606,15.7709471724654,15.8547136543611,16.5705490516163,13.8099900139916,11.8327104416904,12.6984457284378,13.5092848924233,12.804929450575,12.2925364029644,11.8034021278505,10.9923508764539,11.4792366602027,11.3979128674428,12.4990081822477,11.9786783863837,11.1922086822881,14.1061782856045,14.0029403106189,13.147116166704],"EWI^FMA_RBICS_REV_CURRENT(30, LOC, \"PORTAGG\")":36.6089143757674,"USDEUR^FG_PRICE_CHANGE(0,-1AM)":0.7516384,"W-FDS^FG_PRICE_MAVG(0,,,,30)":5.7515,"VGK^FG_TOTAL_RETURNC(0,-3AM)":8.067536,"EWN^PERCENT_CHANGE(FMA_EPS(+1,0,,,,\"PORTAGG\",\"MEAN\"),FMA_EPS(+1,-3AM,,,,\"PORTAGG\",\"MEAN\"))":3.05881959315887,"QQQ^FMA_PCT_ABOVE_MAVG(200,0,,,,\"PORTAGG\")":65.6862745098039,"VGK^FMA_COS_DOWN(\"EPS\",\"1M\",+1,0,,,\"PORTAGG\",\"MEANR\")":547.0,"EWQ^FG_ROE(0)":12.7591430496899,"REFFFUND-FDS^FG_YIELD(NOW,,,0)":5.5,"TRYIT10Y-FDS^PCTCHG(FG_YIELD(0,,,,\"YTM\"),FG_YIELD(-3AM,,,,\"YTM\"))":-3.7645257,"TRYCA10Y-FDS^PCTCHG(FG_YIELD(0,,,,\"YTM\"),FG_YIELD(-1AM,,,,\"YTM\"))":1.8481548,"VWO^FMA_EVAL_EBITDA(NTMA,0,,,\"PORTAGG\",\"MEANR\")":8.82512783686192,"EWD^JULIAN(FMA_DIV_YLD(NTMA,NOW,NOW,M,\"PORTAGG\",\"MEANR\").DATES)":45412,"SPY^JULIAN(FMA_DIV_YLD(NTMA,NOW,NOW,M,\"PORTAGG\",\"MEANR\").DATES)":45412,"EWJ^FMA_DIV_YLD(NTMA,NOW,NOW,M,\"PORTAGG\",\"MEANR\")":2.20500321521818,"DBA^FG_TOTAL_RETURNC(0,-3AM)":10.207772,"EWU^FMA_EPS(NTMA,-20AY,0,CY,,\"PORTAGG\",\"MEANR\")":[2.78829402631307,2.94932484667975,3.75488864741091,4.07523919059458,2.818707383858,2.6972177795125,3.36495665882676,3.43468170545609,3.30605625416888,3.23218168522276,2.60589751741525,2.12294202915382,2.123898319152,2.42405089418043,2.57732227429949,2.53485794961448,2.03463841368045,2.71427224666172,3.12760120843659,3.00280442811251],"EWA^FG_TOTAL_RETURNC(-10AY,0,AM)":[-0.9701431,0.71589947,0.3286481,-1.5140057,2.4212122,-10.431517,4.6501875,-8.246594,1.3574362,2.0444393,0.391984,1.9522786,-2.3829758,-6.32084,-2.5810063,-0.48924088,-10.127825,7.439816,-7.5356426,2.422905,-6.712943,-0.23695827,15.26128,-4.177231,4.144275,2.8910637,0.29832125,6.6971183,-5.991441,5.3616524,-1.440227,3.0199647,2.770996,1.8422246,1.3914704,2.0585537,-2.7790189,-0.5532563,1.7722964,4.4692755,1.6488314,-2.542746,4.2285204,-2.201122,6.712711,-6.2711835,5.3797364,-5.362505,2.4932027,1.2383819,3.203106,-1.3810933,-6.0831547,-0.93196034,-0.28221607,-4.198122,2.8877854,3.2803178,2.3099065,1.4110923,-0.5101979,4.1957974,2.316773,-4.1053114,3.769195,-2.6905775,4.9308777,-0.9661913,2.8134108,-0.6159246,-22.797697,-4.644501,1.7438412,19.976353,-2.9667556,5.0489426,0.49043894,1.6105413,6.051874,7.382238,5.612433,0.5638361,0.92110634,1.2698412,4.858935,1.3079286,-2.3088992,0.45940876,-0.9527445,-2.000773,3.1802177,-4.1095915,1.2590051,-2.0308673,1.243782,8.6814165,-12.2456665,1.989615,-7.344633,5.1125765,-0.2677381,-9.888148,4.518366,10.071266,1.1587381,5.5193424,-6.7133484,1.9426107,0.34646988,-1.671803,-1.1627913,1.5837073,-3.340757,-1.106,-0.2795875,6.635511,6.085491,-0.29510856,4.735732,0.32297373,-1.4486969],"EWN^FMA_PE(LTMA,-10AY,0,AM,\"PORTAGG\",\"MEANR\")":[16.8531231483305,16.9143490909164,16.6722779012594,16.0613943064958,16.7655330368037,16.2592908452216,17.0781560250848,17.5340766263026,17.3169343985986,18.4773450197536,20.0973690331756,19.9795919664864,19.5978864355122,19.066827282509,18.7188327726598,18.9137128129669,17.4655635301124,16.9663780479726,17.4529936807295,17.2756747590625,15.679078893842,14.8729471303648,16.3853182603941,16.2752520365653,16.1440455598805,16.1978287717234,15.7503795083664,16.1698806047767,16.0420037505566,15.8598442643052,15.663348028028,15.9210527944989,16.3586453719538,16.2499046060442,16.479939897585,16.5144021940718,16.8229245759401,16.7603890824502,16.5089269240984,16.7457478927869,16.6293228876062,17.1446006488948,17.409686727814,17.2449527384291,17.6394074858459,16.3813455423913,16.6808924860941,16.5698488905374,16.576661468031,16.6498226664626,16.5862875277552,16.79748579209,16.352552043027,15.9473827422949,15.7089007227689,14.8737606909066,14.6015363538485,15.4171253643713,16.0929839464726,16.2300905529226,16.1590763544596,16.1939748679376,16.3925029244186,16.1992289832813,16.8977386342961,16.8751352853433,17.8455862083358,18.3406106064554,18.904886819127,19.6242326819412,17.0830583258068,17.2963780218408,17.988110147751,19.2536042581739,19.9456839488971,20.6058487270711,21.48405946718,22.6340516801465,23.582439913958,26.27284088181,27.9165975970299,28.7163820550403,28.769757341678,28.5639939177266,27.7268470748649,26.9384799438802,26.3643705945127,26.3338852105163,25.6781209129984,23.9698847879367,24.6656537338354,22.7971570309061,22.3386207623508,20.5770726608518,18.2313140817635,18.444287508836,17.7273331118273,18.5061883143893,18.2782894481858,19.4674060575275,18.7326434357365,17.2321438349883,17.5903474598136,18.6015610131616,19.0533151974582,20.9723876055069,20.5416252065632,20.2336526046346,19.6737230607984,19.3305978205485,19.0088241658803,18.4269085019312,17.4369088154753,16.3891198729012,16.1815593688724,16.6234998476894,16.2950244057449,17.9721178097682,18.5048722448391,18.3732360061716,18.208551445676],"SPY^FG_PRICE_MAVG(0,,,,60)":510.83017,"ENZL^FG_PRICE_MAVG(0,,,,200)":45.52304,"URTH^FG_TOTAL_RETURNC(0,-12AM)":23.418438,"VGK^PERCENT_CHANGE(FMA_EPS(+1,0,,,,\"PORTAGG\",\"MEAN\"),FMA_EPS(+1,-3AM,,,,\"PORTAGG\",\"MEAN\"))":-1.56477383423192,"EWA^PERCENT_CHANGE(FMA_EPS(+1,0,,,,\"PORTAGG\",\"MEAN\"),FMA_EPS(+1,-3AM,,,,\"PORTAGG\",\"MEAN\"))":1.48092570707404,"EWU^FMA_COS_UP(\"EPS\",\"1M\",+1,0,,,\"PORTAGG\",\"MEANR\")":44.0,"TRYAU10Y-FDS^PCTCHG(FG_YIELD(0,,,,\"YTM\"),FG_YIELD(-3AM,,,,\"YTM\"))":5.402133,"EWA^FMA_DIV_YLD(NTMA,NOW,NOW,M,\"PORTAGG\",\"MEANR\")":4.0156778768556,"EWJ^P_PRICE(0)/P_PRICE_HIGH_PR(0,,,USD,,,\"PRICE\",\"INTRA\",\"52W\")":0.9483105,"PASP-FDS^FG_PRICE_MAVG(0,,,,30)":1012.23334,"EWL^SIZE(FG_CONSTITUENTS)":46,"VWO^FG_FCF_YIELD_NTM(0)":5.43114194666184,"TRYSE10Y-FDS^PCTCHG(FG_YIELD(0,,,,\"YTM\"),FG_YIELD(-1AM,,,,\"YTM\"))":-5.2652655,"EWJ^FMA_ROE(NTMA,-20AY,NOW,FY,\"PORTAGG\",\"MEANR\")":[9.47226395470966,9.71080928595139,9.94594902069009,9.91062584648368,6.32645011325218,5.71374560341251,7.77608846456594,7.29309511734397,7.60463906390222,8.908847583029,9.08038865449702,8.77889818317635,8.62096827520989,9.23986519100434,9.49570678525962,8.35596278131311,7.43859928704762,9.22076567652677,9.22544557398871,9.29901046494658],"EWG^FMA_ROE(NTMA,-20AY,NOW,FY,\"PORTAGG\",\"MEANR\")":[11.8275550599933,12.5810872006639,13.372977849048,14.712722857709,11.5210886767193,11.0094337648339,13.0475804034897,12.3546044213534,12.1037876491794,12.1465108243325,11.8873581616615,12.0284649417774,11.8967042128795,12.2469207943648,11.6510152415578,10.4475672102116,9.71471543630713,12.1997093940908,11.8187115511422,11.9387910002122],"URTH^FG_TOTAL_RETURNC(0,-1AM)":0.2155304,"CAGDPY@NL^EE_ACTUAL_ANNUAL(MED,0)":10.0892019550425,"SPY^FG_ROE(0)":18.1333452674955,"CAGDPY@CH^EE_ACTUAL_ANNUAL(MED,0)":7.64151941312264,"TRYAU10Y-FDS^FG_YIELD(0,,,,\"YTM\")":4.351,"USDSEK^FG_PRICE(0)":10.857,"EWU^FG_PRICE(0)":36.06,"EWQ^P_PRICE(0)/P_PRICE_HIGH_PR(0,,,,,,\"PRICE\",\"INTRA\",\"52W\")":1.0,"CAGDPY@JP^EE_ACTUAL_ANNUAL(MED,0)":3.61176418506712,"VGK^P_PRICE(0)/P_PRICE_HIGH_PR(0,,,USD,,,\"PRICE\",\"INTRA\",\"52W\")":1.0,"ENZL^FMA_PCT_ABOVE_MAVG(200,0,,,,\"PORTAGG\")":42.8571428571429,"EWC^SIZE(FG_CONSTITUENTS)":88,"TRYNL10Y-FDS^PCTCHG(FG_YIELD(0,,,,\"YTM\"),FG_YIELD(-1AM,,,,\"YTM\"))":4.9155736,"TRYNZ10Y-FDS^FG_YIELD(0,,,,\"YTM\")":4.7396,"TRYCN10Y-FDS^FG_YIELD(-10AY,0,Y,,\"YTM\")":[3.653331,2.901145,3.070911,3.93859,3.259862,3.197311,3.1948,2.7893,2.855,2.574],"USDSEK^FG_PRICE_CHANGE(0,-3AM)":3.8013697,"EWJ^JULIAN(FMA_DIV_YLD(NTMA,NOW,NOW,M,\"PORTAGG\",\"MEANR\").DATES)":45412,"USDEUR^FG_PRICE(0)":0.9279451,"EWL^FMA_EPS(NTMA,-20AY,0,CY,,\"PORTAGG\",\"MEANR\")":[1.15167978614637,1.184604896687,1.51903625271091,1.83335061944152,1.66417500457453,1.62932904763549,1.96787353815353,1.86668659044302,1.99956682614325,2.16083764016243,2.02137608124255,1.83898355626911,1.75546716180555,2.01138269666406,2.17519879472254,2.28084252382762,2.36864078682371,2.66234515884581,2.58388720632297,2.86429657487096],"ENZL^FG_TOTAL_RETURNC(-10AY,0,AM)":[-0.25731325,-1.008445,2.4914145,-5.344057,0.99925995,-4.7538996,2.8357744,1.0858536,3.3959389,-1.9125581,2.0511508,1.1910677,-2.6189208,-2.7749836,-8.545512,0.8134842,-7.406336,5.135381,4.5293093,3.200221,-2.4228513,1.1464596,7.79258,6.256306,1.4104486,7.075131,3.7786007,2.8793812,2.9608846,-6.5701127,-3.8867652,-0.43243766,-0.12783408,5.058372,-5.046296,2.7547598,1.8505335,5.194497,4.1909456,1.905179,-0.04249215,-1.5090287,-2.352178,1.7237544,6.902921,-3.2725751,6.1670303,1.2908459,-3.1063318,4.212904,-1.0638058,-5.0060806,0.35203695,-1.3287961,2.3486376,-0.14736652,1.4766693,2.4957657,3.3429742,1.8570185,1.7251492,-0.3468871,4.476142,0.6200671,2.2595644,-4.382759,0.3819704,6.8683386,3.8362741,-1.1868775,-10.189617,-8.267557,8.213377,10.597837,3.3563256,2.836144,0.47667027,3.9816976,6.1104894,2.1038055,6.5708756,-3.8279831,-7.820421,1.5942097,4.121101,-4.3994546,-0.4125476,-1.3714075,4.1305423,-2.882725,2.7013898,-7.5444937,0.41600466,-4.7374067,-1.9793987,0.95922947,-14.690298,0.91331005,-2.3405612,7.453823,-2.025777,-14.014208,5.027938,14.66235,-0.0218153,4.1962266,-7.159531,4.5264006,1.1627913,-4.708159,4.0377855,-3.5937786,-7.497388,1.4942408,-2.4537206,7.1118236,4.6308517,-3.041029,-0.75187683,-1.31948,-0.68085194],"BRENT-FDS^FG_PRICE(0)":85.86,"SPY^FG_PRICE_MAVG(0,,,,30)":510.717,"ENZL^FG_PRICE_MAVG(0,,,,60)":45.143295,"URTH^P_PRICE(0)/P_PRICE_LOW_PR(0,,,,,,\"PRICE\",\"INTRA\",\"52W\")-1":0.25666964,"EWI^FG_TOTAL_RETURNC(0,-6AM)":23.927725,"EWA^PERCENT_CHANGE(FMA_EPS(+1,0,,,,\"PORTAGG\",\"MEAN\"),FMA_EPS(+1,-1AM,,,,\"PORTAGG\",\"MEAN\"))":-0.750898280094505,"EWL^FMA_COS_DOWN(\"EPS\",\"1M\",+1,0,,,\"PORTAGG\",\"MEANR\")":21.0,"EWL^FG_ROE(0)":24.1458867523275,"TRYNZ10Y-FDS^PCTCHG(FG_YIELD(0,,,,\"YTM\"),FG_YIELD(-3AM,,,,\"YTM\"))":-2.124936,"VWO^FMA_DIV_YLD(NTMA,NOW,NOW,M,\"PORTAGG\",\"MEANR\")":3.07520820528364,"EWA^FMA_PE(NTMA,0,,,\"PORTAGG\",\"MEANR\")":16.5960932435882,"EWN^FMA_PCT_ABOVE_MAVG(200,0,,,,\"PORTAGG\")":70.3703703703704,"EWU^P_PRICE(0)/P_PRICE_LOW_PR(0,,,,,,\"PRICE\",\"INTRA\",\"52W\")-1":0.19641674,"VWO^FG_PE_NTM(0,,,90,0)":12.4768273841028,"EWN^FMA_EVAL_EBITDA(NTMA,0,,,\"PORTAGG\",\"MEANR\")":12.4836610848719,"QQQ^FMA_EVAL_EBITDA(NTMA,0,,,\"PORTAGG\",\"MEANR\")":15.9856884848,"EWJ^FMA_PE(LTM,0,,,\"PORTAGG\",\"MEANR\")":16.2585223680551,"QQQ^P_PRICE(0)/P_PRICE_HIGH_PR(0,,,USD,,,\"PRICE\",\"INTRA\",\"52W\")":0.98148394,"VWO^FG_TOTAL_RETURNC(0,-1AM)":1.4502883,"EWI^FMA_ROE(NTMA,-20AY,NOW,FY,\"PORTAGG\",\"MEANR\")":[12.7201174133668,14.3538872460945,15.0689086026843,13.8121430445963,10.7897502226351,8.0585564947071,8.81990423698703,8.11660136585425,7.83939542493847,7.34575996709421,7.29870487123998,7.28937842659948,7.64480507807432,9.05384965064241,10.3909656073461,10.2353053584578,8.27578853786002,11.7277999998841,13.3202789860828,13.3572162055666],"EWG^FMA_COS_DOWN(\"EPS\",\"1M\",+1,0,,,\"PORTAGG\",\"MEANR\")":31.0,"VWO^JULIAN(FMA_DIV_YLD(NTMA,NOW,NOW,M,\"PORTAGG\",\"MEANR\").DATES)":45379,"PLATI-FDS^MAX(FG_PRICE(0,-5AY))":1272.59,"URTH^FG_TOTAL_RETURNC(0,-6AM)":19.810413,"EWQ^FMA_PCT_ABOVE_MAVG(200,0,,,,\"PORTAGG\")":77.7777777777778,"EWU^FG_TOTAL_RETURNC(0,-3AM)":11.813963,"TRYSE10Y-FDS^FG_YIELD_NAME":"Sweden Benchmark Bond - 10 Year","CAGDPY@CH^EE_ACTUAL_ANNUAL(MED,+1)":8.2,"USDSEK^FG_PRICE_CHANGE(0,-1AM)":2.799368,"SPY^FMA_PE(LTMA,-10AY,0,AM,\"PORTAGG\",\"MEANR\")":[16.2035090824088,16.3745120042523,16.4345313963655,16.1588884981917,16.4722466791186,16.1180992278732,16.8358960199901,17.1169146324283,17.1803597250845,17.1323502599503,17.5435641282324,17.5339422229993,17.5654631512171,17.4127108704631,17.2692937679653,17.3898161187288,16.6295015813537,17.0854389424927,17.4171677421137,17.1489676805519,16.1338699993641,16.2966838906097,16.18819342752,16.4452153070474,16.565182572191,16.8573424109251,17.0754004946733,17.4938779953714,17.3883673167525,17.6973522215849,17.8816976859527,18.7907440942411,19.0172588040366,19.123947353073,19.4553928856824,19.2941438071779,19.2152803689096,19.1942620012913,19.0653626246731,19.1573960878382,19.0000841852226,19.5030439488734,19.6206784550303,20.0643361478258,20.7628696387786,19.2822126347187,19.8054180333876,19.2802161958653,19.0835794586757,18.9802195687485,18.7314119029784,18.6642041074892,18.524229379318,18.3754719780897,17.5514468335417,16.4748098865252,15.9910311883268,16.6675667574381,17.0500356757658,17.2097877862931,17.170905073395,17.1751293206162,17.5575599966629,17.4686743739485,17.7691739715824,17.6714173167884,18.6644310448097,19.1252816308553,20.1244567447436,20.2390239542798,17.6685029952493,18.2826226586481,19.6658029851759,21.1763403167371,21.6346336567401,22.5270808944957,23.3445678160538,24.3471163733192,24.5941707480153,25.8326060020322,27.7678602947484,27.3402569551521,26.1905215384282,26.0871490373605,25.5266018633195,24.9626764423967,24.8770154527832,24.0715354634872,23.7974928267974,23.0863923470711,23.4664074017901,22.9735251624987,22.7532125121386,21.8855851670313,20.5888841297415,20.6197082899235,19.7159652822658,19.4290548694025,18.8970114137826,19.2929659946573,18.9155022460629,17.378981127499,17.5307283395927,17.9937709342638,17.6608696101923,18.5440965935685,18.001849142708,18.2308694176573,18.2829463814642,18.6650708685008,19.0733738128977,19.3587651535216,19.4501064987214,19.2672722258406,19.4700201468729,20.6808851033883,21.6519159993813,22.5947541128153,22.742913632918,22.6611551431976,22.4826268406049],"EWG^FG_TOTAL_RETURNC(0,-6AM)":22.18628,"EWI^SIZE(FG_CONSTITUENTS)":26,"REFGBBANK-FDS^PROPER_NAME(0,,,\"SECURITY\",\"NAME\")":"UK Bank Rate","TRYSE10Y-FDS^PCTCHG(FG_YIELD(0,,,,\"YTM\"),FG_YIELD(-3AM,,,,\"YTM\"))":-1.7916659,"TRYNZ10Y-FDS^PCTCHG(FG_YIELD(0,,,,\"YTM\"),FG_YIELD(-1AM,,,,\"YTM\"))":-0.589383,"EWI^FMA_DIV_YLD(NTMA,-10AY,0,AM,\"PORTAGG\",\"MEANR\")":[3.48484039049091,3.34900876445769,3.45897607074103,3.80203903797006,3.48060438149663,3.93864484878653,4.00863793115032,3.93772893408189,4.27218270378016,3.79809664364196,3.43147213209223,3.07678050142357,3.16911240226874,3.34934573603659,3.38413915937242,3.10293140791529,3.35159973731473,3.55995799370087,3.63598478599755,3.75647122171923,4.14061568249448,5.07079912207996,4.35065855877327,4.58294043507197,4.56114515818456,4.6184645917847,5.02362999610765,4.7428369720101,4.71948698640769,4.98370628434609,4.79917236177667,4.53550667294587,4.3232462884426,4.42498494381846,4.08284532637557,3.9448732002126,3.76318331336915,3.75897859432636,3.83074211280276,3.74140385178963,3.78081091724328,3.7897701325389,3.80181785362934,3.81493364075625,3.82497114814691,4.0296985547953,4.00243749414389,3.99884762557184,3.87163440692801,4.52327630867995,4.42170718755545,4.46426613052356,4.73704531619247,4.84778104354599,5.07712974022427,5.32369361868214,5.21347962637347,5.1215540130128,4.83078534964413,4.6325274391815,4.8815066463821,5.02716359448981,4.68730744362568,5.09412920189894,4.75610552221586,4.86257330958145,4.52456206324014,4.61366976409558,4.43676694238617,4.45088929682682,5.87419985195954,5.87672825081317,5.04973448764846,4.16133370752378,4.36120103392263,4.01100273461485,4.02677667732514,4.11721819137055,4.02998718411157,3.95046419203303,3.8740387365484,3.91673632840801,4.0995100975406,4.06191685254827,4.18406035438253,4.02801525661611,4.19602155604014,4.30047094077861,4.45359581067823,4.43673380659429,4.35730926189796,4.62422942578313,4.58557055139011,4.76324902433606,5.32889370984152,5.03436826455756,5.42131559107317,5.36069331642839,5.8266097635308,5.79571073713267,5.64700883993288,6.16206664921536,5.49844805550222,5.78300982870232,5.54555391059605,5.38595609475431,5.2740502077634,5.40993204345518,5.49111023858704,5.44352507918498,5.38662945789562,5.51531578866843,5.46531581909823,5.6683006674974,5.60412699626102,5.36980689362065,5.44428567580658,5.51298909926196,5.21153499433207,5.24337232947434,5.24365476541222],"EWG^FG_TOTAL_RETURNC(0,-3AM)":9.531951,"FXI^FG_TOTAL_RETURNC(0,-12AM)":-0.5471945,"EWA^JULIAN(FMA_DIV_YLD(NTMA,NOW,NOW,M,\"PORTAGG\",\"MEANR\").DATES)":45412,"TRYCH10Y-FDS^FG_YIELD(-10AY,0,Y,,\"YTM\")":[0.314,null,-0.12,-0.09,-0.176,-0.434,-0.49,-0.111,1.617,0.703],"USDEUR^FG_COMPANY_NAME":"Euro per U.S. Dollar","EWJ^FMA_EPS(NTMA,-20AY,0,CY,,\"PORTAGG\",\"MEANR\")":[2.83572005832403,2.84830335934349,3.29156932486821,3.66778515674736,2.74393009109397,1.93733358061505,3.17729322550467,3.09458124193192,2.8747287105461,3.27496071085416,3.14456301788536,3.44827515089069,3.33160709427031,4.07233312791291,4.56488250158257,4.07638230861392,3.67789542177964,4.61613856769821,4.46089543101883,4.56547559046599],"NI-FDS^FG_PRICE(0)":18625.0,"COPP-FDS^MAX(FG_PRICE(0,-5AY))":4.929,"QQQ^FG_PRICE_MAVG(0,,,,60)":436.17334,"ENZL^FG_PRICE_MAVG(0,,,,30)":44.88376,"URTH^P_PRICE(0)/P_PRICE_HIGH_PR(0,,,,,,\"PRICE\",\"INTRA\",\"52W\")":0.99276805,"EWI^FG_TOTAL_RETURNC(0,-3AM)":11.638188,"EWA^FMA_PCT_ABOVE_MAVG(200,0,,,,\"PORTAGG\")":64.4067796610169,"EWA^FG_ROE(0)":12.8360337781145,"VWO^FG_PE(0)":14.0678810588695,"QQQ^FG_FCF_YIELD_NTM(0)":3.69587423259897,"EWA^FMA_PE(LTM,0,,,\"PORTAGG\",\"MEANR\")":18.5053902355655,"EWU^P_PRICE(0)/P_PRICE_HIGH_PR(0,,,,,,\"PRICE\",\"INTRA\",\"52W\")":0.9997228,"EWI^FMA_COS_DOWN(\"EPS\",\"1M\",+1,0,,,\"PORTAGG\",\"MEANR\")":9.0,"REFCHMPR-FDS^(SUBARRAY(NOT_NA(NO_REPEAT_F(FG_YIELD(NOW,-10AY,D))),0,1)-SUBARRAY(NOT_NA(NO_REPEAT_F(FG_YIELD(NOW,-10AY,D))),1,1))*100":-25.0,"QQQ^FMA_DIV_YLD(NTMA,NOW,NOW,M,\"PORTAGG\",\"MEANR\")":0.943896880301974,"TRYEU10Y-FDS^FG_YIELD(-10AY,0,Y,,\"YTM\")":[0.5475,0.636,0.2082,0.4294,0.239,-0.189,-0.575,-0.181,2.533,2.004],"ENZL^FG_ROE(0)":5.61436108958569,"TIPSCL10Y-FDS^FG_YIELD(-10AY,0,Y,,\"YTM\")":[null,null,null,null,null,null,null,null,null,null],"EWL^FG_PRICE_MAVG(0,,,,200)":45.9181,"USDANG^STD(FG_PRICE_CHANGE(0,-3AY,M))":0.0594600681310969,"USDSEK^FG_COMPANY_NAME":"Swedish Krona per U.S. Dollar","EWU^FMA_EVAL_EBITDA(NTMA,0,,,\"PORTAGG\",\"MEANR\")":7.53101010305153,"USDCAD^FG_PRICE_CHANGE(0,-6AM)":-0.4254222,"EWD^SIZE(FG_CONSTITUENTS)":44,"EWI^PERCENT_CHANGE(FMA_EPS(+1,0,,,,\"PORTAGG\",\"MEAN\"),FMA_EPS(+1,-1AM,,,,\"PORTAGG\",\"MEAN\"))":-1.0436592839626,"EWC^FMA_EPS(NTMA,-20AY,0,CY,,\"PORTAGG\",\"MEANR\")":[1.20309203563583,1.51116357259943,1.75142389864603,2.13167450038286,1.71974218387406,1.79551827424964,2.09754276006241,2.2894893869441,2.21761530023934,2.02017545762442,1.86130476812284,1.52246252495242,1.66157074539786,1.86172454535832,1.97740509819126,2.07393921799229,1.95784087398727,2.66448337817763,2.74920456102042,2.68263358415049],"COPP-FDS^FG_PRICE_CHANGE(0,-1AY)":18.4751864232451,"EWU^FG_TOTAL_RETURNC(0,-6AM)":18.541645,"EWG^FG_TOTAL_RETURNC(0,-1AM)":2.2321463,"ENZL^PERCENT_CHANGE(FMA_EPS(+1,0,,,,\"PORTAGG\",\"MEAN\"),FMA_EPS(+1,-1AM,,,,\"PORTAGG\",\"MEAN\"))":-2.05321933911157,"EWI^FMA_COS_UP(\"EPS\",\"1M\",+1,0,,,\"PORTAGG\",\"MEANR\")":11.0,"EWG^FMA_COS_UP(\"EPS\",\"1M\",+1,0,,,\"PORTAGG\",\"MEANR\")":24.0,"REFCHMPR-FDS^FG_YIELD(NOW,,,0)":1.5,"TRYNL10Y-FDS^PCTCHG(FG_YIELD(0,,,,\"YTM\"),FG_YIELD(-3AM,,,,\"YTM\"))":2.9455054,"TRYSE10Y-FDS^FG_YIELD(0,,,,\"YTM\")":2.357,"VGK^FMA_DIV_YLD(NTMA,NOW,NOW,M,\"PORTAGG\",\"MEANR\")":3.44734513782547,"EWN^FMA_DIV_YLD(NTMA,NOW,NOW,M,\"PORTAGG\",\"MEANR\")":2.59161898079771,"QQQ^FMA_PE(LTM,0,,,\"PORTAGG\",\"MEANR\")":33.5496240865458,"EWG^FMA_EVAL_EBIT(LTMA,NOW,NOW,M,\"PORTAGG\",\"MEANR\")":13.2775669216229,"USDGBP^STD(FG_PRICE_CHANGE(0,-3AY,M))":2.40581568682052,"EWI^PERCENT_CHANGE(FMA_EPS(+1,0,,,,\"PORTAGG\",\"MEAN\"),FMA_EPS(+1,-3AM,,,,\"PORTAGG\",\"MEAN\"))":1.51614796863384,"ENZL^FMA_EVAL_EBIT(LTMA,NOW,NOW,M,\"PORTAGG\",\"MEANR\")":20.6132684814457,"EWG^PERCENT_CHANGE(FMA_EPS(+1,0,,,,\"PORTAGG\",\"MEAN\"),FMA_EPS(+1,-3AM,,,,\"PORTAGG\",\"MEAN\"))":-0.339268789229326,"REFCHMPR-FDS^PROPER_NAME(0,,,\"SECURITY\",\"NAME\")":"Swiss Policy Rate - Sight Deposit Rate","ENZL^FMA_EVAL_EBITDA(NTMA,0,,,\"PORTAGG\",\"MEANR\")":12.2839801917931,"CAGDPY@DE^EE_ACTUAL_ANNUAL(MED,+1)":6.5,"EWA^FMA_ROE(NTMA,-20AY,NOW,FY,\"PORTAGG\",\"MEANR\")":[15.4970825561621,16.532509518014,17.0193996486167,15.5609914058652,13.5690116283254,12.8492110125335,14.2386354612725,14.168071267681,12.6921652881541,13.1922555858139,12.5644042089263,10.7321365234713,11.5035211675747,11.9072990069878,12.4009311752812,11.7272453218097,11.0508592064609,12.8471719199911,14.6580605840091,13.2261379950135],"USDGBP^FG_PRICE_CHANGE(0,-6AM)":-1.802206,"DDR3512M-FDS^FG_PRICE_CHANGE(0,-1AY)":-8.732660745568,"PLATI-FDS^FG_PRICE_CHANGE(0,-6AM)":11.340206185567,"COPP-FDS^FG_PRICE_CHANGE(0,-3AM)":25.0,"EWL^FG_PRICE_MAVG(0,,,,30)":46.245667,"EWU^FG_TOTAL_RETURNC(0,-1AM)":5.008745,"EWG^PERCENT_CHANGE(FMA_EPS(+1,0,,,,\"PORTAGG\",\"MEAN\"),FMA_EPS(+1,-1AM,,,,\"PORTAGG\",\"MEAN\"))":-0.270619652094114,"FXI^SIZE(FG_CONSTITUENTS)":53,"EWD^FMA_COS_DOWN(\"EPS\",\"1M\",+1,0,,,\"PORTAGG\",\"MEANR\")":13.0,"EWC^FMA_COS_DOWN(\"EPS\",\"1M\",+1,0,,,\"PORTAGG\",\"MEANR\")":35.0,"EWD^FMA_RBICS_REV_CURRENT(30, LOC, \"PORTAGG\")":25.9129717795788,"REFJPTON-FDS^(SUBARRAY(NOT_NA(NO_REPEAT_F(FG_YIELD(NOW,-10AY,D))),0,1)-SUBARRAY(NOT_NA(NO_REPEAT_F(FG_YIELD(NOW,-10AY,D))),1,1))*100":10.0,"TRYFR10Y-FDS^PCTCHG(FG_YIELD(0,,,,\"YTM\"),FG_YIELD(-1AM,,,,\"YTM\"))":4.122992,"TRYNL10Y-FDS^FG_YIELD(0,,,,\"YTM\")":2.796,"VGK^FG_PE(0)":13.1545701705313,"EWN^FMA_PE(LTM,0,,,\"PORTAGG\",\"MEANR\")":19.6260144322557,"EWG^FG_FCF_YIELD_NTM(0)":6.01165204010795,"ENZL^FMA_DIV_YLD(NTMA,NOW,NOW,M,\"PORTAGG\",\"MEANR\")":2.74642951253722,"UUP^FG_TOTAL_RETURNC(0,-3AM)":2.5366187,"SPY^P_PRICE(0)/P_PRICE_LOW_PR(0,,,,,,\"PRICE\",\"INTRA\",\"52W\")-1":0.27221358,"URTH^PERCENT_CHANGE(FMA_EPS(+1,0,,,,\"PORTAGG\",\"MEAN\"),FMA_EPS(+1,-3AM,,,,\"PORTAGG\",\"MEAN\"))":0.41710746825456,"EWU^PERCENT_CHANGE(FMA_EPS(+1,0,,,,\"PORTAGG\",\"MEAN\"),FMA_EPS(+1,-1AM,,,,\"PORTAGG\",\"MEAN\"))":2.0358367917146,"EWD^FMA_COS_UP(\"EPS\",\"1M\",+1,0,,,\"PORTAGG\",\"MEANR\")":21.0,"GLD^P_PRICE(0)/P_PRICE_HIGH_PR(0,,,USD,,,\"PRICE\",\"INTRA\",\"52W\")":0.96383667,"CAGDPY@CA^EE_ACTUAL_ANNUAL(MED,0)":-0.614727995236974,"EWJ^FG_PRICE_MAVG(0,,,,200)":64.3315,"EWC^FG_TOTAL_RETURNC(0,-12AM)":10.376537,"FXI^FMA_COS_UP(\"EPS\",\"1M\",+1,0,,,\"PORTAGG\",\"MEANR\")":17.0,"EWJ^FMA_RBICS_REV_CURRENT(30, LOC, \"PORTAGG\")":18.3501830656637,"CAGDPY@DE^EE_ACTUAL_ANNUAL(MED,0)":6.11650885437241,"USDAUD^FG_PRICE_CHANGE(0,-3AM)":-1.309222,"EWU^P_PRICE_RETURNS_PR('52W',2,-10AY,0,AM)":[16.00603,19.04341,22.33553,11.453676,9.337306,3.8674355,-0.010025501,-2.2665143,-8.599299,-2.058822,-5.175585,-4.887086,-3.4295738,-8.161867,-10.993833,-3.747505,-12.258106,-1.8617809,-6.7315936,-8.118463,-11.719709,-19.20464,-13.648689,-13.239426,-16.91544,-10.061961,-11.255246,-11.946946,-1.9370139,-7.0258675,-6.8025055,-1.4296293,6.7569137,14.49163,5.6302905,9.945464,11.5194435,9.490776,16.230988,13.64646,10.157633,15.757931,18.394161,17.088055,22.769176,12.511563,15.981436,14.560186,13.1262665,9.875309,10.787451,5.1049232,0.1588583,-0.16222,-2.6892304,-9.175706,-12.493526,-3.3157647,-2.9847085,-0.83212256,-6.1447086,-5.821991,-4.3789983,-8.615273,-1.2326539,-4.493141,4.6800256,13.871098,16.194021,7.3898435,-15.288711,-22.542137,-19.709366,-12.335926,-17.294825,-8.90547,-11.849827,-10.074597,-13.404858,-6.4964714,-5.2054462,-5.062115,23.167717,31.933605,39.694466,26.715744,32.492935,28.84977,27.622627,29.070377,26.18811,13.968635,14.349103,20.385849,6.815493,10.944664,-5.3154287,-0.9266496,-5.110204,-3.0486405,-6.233883,-14.595777,-11.463756,-0.14573336,-3.3017814,-3.390181,2.234149,0.53168535,13.221121,5.2681923,9.899688,9.789621,14.823687,22.421478,13.497389,6.8457723,7.602811,3.5190463,8.454502,8.327246,11.791825],"EWI^FMA_PCT_ABOVE_MAVG(200,0,,,,\"PORTAGG\")":72.0,"EWN^FMA_RBICS_REV_CURRENT(30, LOC, \"PORTAGG\")":25.1822237253435,"TRYNL10Y-FDS^FG_YIELD_NAME":"Netherlands Benchmark Bond - 10 Year","CC_IT^IMF_IFS_RCPI_Q(0)":0.92385906,"EWU^FMA_DIV_YLD(NTMA,NOW,NOW,M,\"PORTAGG\",\"MEANR\")":3.93577457183112,"ENZL^FMA_PE(NTMA,0,,,\"PORTAGG\",\"MEANR\")":25.1300265940594,"UUP^FG_TOTAL_RETURNC(0,-1AM)":1.449275,"EWA^JULIAN(FMA_ROE(NTMA,-20AY,NOW,FY,\"PORTAGG\",\"MEANR\").DATES)":[38352,38716,39080,39447,39813,40178,40543,40907,41274,41639,42004,42369,42734,43098,43465,43830,44196,44561,44925,45289],"EWJ^P_PRICE_RETURNS_PR('52W',2,-10AY,0,AM)":[-4.166913,8.524275,6.245959,3.7708998,2.4768949,-3.491819,0.9052634,-1.2898028,-6.065649,2.162218,6.7584157,17.248905,20.43246,9.516406,3.8463116,11.619604,1.1821508,9.415138,7.911432,5.185044,2.991736,-5.9573593,-6.9320145,-11.222434,-11.167937,-5.904293,-4.575908,-3.8079917,6.629598,5.0718665,1.5067339,7.5945616,12.560999,21.333933,15.197277,18.253815,16.347813,16.27034,17.377472,13.61835,11.677969,14.624262,22.709084,18.762184,25.249063,17.304718,20.500887,19.332516,16.433537,12.939178,11.052763,8.170425,4.9206257,6.9422007,-6.0759487,-8.427418,-13.562548,-8.421463,-10.393876,-7.2324095,-9.806013,-8.9499655,-4.18396,-6.623864,-0.96518993,-2.732259,9.491837,14.568079,15.172219,14.140248,-4.458356,-6.368482,-1.124078,8.152306,2.8015256,6.248784,6.7670226,7.3044896,7.785511,11.096191,17.807806,20.595444,38.131905,39.94392,35.807323,21.207666,25.662601,22.401905,27.596928,15.395951,11.4124775,5.1769853,0.016283989,-5.6339083,-10.496437,-12.326789,-18.576313,-16.635586,-17.518312,-17.365814,-25.503195,-25.238192,-25.178177,-17.25229,-16.678888,-10.737074,-2.6590586,-2.3120582,10.296106,12.542152,16.394997,12.859201,19.375778,20.66592,18.476784,15.0185585,19.205248,17.747295,26.268673,24.507881,16.243351],"DDR3512M-FDS^FG_PRICE_CHANGE(0,-3AM)":-0.348426236115396,"EWI^FG_PRICE_MAVG(0,,,,60)":36.6505,"EWA^SIZE(FG_CONSTITUENTS)":59,"REFJPTON-FDS^PROPER_NAME(0,,,\"SECURITY\",\"NAME\")":"Japan Policy Rate","TRYGB10Y-FDS^PCTCHG(FG_YIELD(0,,,,\"YTM\"),FG_YIELD(-1AM,,,,\"YTM\"))":2.702708,"TRYFR10Y-FDS^FG_YIELD(0,,,,\"YTM\")":2.98,"ENZL^FMA_ROE(NTMA,-20AY,NOW,FY,\"PORTAGG\",\"MEANR\")":[null,null,null,null,null,null,10.8532267295878,10.9048734413645,11.45876758647,11.0832589152415,9.94517431688139,9.90242652659034,9.79986582903071,9.84792896856594,9.52177142619013,9.00388708752031,7.53226389198691,6.44400181202057,7.7689690341127,6.57910753918315],"TRYTR7Y-FDS^FG_YIELD(-10AY,0,Y,,\"YTM\")":[7.979133,10.679033,11.110786,11.586128,15.896213,12.034795,12.534946,23.870693,7.323803,21.984322],"USDANG^FG_PRICE_CHANGE(0,-6AM)":0.0,"ENZL^FMA_DIV_YLD(NTMA,-10AY,0,AM,\"PORTAGG\",\"MEANR\")":[4.10001185353113,4.19783017158493,4.45036787318237,4.56349952961583,4.53194451669706,4.58392000089391,4.50258716189195,4.47137866783475,4.42916115987728,4.28555034638637,4.26578648361726,4.43050894565,4.49794976265339,4.44621698958069,4.69034783871248,4.59616167148414,5.11729329939929,5.25610306562709,4.86828692560416,4.83775455211941,4.86879400199452,4.91992448943625,4.71570220766025,4.56786187682055,4.52531344654555,4.36529195748161,4.34831305239146,4.14225889765758,4.15035892748783,4.43716396903991,4.78744177804916,4.6078893654269,4.53409832658467,4.50404074664621,4.58425600207468,4.54281659734017,4.46810353066029,4.45983933935568,4.40215726005308,4.33677862170753,4.3716332364446,4.39488124950446,4.4253964732249,4.323959131258,4.20236873280198,4.56959119117219,4.21231062148988,4.2352521465622,4.18984563940306,4.02876136001886,4.02482480256441,4.09627984052209,4.021996323051,4.12372457487063,4.16232154472356,4.17051908353773,4.09719836514283,4.01629781746386,3.87700978697509,3.78343671824237,3.68563406328289,3.72619864533562,3.50868962980807,3.39516552295264,3.23515852960393,3.33245972286687,3.34170438760951,3.28041264509229,3.16131555258009,3.08129138464494,3.2142859828907,2.99315351601391,2.6432540745606,2.52954343441719,2.47502374970396,2.37594814544945,2.42454047178817,2.35745165006595,2.33334746795158,2.3751655639287,2.33709415002113,2.51402723727727,2.63674946246748,2.58053083612425,2.58203278454923,2.67663547015879,2.61377342419419,2.66749543235012,2.59519144782032,2.66338141612097,2.65977096341009,2.80161637315131,2.78205004239065,2.90620761186793,3.08361088307855,3.08951802359859,3.19072411146284,3.25394100528575,3.28893937800007,3.19580613277406,3.18309613799441,3.40668262859181,3.43858652900513,3.42404910768495,3.40253739472906,3.29741430606587,3.42162340301021,3.39777525684039,3.42665902735213,3.49598244824903,3.40969173718295,3.450181508281,3.3841718614513,3.45641546585239,3.45375118948054,3.08733886647825,2.96489201440288,2.9897573073423,2.7437311859745,2.78257236367156,2.77260620037488],"DDR3512M-FDS^FG_PRICE_CHANGE(0,-6AM)":-6.74848625096613,"PLATI-FDS^FG_PRICE_CHANGE(0,-3AM)":9.83050847457627,"EWI^FG_PRICE_MAVG(0,,,,200)":33.4741,"EWL^FG_PRICE(0)":47.62,"URTH^FMA_PCT_ABOVE_MAVG(200,0,,,,\"PORTAGG\")":71.2525667351129,"EWG^FMA_PCT_ABOVE_MAVG(200,0,,,,\"PORTAGG\")":73.6842105263158,"FXI^FMA_COS_DOWN(\"EPS\",\"1M\",+1,0,,,\"PORTAGG\",\"MEANR\")":25.0,"EWN^SIZE(FG_CONSTITUENTS)":55,"EWC^FMA_COS_UP(\"EPS\",\"1M\",+1,0,,,\"PORTAGG\",\"MEANR\")":38.0,"SPY^FMA_RBICS_REV_CURRENT(30, LOC, \"PORTAGG\")":12.6373564575532,"REFJPTON-FDS^FG_YIELD(NOW,,,0)":0.1,"CC_SE^IMF_IFS_RCPI_Q(0)":4.6701536,"VGK^JULIAN(FMA_DIV_YLD(NTMA,NOW,NOW,M,\"PORTAGG\",\"MEANR\").DATES)":45379,"EWN^JULIAN(FMA_DIV_YLD(NTMA,NOW,NOW,M,\"PORTAGG\",\"MEANR\").DATES)":45412,"EWG^FMA_DIV_YLD(NTMA,NOW,NOW,M,\"PORTAGG\",\"MEANR\")":3.3906448019887,"ENZL^JULIAN(FMA_DIV_YLD(NTMA,NOW,NOW,M,\"PORTAGG\",\"MEANR\").DATES)":45412,"USDCHF^FG_PRICE_CHANGE(0,-3AM)":3.6285758,"USDAUD^FG_PRICE_CHANGE(0,-1AM)":0.24217367,"COPP-FDS^FG_PRICE_MAVG(0,,,,30)":4.3997664,"SPY^P_PRICE(0)/P_PRICE_HIGH_PR(0,,,,,,\"PRICE\",\"INTRA\",\"52W\")":0.99153656,"EWD^FG_TOTAL_RETURNC(0,-12AM)":13.19524,"EWL^FG_TOTAL_RETURNC(0,-3AM)":2.6735663,"EWN^FMA_COS_UP(\"EPS\",\"1M\",+1,0,,,\"PORTAGG\",\"MEANR\")":21.0,"TRYFR10Y-FDS^FG_YIELD_NAME":"France Benchmark Bond - 10 Year","REFSEREPO-FDS^FG_YIELD(NOW,,,0)":4.0,"CC_NL^IMF_IFS_RCPI_Q(0)":3.0237906,"EWQ^FMA_EVAL_EBIT(LTMA,NOW,NOW,M,\"PORTAGG\",\"MEANR\")":13.2382433903233,"EWU^FMA_PE(NTMA,0,,,\"PORTAGG\",\"MEANR\")":11.6361163090036,"TLT^P_PRICE(0)/P_PRICE_HIGH_PR(0,,,USD,,,\"PRICE\",\"INTRA\",\"52W\")":0.8588893,"TRYVN10Y-FDS^FG_YIELD(-10AY,0,Y,,\"YTM\")":[7.3,6.277413,7.1117578,5.6717234,4.738006,3.5404546,2.4877946,2.059403,4.687226,2.9473283],"EWI^FMA_EVAL_EBIT(LTMA,NOW,NOW,M,\"PORTAGG\",\"MEANR\")":10.8145323962168,"EWG^JULIAN(FMA_DIV_YLD(NTMA,NOW,NOW,M,\"PORTAGG\",\"MEANR\").DATES)":45412,"EWA^FMA_COS_UP(\"EPS\",\"1M\",+1,0,,,\"PORTAGG\",\"MEANR\")":19.0,"EWI^FMA_EVAL_EBITDA(NTMA,0,,,\"PORTAGG\",\"MEANR\")":6.98680668459556,"TRYCH10Y-FDS^PCTCHG(FG_YIELD(0,,,,\"YTM\"),FG_YIELD(-3AM,,,,\"YTM\"))":-21.917809,"CPALM-FDS^FG_PRICE(0)":3923.0,"EWA^FMA_COS_DOWN(\"EPS\",\"1M\",+1,0,,,\"PORTAGG\",\"MEANR\")":24.0,"EWG^FMA_PE(LTM,0,,,\"PORTAGG\",\"MEANR\")":12.6311221512668,"USO^P_PRICE(0)/P_PRICE_HIGH_PR(0,,,USD,,,\"PRICE\",\"INTRA\",\"52W\")":0.9173959,"CC_DE^IMF_IFS_RCPI_Q(0)":2.5173564,"TRYBR10Y-FDS^FG_YIELD(-10AY,0,Y,,\"YTM\")":[12.319731,15.989595,11.062725,9.887577,8.936093,6.883678,6.961219,10.970291,12.900059,10.455909],"SPY^PERCENT_CHANGE(FMA_EPS(+1,0,,,,\"PORTAGG\",\"MEAN\"),FMA_EPS(+1,-3AM,,,,\"PORTAGG\",\"MEAN\"))":0.296160018389339,"EWA^P_PRICE(0)/P_PRICE_LOW_PR(0,,,,,,\"PRICE\",\"INTRA\",\"52W\")-1":0.19696975,"GLD^FG_TOTAL_RETURNC(0,-3AM)":15.6449795,"EWL^FMA_EVAL_EBITDA(NTMA,0,,,\"PORTAGG\",\"MEANR\")":12.4309993510474,"USDCHF^FG_PRICE(0)":0.90675,"EWG^FMA_PE(NTMA,0,,,\"PORTAGG\",\"MEANR\")":12.0209711320232,"USDAUD^FG_PRICE(0)":1.5135462,"W-FDS^MAX(FG_PRICE(0,-5AY))":14.2525,"EWC^FMA_EVAL_EBIT(LTMA,NOW,NOW,M,\"PORTAGG\",\"MEANR\")":16.2288624663003,"TRYQA10Y-FDS^FG_YIELD(-10AY,0,Y,,\"YTM\")":[null,null,null,null,null,null,null,null,null,null],"EWL^FG_TOTAL_RETURNC(0,-1AM)":1.9918561,"REFCATARG-FDS^(SUBARRAY(NOT_NA(NO_REPEAT_F(FG_YIELD(NOW,-10AY,D))),0,1)-SUBARRAY(NOT_NA(NO_REPEAT_F(FG_YIELD(NOW,-10AY,D))),1,1))*100":25.0,"EWC^FMA_EVAL_EBITDA(NTMA,0,,,\"PORTAGG\",\"MEANR\")":9.91909028265862,"EWA^FMA_RBICS_REV_CURRENT(30, LOC, \"PORTAGG\")":40.9994250737971,"EWD^P_PRICE(0)/P_PRICE_LOW_PR(0,,,,,,\"PRICE\",\"INTRA\",\"52W\")-1":0.31725597,"CC_CH^IMF_IFS_RCPI_Q(0)":1.1636324,"EWN^P_PRICE(0)/P_PRICE_LOW_PR(0,,,,,,\"PRICE\",\"INTRA\",\"52W\")-1":0.3879856,"CC_JP^IMF_IFS_RCPI_Q(0)":2.5231562,"USDAUD^FG_COMPANY_NAME":"Australian Dollar per U.S. Dollar","ENZL^SIZE(FG_CONSTITUENTS)":14,"REFCATARG-FDS^FG_YIELD(NOW,,,0)":5.0,"EWI^FG_FCF_YIELD_NTM(0)":6.29337302316826,"EWC^FG_FCF_YIELD_NTM(0)":5.0960220827684,"ENZL^FG_FCF_YIELD_NTM(0)":0.341647670437009,"REFSEREPO-FDS^PROPER_NAME(0,,,\"SECURITY\",\"NAME\")":"Sweden Repo Rate","SPY^SIZE(FG_CONSTITUENTS)":504,"TIOS-FDS^FG_PRICE(0)":116.59,"EWL^PERCENT_CHANGE(FMA_EPS(+1,0,,,,\"PORTAGG\",\"MEAN\"),FMA_EPS(+1,-3AM,,,,\"PORTAGG\",\"MEAN\"))":-1.00776288527608,"ENZL^FMA_COS_DOWN(\"EPS\",\"1M\",+1,0,,,\"PORTAGG\",\"MEANR\")":4.0,"TRYFR10Y-FDS^PCTCHG(FG_YIELD(0,,,,\"YTM\"),FG_YIELD(-3AM,,,,\"YTM\"))":3.2213347,"EWC^FMA_PE(LTM,0,,,\"PORTAGG\",\"MEANR\")":16.9981243289954,"TLT^FG_TOTAL_RETURNC(0,-6AM)":5.600214,"EWL^PERCENT_CHANGE(FMA_EPS(+1,0,,,,\"PORTAGG\",\"MEAN\"),FMA_EPS(+1,-1AM,,,,\"PORTAGG\",\"MEAN\"))":1.60142324714848,"TLT^FG_TOTAL_RETURNC(0,-3AM)":-2.4644375,"VWO^PERCENT_CHANGE(FMA_EPS(+1,0,,,,\"PORTAGG\",\"MEAN\"),FMA_EPS(+1,-1AM,,,,\"PORTAGG\",\"MEAN\"))":0.0,"USDNZD^STD(FG_PRICE_CHANGE(0,-3AY,M))":3.46010374894999,"EWI^FMA_DIV_YLD(NTMA,NOW,NOW,M,\"PORTAGG\",\"MEANR\")":5.3077584436946,"GLD^FG_TOTAL_RETURNC(0,-6AM)":19.53826,"TRYTW10Y-FDS^FG_YIELD(-10AY,0,Y,,\"YTM\")":[1.6015,1.015,1.2037,0.9478,0.8648,0.672,0.315,0.7413,1.2812,1.211],"EWG^FMA_RBICS_REV_CURRENT(30, LOC, \"PORTAGG\")":23.0857495662059,"EWC^P_PRICE(0)/P_PRICE_LOW_PR(0,,,,,,\"PRICE\",\"INTRA\",\"52W\")-1":0.21872008,"UUP^FG_TOTAL_RETURNC(0,-6AM)":2.2517085,"SPY^FG_FCF_YIELD_NTM(0)":4.15600007531312,"DDR3512M-FDS^FG_PRICE_MAVG(0,,,,30)":0.9672711,"EWJ^FG_PRICE_MAVG(0,,,,60)":69.2125,"SPY^FMA_COS_UP(\"EPS\",\"1M\",+1,0,,,\"PORTAGG\",\"MEANR\")":255.0,"EWI^FMA_PE(NTMA,0,,,\"PORTAGG\",\"MEANR\")":9.68460144048413,"TLT^FG_TOTAL_RETURNC(0,-1AM)":-1.393336,"EWG^P_PRICE_RETURNS_PR('52W',2,-10AY,0,AM)":[21.998035,23.843777,28.34834,8.395767,12.468219,-2.9726803,-5.274683,-4.1625023,-11.25325,-5.822456,-3.9490104,-1.8440485,-1.328069,-9.346098,-9.765064,4.4968486,-8.714188,1.7742157,0.1842618,-5.362362,-8.271927,-16.867191,-15.486651,-15.909445,-13.534904,-7.6068697,-10.312152,-6.438267,2.2338867,3.5014987,-0.7806361,1.2271881,13.179922,21.735943,16.988777,18.418085,20.481895,23.226082,33.68398,19.296646,20.886612,26.930714,30.489933,29.639471,30.355907,20.144033,20.593607,16.153276,10.755563,5.4806113,4.3661118,2.4056673,-5.442202,-8.998739,-14.032518,-20.212358,-20.98944,-16.685766,-15.73059,-12.356562,-12.402964,-11.053574,-7.3600054,-11.941314,-4.630649,-5.687088,8.458924,15.152895,16.128159,14.793217,-9.218311,-14.388919,-14.485491,4.1046977,0.9701371,12.526762,13.67321,15.543151,2.505231,9.439671,13.9072895,14.563,41.114952,53.65143,56.946266,30.793297,29.494976,22.201061,16.893923,12.202013,20.50526,7.5095534,3.6432981,2.2030115,-13.3227825,-17.716902,-27.980757,-24.978464,-31.294144,-29.657024,-32.4842,-36.43305,-31.874662,-19.230175,-16.80721,-11.068249,2.5307894,6.827128,21.052742,11.408985,26.837349,23.564493,27.932823,33.218636,19.493044,18.044817,12.176216,6.9153666,14.86361,12.745953,12.660933],"EWC^FMA_RBICS_REV_CURRENT(30, LOC, \"PORTAGG\")":40.0308181746704,"EWQ^FMA_EVAL_EBITDA(NTMA,0,,,\"PORTAGG\",\"MEANR\")":9.29853872285852,"EWL^FMA_PCT_ABOVE_MAVG(200,0,,,,\"PORTAGG\")":64.4444444444444,"TRYCH10Y-FDS^PCTCHG(FG_YIELD(0,,,,\"YTM\"),FG_YIELD(-1AM,,,,\"YTM\"))":1.5068463,"TRYJP10Y-FDS^PCTCHG(FG_YIELD(0,,,,\"YTM\"),FG_YIELD(-3AM,,,,\"YTM\"))":26.063387,"EWI^FMA_PE(NTMA,-10AY,0,AM,\"PORTAGG\",\"MEANR\")":[13.8207677527988,14.7491416764669,14.0409008354722,12.8961474712774,14.128301473691,12.6419535401376,12.550074674507,12.7563812225561,11.756665961576,13.9656829470182,15.4828811543158,16.2313881006666,15.9223150080423,15.0062068657777,14.543691230828,15.6530678005056,14.5158077977756,14.5971735812116,14.5838673080981,14.180691712369,13.4042798846598,11.4228770282805,13.1563274897612,12.6813197580793,12.8112695881621,12.941046414643,11.7116234840266,12.6694917769388,12.4798024463263,11.7367410788033,11.8696103268999,12.8113917756079,13.4036645720723,13.0751844669589,13.2669536707895,13.3504444820847,13.9116157020935,13.3966175320939,13.233758953646,13.4366072885185,13.2217932020195,13.6121818213464,13.4709543792225,13.6153240806097,13.4740827529644,12.426312143247,12.717101374817,12.7427094597204,13.1332845160564,11.2683715804612,11.5344747627783,11.3694915262454,10.5319374128334,10.2870121634879,9.83250022460173,9.34142601303724,9.62926659060815,9.99092706255107,10.3975860967619,10.8654866430761,10.3604147872284,10.0388855969675,10.78198355352,10.0179679863687,10.7489217492738,10.5416116332973,11.4298489679783,11.0942778542173,11.5754589488914,11.7327940946491,8.97525715019174,10.5489472602225,14.9309526958178,17.9422080845071,17.2672479876674,16.3246925335378,15.9222257149184,14.8153885346636,14.7773373825968,15.0063494994885,15.0167002089039,14.2896888811079,13.8498685669324,13.8515871782921,13.3803498528066,13.8513238981113,13.1343794703468,12.2734459652941,11.8398892592073,11.7237165099123,11.703516328771,10.9283324587654,11.1873737617082,10.7313961536277,9.50409119691391,9.73151016829227,8.76783481973827,8.6075912718397,7.85446561093793,7.69445479467889,7.64621193624032,7.25830720280263,8.12863971792296,7.79105088578293,8.0920053196776,8.47425587360542,8.70853300801346,8.57519902882603,8.40764090522118,8.5631520822216,8.63306043071063,8.28712764995848,8.36290335027775,8.04223722856704,8.16511563245575,8.82042228501614,8.93659768438789,9.00876216550793,9.4659170517333,9.56040569314505,9.68460144048413],"EWD^FG_PRICE_MAVG(0,,,,60)":39.659584,"EWN^FG_PRICE(0)":50.37,"WL-FDS^FG_PRICE(0)":575.6,"EWG^FG_PRICE_MAVG(0,,,,60)":30.8455,"EWC^P_PRICE_RETURNS_PR('52W',2,-10AY,0,AM)":[9.929026,15.118241,24.799751,16.791021,17.450344,8.434844,4.611099,1.7677784,-1.0877728,0.15153885,-5.261904,-4.9013557,-3.4409642,-9.149355,-18.919044,-18.658852,-25.918072,-14.33844,-19.879473,-21.293676,-26.546795,-25.784302,-13.129687,-14.276671,-15.973228,-5.775273,-2.807051,3.46241,9.925008,4.874599,11.065758,24.650024,35.565723,37.532425,16.784943,18.827045,11.767459,5.9164166,11.271084,10.105014,10.67692,17.305458,17.677153,10.476136,15.349066,2.7895808,7.9732656,5.232358,12.00329,12.793577,10.363054,7.9024076,1.2935042,0.040340424,-7.0441065,-9.30478,-12.80908,0.72500706,0.92998743,4.332137,0.12161732,-0.24697185,2.4563193,-0.7489443,4.3470144,1.7305493,11.904562,17.232346,19.670105,14.0674,-10.507649,-16.062647,-10.530925,-1.8855035,-8.23847,2.796197,0.9610534,4.028034,-0.45937896,8.847511,9.536755,10.9261875,43.290173,54.99711,55.94797,43.88323,46.55806,36.209656,35.231995,34.98585,41.73572,23.712027,21.44556,22.501076,16.977406,16.290188,-2.013743,0.029623508,-6.10224,-4.914027,-5.0531683,-15.063227,-15.462279,-9.262556,-9.419316,-8.715695,-11.264383,-11.619967,2.5600076,-5.598557,4.215455,2.4556637,2.3947597,8.962334,2.9816985,5.401218,9.627652,6.067121,13.561476,14.320124,10.376537],"EWL^FMA_EVAL_EBIT(LTMA,NOW,NOW,M,\"PORTAGG\",\"MEANR\")":16.4158351780209,"TRYZA10Y-FDS^JULIAN(FG_YIELD(-10AY,0,CY,,\"YTM\").DATES)":[42004,42369,42734,43098,43465,43830,44196,44561,44925,45289],"EWQ^FG_FCF_YIELD_NTM(0)":5.64773424745931,"CC_DE^FG_COMPANY_NAME":"Germany","CC_FR^IMF_IFS_RCPI_Q(0)":2.79402,"USDCHF^FG_PRICE_CHANGE(0,-1AM)":0.34861565,"EWC^FG_TOTAL_RETURNC(0,-6AM)":16.942644,"EWQ^FMA_DIV_YLD(NTMA,NOW,NOW,M,\"PORTAGG\",\"MEANR\")":3.14678137180395,"USO^FG_TOTAL_RETURNC(0,-6AM)":8.925259,"CC_JP^FG_COMPANY_NAME":"Japan","EWA^FG_TOTAL_RETURNC(0,-12AM)":9.913754,"SPY^FMA_EVAL_EBIT(LTMA,NOW,NOW,M,\"PORTAGG\",\"MEANR\")":20.3489893710016,"USO^FG_TOTAL_RETURNC(0,-3AM)":6.76713,"ENZL^P_PRICE_RETURNS_PR('52W',2,-10AY,0,AM)":[13.666117,26.097048,27.205097,17.166637,17.090034,5.0480247,3.1032324,9.953535,10.722601,7.5363636,1.9028068,0.32093525,-3.2344341,-3.8022459,-14.161438,-8.873415,-16.186047,-7.4837565,-5.9601603,-3.9931774,-9.598226,-6.570494,-1.3141215,3.5089493,7.913482,18.846464,34.62715,37.625458,53.034653,37.584625,25.046562,20.644928,23.48249,28.258276,12.981772,9.6108675,9.732723,7.805431,10.106623,7.20886,1.6491652,9.719646,11.471486,13.02309,21.902716,12.236047,25.490284,23.702467,17.682098,15.865601,10.70422,3.1962037,4.8740506,3.7931085,8.789754,8.080316,1.3681889,7.8752995,5.685854,5.140519,10.3832245,6.519723,11.46394,18.065548,20.309782,16.58609,14.6838665,22.379864,25.225508,21.756304,4.9172997,-5.511469,1.3747811,11.554586,10.358906,13.852083,10.822988,20.517624,27.395226,21.715534,24.285078,21.582067,24.789392,38.204967,35.013844,14.946354,10.75486,6.223309,10.086155,4.4959188,-0.48459172,-9.888297,-17.040735,-15.895492,-10.566157,-11.181438,-27.182013,-23.135334,-23.475193,-17.878782,-22.73389,-31.843626,-30.040323,-13.236737,-13.61503,-5.5139303,-10.507274,-8.217293,9.87277,3.7522197,10.407114,-0.835222,-3.9458752,10.513247,2.6408434,-4.2146683,0.3439784,-6.625718,-1.481849,-5.763817,-7.4812174],"VWO^PERCENT_CHANGE(FMA_EPS(+1,0,,,,\"PORTAGG\",\"MEAN\"),FMA_EPS(+1,-3AM,,,,\"PORTAGG\",\"MEAN\"))":-1.92261417724731,"SPY^FMA_EVAL_EBITDA(NTMA,0,,,\"PORTAGG\",\"MEANR\")":14.0167075178041,"SPY^FMA_COS_DOWN(\"EPS\",\"1M\",+1,0,,,\"PORTAGG\",\"MEANR\")":190.0,"EWJ^FG_PRICE_MAVG(0,,,,30)":68.609,"EWD^P_PRICE(0)/P_PRICE_HIGH_PR(0,,,,,,\"PRICE\",\"INTRA\",\"52W\")":0.9725697,"EWU^JULIAN(FMA_DIV_YLD(NTMA,NOW,NOW,M,\"PORTAGG\",\"MEANR\").DATES)":45412,"PLATI-FDS^FG_PRICE_MAVG(0,,,,30)":949.2,"CC_CA^IMF_IFS_RCPI_Q(0)":2.8466706,"EWN^FMA_PE(NTMA,-10AY,0,AM,\"PORTAGG\",\"MEANR\")":[14.0882596556167,14.627759524957,14.3676823323344,13.5583063051154,14.6563640684543,14.0502830037239,14.6243616730506,14.8584805004148,14.594353983902,15.5238178025728,17.2466400496779,17.6118828260422,16.9607465639944,16.2613748037422,16.0289800609869,16.7472121906706,15.0163096466878,14.8640677897835,16.0335739704126,15.5618306173588,14.4164634935421,13.7003034404569,15.0839844284333,14.9467300116203,14.7100633022282,14.9125353537253,14.0942057163934,14.8949951806515,14.8742964634283,14.7859029244652,14.6307486791845,14.7895848907391,15.0362825226961,15.298508017073,15.9423747282576,16.0491046816181,16.7218846707045,16.3278039027341,15.7048515771501,15.9984677679816,15.6713702265961,16.0983972808971,16.1802743834209,16.0424620439414,16.300906043049,15.1646814553608,15.7741675501155,15.4908081857148,15.6878892555197,15.8585875964392,15.5973729715826,15.9040176114606,15.1098846370657,14.5597071156812,14.3697220663431,13.5920725886129,13.3336920138755,14.3944465028796,14.7021194548281,15.4677362198224,15.2026489397417,15.1803568064908,15.479567254393,15.0337846425899,15.8499872961602,15.8397681351147,16.7012996851964,16.8618033828617,17.2316118508101,17.7597815271508,14.5147471136082,15.8300239798781,17.5292983553205,19.5189661081656,19.9635459870431,19.8855726994847,19.5323919641308,19.8932719844796,20.4334021760455,20.5245764102694,21.1819705200959,22.0652149877672,21.5082401880141,22.8845723949405,21.7904348723303,21.3102326461445,21.0945242080681,21.8095584343294,21.7360791044359,20.1929683265308,21.4790919607754,20.3041622765213,20.1245921358075,18.8808801281732,16.9532100713469,17.8297761866517,15.6551692979965,17.0685300863115,16.2656088417677,17.5146790735974,16.2211275314436,14.5002641432253,15.2638501339964,16.3428476031047,16.6697975364518,17.1463617095298,16.3906925315878,16.3025969594971,15.6391722970389,15.6427384838048,15.5313599768611,15.4038635882728,14.2829629234155,13.3814437543913,14.0820861230755,14.8844471202539,14.7882080767327,16.2928039178209,16.2175006861728,16.2075502732205,15.9548326456327],"EWI^FG_PRICE_MAVG(0,,,,30)":36.952,"VWO^FMA_PCT_ABOVE_MAVG(200,0,,,,\"PORTAGG\")":41.5378006872852,"EWU^FG_FCF_YIELD_NTM(0)":6.17890034019926,"GLD^FG_TOTAL_RETURNC(0,-1AM)":-0.33077598,"EWU^FMA_PE(LTM,0,,,\"PORTAGG\",\"MEANR\")":11.0790773810785,"EWD^FG_TOTAL_RETURNC(0,-3AM)":7.3857546,"QQQ^SIZE(FG_CONSTITUENTS)":102,"SPY^P_PRICE(0)/P_PRICE_HIGH_PR(0,,,USD,,,\"PRICE\",\"INTRA\",\"52W\")":0.99153656,"DUMMY^ECON_DATE(45301,,, 'MM/YYYY')":"01/2024","DUMMY^ECON_DATE(45392,,, 'MM/YYYY')":"04/2024","DUMMY^ECON_EXPR_DATA('FDS_ECON[PMIDMMANHE]',04/2024,,Q)":49.13533,"DUMMY^ECON_EXPR_DATA('FDS_ECON[PMIDMMANHE]',01/2024,,Q)":47.377975,"DUMMY^ECON_EXPR_DATA('FDS_ECON[NTCPMIMFGSA@EME]',04/2024,,Q)":51.51058,"DUMMY^ECON_EXPR_DATA('FDS_ECON[NTCPMIMFGSA@EME]',01/2024,,Q)":50.624123,"DUMMY^ECON_EXPR_DATA('FDS_ECON[NTCPMIMFGSA@NZ]',04/2024,,Q)":47.799873,"DUMMY^ECON_EXPR_DATA('FDS_ECON[NTCPMIMFGSA@NZ]',01/2024,,Q)":44.485504,"DUMMY^ECON_EXPR_DATA('FDS_ECON[NTCPMIMFGSA@AU]',04/2024,,Q)":48.39547,"DUMMY^ECON_EXPR_DATA('FDS_ECON[NTCPMIMFGSA@AU]',01/2024,,Q)":47.862293,"DUMMY^ECON_EXPR_DATA('FDS_ECON[NTCPMIMFGSA@CA]',04/2024,,Q)":49.30091,"DUMMY^ECON_EXPR_DATA('FDS_ECON[NTCPMIMFGSA@CA]',01/2024,,Q)":47.255585,"DUMMY^ECON_EXPR_DATA('FDS_ECON[NTCPMIMFGSA@DE]',04/2024,,Q)":43.319096,"DUMMY^ECON_EXPR_DATA('FDS_ECON[NTCPMIMFGSA@DE]',01/2024,,Q)":42.238945,"DUMMY^ECON_EXPR_DATA('FDS_ECON[NTCPMIMFGSA@JP]',04/2024,,Q)":47.808857,"DUMMY^ECON_EXPR_DATA('FDS_ECON[NTCPMIMFGSA@JP]',01/2024,,Q)":48.31877,"DUMMY^ECON_EXPR_DATA('FDS_ECON[NTCPMIMFGSA@CH]',04/2024,,Q)":44.08605,"DUMMY^ECON_EXPR_DATA('FDS_ECON[NTCPMIMFGSA@CH]',01/2024,,Q)":41.921543,"DUMMY^ECON_EXPR_DATA('FDS_ECON[NTCPMIMFGSA@GB]',04/2024,,Q)":48.24796,"DUMMY^ECON_EXPR_DATA('FDS_ECON[NTCPMIMFGSA@GB]',01/2024,,Q)":46.0587,"DUMMY^ECON_EXPR_DATA('FDS_ECON[NTCPMIMFGMESA@US]',04/2024,,Q)":51.582687,"DUMMY^ECON_EXPR_DATA('FDS_ECON[NTCPMIMFGMESA@US]',01/2024,,Q)":49.098827,"DUMMY^ECON_EXPR_DATA('FDS_ECON[NTCPMIMFGSA@FR]',04/2024,,Q)":45.498753,"DUMMY^ECON_EXPR_DATA('FDS_ECON[NTCPMIMFGSA@FR]',01/2024,,Q)":42.573967,"DUMMY^ECON_EXPR_DATA('FDS_ECON[NTCPMIMFGSA@NL]',04/2024,,Q)":49.325874,"DUMMY^ECON_EXPR_DATA('FDS_ECON[NTCPMIMFGSA@NL]',01/2024,,Q)":44.495136,"DUMMY^ECON_EXPR_DATA('FDS_ECON[]',04/2024,,Q)":null,"DUMMY^ECON_EXPR_DATA('FDS_ECON[]',01/2024,,Q)":null,"DUMMY^ECON_EXPR_DATA('FDS_ECON[NTCPMIMFGSA@IT]',04/2024,,Q)":49.208153,"DUMMY^ECON_EXPR_DATA('FDS_ECON[NTCPMIMFGSA@IT]',01/2024,,Q)":44.859455}]]></FdsFormulaCache>
</file>

<file path=customXml/itemProps1.xml><?xml version="1.0" encoding="utf-8"?>
<ds:datastoreItem xmlns:ds="http://schemas.openxmlformats.org/officeDocument/2006/customXml" ds:itemID="{D2E51456-DC79-40CE-9693-F056D0611E7B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Charts</vt:lpstr>
      </vt:variant>
      <vt:variant>
        <vt:i4>1</vt:i4>
      </vt:variant>
    </vt:vector>
  </HeadingPairs>
  <TitlesOfParts>
    <vt:vector size="28" baseType="lpstr">
      <vt:lpstr>Assumption</vt:lpstr>
      <vt:lpstr>Aset class Rankings</vt:lpstr>
      <vt:lpstr>Asset class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2024-05-10T04:43:41Z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