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2E200B98-30AA-49CD-9FE3-966382F43051}" xr6:coauthVersionLast="47" xr6:coauthVersionMax="47" xr10:uidLastSave="{00000000-0000-0000-0000-000000000000}"/>
  <bookViews>
    <workbookView xWindow="-110" yWindow="-110" windowWidth="25820" windowHeight="15500" firstSheet="1" activeTab="4" xr2:uid="{00000000-000D-0000-FFFF-FFFF00000000}"/>
  </bookViews>
  <sheets>
    <sheet name="__FDSCACHE__" sheetId="2" state="veryHidden" r:id="rId1"/>
    <sheet name="Assumption" sheetId="8" r:id="rId2"/>
    <sheet name="Aset class Rankings" sheetId="59" r:id="rId3"/>
    <sheet name="Asset class" sheetId="60" r:id="rId4"/>
    <sheet name="OUTPUT_COUNTRY" sheetId="40" r:id="rId5"/>
    <sheet name="PORTFOLIO" sheetId="55" r:id="rId6"/>
    <sheet name="OUTPUT_PPT" sheetId="49" r:id="rId7"/>
    <sheet name="mnemonics" sheetId="20" r:id="rId8"/>
    <sheet name="Value -2 " sheetId="1" r:id="rId9"/>
    <sheet name="LIQIDITY 2" sheetId="28" r:id="rId10"/>
    <sheet name="Quality - 2" sheetId="39" r:id="rId11"/>
    <sheet name="Momnetum ranking" sheetId="12" r:id="rId12"/>
    <sheet name="Safety" sheetId="13" r:id="rId13"/>
    <sheet name="Timing" sheetId="56" r:id="rId14"/>
    <sheet name="Leading Indicator" sheetId="52" r:id="rId15"/>
    <sheet name="t -PE" sheetId="46" r:id="rId16"/>
    <sheet name="Forwa Pe" sheetId="47" r:id="rId17"/>
    <sheet name="DY " sheetId="7" r:id="rId18"/>
    <sheet name="Monthly Returns" sheetId="5" r:id="rId19"/>
    <sheet name="Yearly returns" sheetId="15" r:id="rId20"/>
    <sheet name="Index earnings" sheetId="18" r:id="rId21"/>
    <sheet name="GDP_GROWTH" sheetId="45" r:id="rId22"/>
    <sheet name="Currency- 2" sheetId="42" r:id="rId23"/>
    <sheet name="Chart1" sheetId="36" state="hidden" r:id="rId24"/>
    <sheet name="CAD" sheetId="43" r:id="rId25"/>
    <sheet name="Country Int rates " sheetId="9" r:id="rId26"/>
    <sheet name="Index ROE" sheetId="38" r:id="rId27"/>
    <sheet name="Economic Momentum" sheetId="48" r:id="rId28"/>
    <sheet name="Market Capitalisation" sheetId="57" r:id="rId29"/>
  </sheets>
  <definedNames>
    <definedName name="_xlnm._FilterDatabase" localSheetId="11" hidden="1">'Momnetum ranking'!$A$2:$AK$18</definedName>
    <definedName name="_xlnm._FilterDatabase" localSheetId="4" hidden="1">OUTPUT_COUNTRY!$B$4:$N$14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57" l="1" a="1"/>
  <c r="D14" i="57" a="1"/>
  <c r="G14" i="57" a="1"/>
  <c r="D13" i="57" a="1"/>
  <c r="G13" i="57" a="1"/>
  <c r="D12" i="57" a="1"/>
  <c r="D7" i="57" a="1"/>
  <c r="G12" i="57" a="1"/>
  <c r="D11" i="57" a="1"/>
  <c r="G11" i="57" a="1"/>
  <c r="D10" i="57" a="1"/>
  <c r="G10" i="57" a="1"/>
  <c r="D9" i="57" a="1"/>
  <c r="G7" i="57" a="1"/>
  <c r="D6" i="57" a="1"/>
  <c r="G6" i="57" a="1"/>
  <c r="D5" i="57" a="1"/>
  <c r="G5" i="57" a="1"/>
  <c r="D4" i="57" a="1"/>
  <c r="G4" i="57" a="1"/>
  <c r="D3" i="57" a="1"/>
  <c r="G3" i="57" a="1"/>
  <c r="D2" i="57" a="1"/>
  <c r="G2" i="57" a="1"/>
  <c r="B17" i="57" a="1"/>
  <c r="E17" i="57" a="1"/>
  <c r="D17" i="57" a="1"/>
  <c r="G9" i="57" a="1"/>
  <c r="D8" i="57" a="1"/>
  <c r="G8" i="57" a="1"/>
  <c r="G8" i="57" l="1"/>
  <c r="D8" i="57"/>
  <c r="G9" i="57"/>
  <c r="D17" i="57"/>
  <c r="E17" i="57"/>
  <c r="B17" i="57"/>
  <c r="G2" i="57"/>
  <c r="D2" i="57"/>
  <c r="G3" i="57"/>
  <c r="D3" i="57"/>
  <c r="G4" i="57"/>
  <c r="D4" i="57"/>
  <c r="G5" i="57"/>
  <c r="D5" i="57"/>
  <c r="G6" i="57"/>
  <c r="D6" i="57"/>
  <c r="G7" i="57"/>
  <c r="D9" i="57"/>
  <c r="G10" i="57"/>
  <c r="D10" i="57"/>
  <c r="G11" i="57"/>
  <c r="D11" i="57"/>
  <c r="G12" i="57"/>
  <c r="D7" i="57"/>
  <c r="D12" i="57"/>
  <c r="G13" i="57"/>
  <c r="D13" i="57"/>
  <c r="G14" i="57"/>
  <c r="D14" i="57"/>
  <c r="G17" i="57"/>
  <c r="M11" i="48" a="1"/>
  <c r="M8" i="48" a="1"/>
  <c r="M16" i="48" a="1"/>
  <c r="M7" i="48" a="1"/>
  <c r="M9" i="48" a="1"/>
  <c r="M4" i="48" a="1"/>
  <c r="M14" i="48" a="1"/>
  <c r="M13" i="48" a="1"/>
  <c r="M6" i="48" a="1"/>
  <c r="M12" i="48" a="1"/>
  <c r="M5" i="48" a="1"/>
  <c r="M10" i="48" a="1"/>
  <c r="M10" i="48" l="1"/>
  <c r="M5" i="48"/>
  <c r="M12" i="48"/>
  <c r="M6" i="48"/>
  <c r="M13" i="48"/>
  <c r="M14" i="48"/>
  <c r="M4" i="48"/>
  <c r="M9" i="48"/>
  <c r="M7" i="48"/>
  <c r="M16" i="48"/>
  <c r="M8" i="48"/>
  <c r="M11" i="48"/>
  <c r="Y2" i="12"/>
  <c r="F24" i="8"/>
  <c r="E24" i="8"/>
  <c r="H12" i="43" a="1"/>
  <c r="H4" i="43" a="1"/>
  <c r="G15" i="42" a="1"/>
  <c r="G13" i="42" a="1"/>
  <c r="G11" i="42" a="1"/>
  <c r="G9" i="42" a="1"/>
  <c r="G7" i="42" a="1"/>
  <c r="G5" i="42" a="1"/>
  <c r="G3" i="42" a="1"/>
  <c r="C2" i="18" a="1"/>
  <c r="A2" i="15" a="1"/>
  <c r="M2" i="7" a="1"/>
  <c r="K2" i="47" a="1"/>
  <c r="I2" i="46" a="1"/>
  <c r="C12" i="52" a="1"/>
  <c r="C10" i="52" a="1"/>
  <c r="C8" i="52" a="1"/>
  <c r="C6" i="52" a="1"/>
  <c r="C4" i="52" a="1"/>
  <c r="S16" i="56" a="1"/>
  <c r="S12" i="56" a="1"/>
  <c r="S8" i="56" a="1"/>
  <c r="G17" i="56" a="1"/>
  <c r="G13" i="56" a="1"/>
  <c r="G9" i="56" a="1"/>
  <c r="G5" i="56" a="1"/>
  <c r="B6" i="56" a="1"/>
  <c r="R23" i="12" a="1"/>
  <c r="J20" i="48" a="1"/>
  <c r="M2" i="38" a="1"/>
  <c r="AK4" i="9" a="1"/>
  <c r="U4" i="9" a="1"/>
  <c r="E4" i="9" a="1"/>
  <c r="B2" i="18" a="1"/>
  <c r="N2" i="5" a="1"/>
  <c r="L2" i="7" a="1"/>
  <c r="J2" i="47" a="1"/>
  <c r="G12" i="43" a="1"/>
  <c r="G4" i="43" a="1"/>
  <c r="F15" i="42" a="1"/>
  <c r="F13" i="42" a="1"/>
  <c r="F11" i="42" a="1"/>
  <c r="F9" i="42" a="1"/>
  <c r="F7" i="42" a="1"/>
  <c r="F5" i="42" a="1"/>
  <c r="F3" i="42" a="1"/>
  <c r="J19" i="48" a="1"/>
  <c r="L2" i="38" a="1"/>
  <c r="AJ4" i="9" a="1"/>
  <c r="T4" i="9" a="1"/>
  <c r="D4" i="9" a="1"/>
  <c r="I3" i="52" a="1"/>
  <c r="U11" i="56" a="1"/>
  <c r="I12" i="56" a="1"/>
  <c r="I8" i="56" a="1"/>
  <c r="C25" i="56" a="1"/>
  <c r="C16" i="13" a="1"/>
  <c r="P23" i="12" a="1"/>
  <c r="R21" i="12" a="1"/>
  <c r="K20" i="12" a="1"/>
  <c r="O14" i="12" a="1"/>
  <c r="Q12" i="12" a="1"/>
  <c r="S10" i="12" a="1"/>
  <c r="R3" i="12" a="1"/>
  <c r="E3" i="12" a="1"/>
  <c r="H9" i="39" a="1"/>
  <c r="H11" i="43" a="1"/>
  <c r="H3" i="43" a="1"/>
  <c r="E15" i="42" a="1"/>
  <c r="E13" i="42" a="1"/>
  <c r="E11" i="42" a="1"/>
  <c r="E9" i="42" a="1"/>
  <c r="E7" i="42" a="1"/>
  <c r="E5" i="42" a="1"/>
  <c r="E3" i="42" a="1"/>
  <c r="A2" i="18" a="1"/>
  <c r="M2" i="5" a="1"/>
  <c r="K2" i="7" a="1"/>
  <c r="I2" i="47" a="1"/>
  <c r="G2" i="46" a="1"/>
  <c r="I11" i="52" a="1"/>
  <c r="I9" i="52" a="1"/>
  <c r="I7" i="52" a="1"/>
  <c r="I5" i="52" a="1"/>
  <c r="U15" i="56" a="1"/>
  <c r="U7" i="56" a="1"/>
  <c r="I16" i="56" a="1"/>
  <c r="M18" i="12" a="1"/>
  <c r="L9" i="12" a="1"/>
  <c r="N7" i="12" a="1"/>
  <c r="P5" i="12" a="1"/>
  <c r="E21" i="12" a="1"/>
  <c r="G13" i="12" a="1"/>
  <c r="F8" i="12" a="1"/>
  <c r="J12" i="39" a="1"/>
  <c r="F6" i="39" a="1"/>
  <c r="C3" i="39" a="1"/>
  <c r="J16" i="48" a="1"/>
  <c r="K2" i="38" a="1"/>
  <c r="AI4" i="9" a="1"/>
  <c r="S4" i="9" a="1"/>
  <c r="C4" i="9" a="1"/>
  <c r="T11" i="56" a="1"/>
  <c r="T7" i="56" a="1"/>
  <c r="H16" i="56" a="1"/>
  <c r="H12" i="56" a="1"/>
  <c r="H8" i="56" a="1"/>
  <c r="C24" i="56" a="1"/>
  <c r="C15" i="13" a="1"/>
  <c r="O23" i="12" a="1"/>
  <c r="Q21" i="12" a="1"/>
  <c r="S19" i="12" a="1"/>
  <c r="L18" i="12" a="1"/>
  <c r="N14" i="12" a="1"/>
  <c r="P12" i="12" a="1"/>
  <c r="R10" i="12" a="1"/>
  <c r="K9" i="12" a="1"/>
  <c r="G11" i="43" a="1"/>
  <c r="G3" i="43" a="1"/>
  <c r="D15" i="42" a="1"/>
  <c r="D13" i="42" a="1"/>
  <c r="D11" i="42" a="1"/>
  <c r="D9" i="42" a="1"/>
  <c r="D7" i="42" a="1"/>
  <c r="D5" i="42" a="1"/>
  <c r="D3" i="42" a="1"/>
  <c r="N2" i="15" a="1"/>
  <c r="L2" i="5" a="1"/>
  <c r="J2" i="7" a="1"/>
  <c r="H2" i="47" a="1"/>
  <c r="F2" i="46" a="1"/>
  <c r="H11" i="52" a="1"/>
  <c r="H9" i="52" a="1"/>
  <c r="H7" i="52" a="1"/>
  <c r="H5" i="52" a="1"/>
  <c r="H3" i="52" a="1"/>
  <c r="T15" i="56" a="1"/>
  <c r="J15" i="48" a="1"/>
  <c r="J2" i="38" a="1"/>
  <c r="AH4" i="9" a="1"/>
  <c r="R4" i="9" a="1"/>
  <c r="B4" i="9" a="1"/>
  <c r="E2" i="46" a="1"/>
  <c r="G11" i="52" a="1"/>
  <c r="G9" i="52" a="1"/>
  <c r="G7" i="52" a="1"/>
  <c r="G5" i="52" a="1"/>
  <c r="G3" i="52" a="1"/>
  <c r="S15" i="56" a="1"/>
  <c r="S11" i="56" a="1"/>
  <c r="S7" i="56" a="1"/>
  <c r="G16" i="56" a="1"/>
  <c r="G12" i="56" a="1"/>
  <c r="G8" i="56" a="1"/>
  <c r="C23" i="56" a="1"/>
  <c r="C14" i="13" a="1"/>
  <c r="P21" i="12" a="1"/>
  <c r="H10" i="43" a="1"/>
  <c r="C11" i="43" a="1"/>
  <c r="C15" i="42" a="1"/>
  <c r="C13" i="42" a="1"/>
  <c r="C11" i="42" a="1"/>
  <c r="C9" i="42" a="1"/>
  <c r="C7" i="42" a="1"/>
  <c r="C5" i="42" a="1"/>
  <c r="C3" i="42" a="1"/>
  <c r="M2" i="15" a="1"/>
  <c r="K2" i="5" a="1"/>
  <c r="I2" i="7" a="1"/>
  <c r="G2" i="47" a="1"/>
  <c r="N23" i="12" a="1"/>
  <c r="R19" i="12" a="1"/>
  <c r="K18" i="12" a="1"/>
  <c r="M14" i="12" a="1"/>
  <c r="O12" i="12" a="1"/>
  <c r="J14" i="48" a="1"/>
  <c r="I2" i="38" a="1"/>
  <c r="AG4" i="9" a="1"/>
  <c r="Q4" i="9" a="1"/>
  <c r="F9" i="52" a="1"/>
  <c r="F3" i="52" a="1"/>
  <c r="V10" i="56" a="1"/>
  <c r="V6" i="56" a="1"/>
  <c r="J15" i="56" a="1"/>
  <c r="J7" i="56" a="1"/>
  <c r="G10" i="43" a="1"/>
  <c r="C10" i="43" a="1"/>
  <c r="J14" i="42" a="1"/>
  <c r="J12" i="42" a="1"/>
  <c r="J10" i="42" a="1"/>
  <c r="J8" i="42" a="1"/>
  <c r="J6" i="42" a="1"/>
  <c r="J4" i="42" a="1"/>
  <c r="N2" i="18" a="1"/>
  <c r="L2" i="15" a="1"/>
  <c r="J2" i="5" a="1"/>
  <c r="H2" i="7" a="1"/>
  <c r="F2" i="47" a="1"/>
  <c r="D2" i="46" a="1"/>
  <c r="F11" i="52" a="1"/>
  <c r="F7" i="52" a="1"/>
  <c r="F5" i="52" a="1"/>
  <c r="V14" i="56" a="1"/>
  <c r="J11" i="56" a="1"/>
  <c r="B17" i="56" a="1"/>
  <c r="C13" i="13" a="1"/>
  <c r="M23" i="12" a="1"/>
  <c r="O21" i="12" a="1"/>
  <c r="Q19" i="12" a="1"/>
  <c r="S15" i="12" a="1"/>
  <c r="L14" i="12" a="1"/>
  <c r="N12" i="12" a="1"/>
  <c r="J13" i="48" a="1"/>
  <c r="H2" i="38" a="1"/>
  <c r="AF4" i="9" a="1"/>
  <c r="P4" i="9" a="1"/>
  <c r="I4" i="42" a="1"/>
  <c r="M2" i="18" a="1"/>
  <c r="K2" i="15" a="1"/>
  <c r="G2" i="7" a="1"/>
  <c r="E2" i="47" a="1"/>
  <c r="E11" i="52" a="1"/>
  <c r="E7" i="52" a="1"/>
  <c r="E5" i="52" a="1"/>
  <c r="U14" i="56" a="1"/>
  <c r="U6" i="56" a="1"/>
  <c r="I15" i="56" a="1"/>
  <c r="I11" i="56" a="1"/>
  <c r="I7" i="56" a="1"/>
  <c r="B16" i="56" a="1"/>
  <c r="C12" i="13" a="1"/>
  <c r="L23" i="12" a="1"/>
  <c r="P19" i="12" a="1"/>
  <c r="K14" i="12" a="1"/>
  <c r="M12" i="12" a="1"/>
  <c r="Q8" i="12" a="1"/>
  <c r="S6" i="12" a="1"/>
  <c r="E7" i="12" a="1"/>
  <c r="J8" i="39" a="1"/>
  <c r="F2" i="39" a="1"/>
  <c r="M9" i="28" a="1"/>
  <c r="D18" i="28" a="1"/>
  <c r="H9" i="43" a="1"/>
  <c r="C9" i="43" a="1"/>
  <c r="I14" i="42" a="1"/>
  <c r="I12" i="42" a="1"/>
  <c r="I10" i="42" a="1"/>
  <c r="I8" i="42" a="1"/>
  <c r="I6" i="42" a="1"/>
  <c r="I2" i="5" a="1"/>
  <c r="C2" i="46" a="1"/>
  <c r="E9" i="52" a="1"/>
  <c r="E3" i="52" a="1"/>
  <c r="U10" i="56" a="1"/>
  <c r="N21" i="12" a="1"/>
  <c r="R15" i="12" a="1"/>
  <c r="O10" i="12" a="1"/>
  <c r="L5" i="12" a="1"/>
  <c r="N3" i="12" a="1"/>
  <c r="G19" i="12" a="1"/>
  <c r="F12" i="12" a="1"/>
  <c r="B12" i="12" a="1"/>
  <c r="H5" i="39" a="1"/>
  <c r="K15" i="28" a="1"/>
  <c r="L4" i="28" a="1"/>
  <c r="G10" i="28" a="1"/>
  <c r="J12" i="48" a="1"/>
  <c r="G2" i="38" a="1"/>
  <c r="AE4" i="9" a="1"/>
  <c r="O4" i="9" a="1"/>
  <c r="B15" i="56" a="1"/>
  <c r="C11" i="13" a="1"/>
  <c r="G9" i="43" a="1"/>
  <c r="C8" i="43" a="1"/>
  <c r="H14" i="42" a="1"/>
  <c r="H12" i="42" a="1"/>
  <c r="H10" i="42" a="1"/>
  <c r="H8" i="42" a="1"/>
  <c r="H6" i="42" a="1"/>
  <c r="H4" i="42" a="1"/>
  <c r="L2" i="18" a="1"/>
  <c r="J2" i="15" a="1"/>
  <c r="H2" i="5" a="1"/>
  <c r="F2" i="7" a="1"/>
  <c r="D2" i="47" a="1"/>
  <c r="B2" i="46" a="1"/>
  <c r="D11" i="52" a="1"/>
  <c r="D9" i="52" a="1"/>
  <c r="D7" i="52" a="1"/>
  <c r="D5" i="52" a="1"/>
  <c r="D3" i="52" a="1"/>
  <c r="T14" i="56" a="1"/>
  <c r="T10" i="56" a="1"/>
  <c r="T6" i="56" a="1"/>
  <c r="H15" i="56" a="1"/>
  <c r="H11" i="56" a="1"/>
  <c r="H7" i="56" a="1"/>
  <c r="K23" i="12" a="1"/>
  <c r="M21" i="12" a="1"/>
  <c r="O19" i="12" a="1"/>
  <c r="Q15" i="12" a="1"/>
  <c r="J11" i="48" a="1"/>
  <c r="F2" i="38" a="1"/>
  <c r="AD4" i="9" a="1"/>
  <c r="N4" i="9" a="1"/>
  <c r="J10" i="48" a="1"/>
  <c r="E2" i="38" a="1"/>
  <c r="AC4" i="9" a="1"/>
  <c r="M4" i="9" a="1"/>
  <c r="H14" i="43" a="1"/>
  <c r="H6" i="43" a="1"/>
  <c r="C3" i="43" a="1"/>
  <c r="C14" i="42" a="1"/>
  <c r="C12" i="42" a="1"/>
  <c r="C10" i="42" a="1"/>
  <c r="C8" i="42" a="1"/>
  <c r="C6" i="42" a="1"/>
  <c r="C4" i="42" a="1"/>
  <c r="G2" i="18" a="1"/>
  <c r="E2" i="15" a="1"/>
  <c r="C2" i="5" a="1"/>
  <c r="A2" i="7" a="1"/>
  <c r="M2" i="46" a="1"/>
  <c r="G12" i="52" a="1"/>
  <c r="G10" i="52" a="1"/>
  <c r="G8" i="52" a="1"/>
  <c r="G6" i="52" a="1"/>
  <c r="G4" i="52" a="1"/>
  <c r="S17" i="56" a="1"/>
  <c r="S13" i="56" a="1"/>
  <c r="S9" i="56" a="1"/>
  <c r="S5" i="56" a="1"/>
  <c r="G14" i="56" a="1"/>
  <c r="G10" i="56" a="1"/>
  <c r="G6" i="56" a="1"/>
  <c r="B10" i="56" a="1"/>
  <c r="C6" i="13" a="1"/>
  <c r="O22" i="12" a="1"/>
  <c r="Q20" i="12" a="1"/>
  <c r="S18" i="12" a="1"/>
  <c r="L15" i="12" a="1"/>
  <c r="N13" i="12" a="1"/>
  <c r="P11" i="12" a="1"/>
  <c r="AA4" i="9" a="1"/>
  <c r="G14" i="43" a="1"/>
  <c r="H15" i="42" a="1"/>
  <c r="E2" i="18" a="1"/>
  <c r="E2" i="7" a="1"/>
  <c r="I12" i="52" a="1"/>
  <c r="F6" i="12" a="1"/>
  <c r="H4" i="39" a="1"/>
  <c r="E10" i="42" a="1"/>
  <c r="D2" i="7" a="1"/>
  <c r="H8" i="52" a="1"/>
  <c r="H4" i="52" a="1"/>
  <c r="T13" i="56" a="1"/>
  <c r="T5" i="56" a="1"/>
  <c r="H10" i="56" a="1"/>
  <c r="B11" i="56" a="1"/>
  <c r="P22" i="12" a="1"/>
  <c r="L19" i="12" a="1"/>
  <c r="R13" i="12" a="1"/>
  <c r="L11" i="12" a="1"/>
  <c r="L8" i="12" a="1"/>
  <c r="R5" i="12" a="1"/>
  <c r="G23" i="12" a="1"/>
  <c r="G14" i="12" a="1"/>
  <c r="E6" i="12" a="1"/>
  <c r="B4" i="12" a="1"/>
  <c r="C8" i="39" a="1"/>
  <c r="L10" i="28" a="1"/>
  <c r="H15" i="28" a="1"/>
  <c r="O4" i="1" a="1"/>
  <c r="H15" i="1" a="1"/>
  <c r="F9" i="1" a="1"/>
  <c r="G6" i="1" a="1"/>
  <c r="D9" i="49" a="1"/>
  <c r="C17" i="40" a="1"/>
  <c r="G5" i="28" a="1"/>
  <c r="D7" i="28" a="1"/>
  <c r="L11" i="1" a="1"/>
  <c r="C15" i="1" a="1"/>
  <c r="H4" i="60" a="1"/>
  <c r="O5" i="12" a="1"/>
  <c r="G5" i="12" a="1"/>
  <c r="G15" i="28" a="1"/>
  <c r="E6" i="28" a="1"/>
  <c r="O3" i="1" a="1"/>
  <c r="F15" i="1" a="1"/>
  <c r="K11" i="1" a="1"/>
  <c r="L8" i="1" a="1"/>
  <c r="C14" i="1" a="1"/>
  <c r="G4" i="28" a="1"/>
  <c r="G4" i="60" a="1"/>
  <c r="A2" i="38" a="1"/>
  <c r="J9" i="48" a="1"/>
  <c r="Z4" i="9" a="1"/>
  <c r="H13" i="43" a="1"/>
  <c r="G14" i="42" a="1"/>
  <c r="J5" i="42" a="1"/>
  <c r="D2" i="18" a="1"/>
  <c r="H12" i="52" a="1"/>
  <c r="Q13" i="12" a="1"/>
  <c r="K11" i="12" a="1"/>
  <c r="Q5" i="12" a="1"/>
  <c r="H3" i="39" a="1"/>
  <c r="K10" i="28" a="1"/>
  <c r="G15" i="1" a="1"/>
  <c r="F6" i="1" a="1"/>
  <c r="C16" i="40" a="1"/>
  <c r="H9" i="60" a="1"/>
  <c r="F14" i="12" a="1"/>
  <c r="H2" i="39" a="1"/>
  <c r="H4" i="28" a="1"/>
  <c r="Y4" i="9" a="1"/>
  <c r="F14" i="42" a="1"/>
  <c r="D10" i="42" a="1"/>
  <c r="C2" i="7" a="1"/>
  <c r="K19" i="12" a="1"/>
  <c r="Q10" i="12" a="1"/>
  <c r="K8" i="12" a="1"/>
  <c r="F23" i="12" a="1"/>
  <c r="B3" i="12" a="1"/>
  <c r="C7" i="39" a="1"/>
  <c r="L9" i="28" a="1"/>
  <c r="L5" i="1" a="1"/>
  <c r="D8" i="49" a="1"/>
  <c r="C15" i="40" a="1"/>
  <c r="G9" i="60" a="1"/>
  <c r="J9" i="56" a="1"/>
  <c r="B9" i="56" a="1"/>
  <c r="N22" i="12" a="1"/>
  <c r="P13" i="12" a="1"/>
  <c r="P10" i="12" a="1"/>
  <c r="N5" i="12" a="1"/>
  <c r="E14" i="12" a="1"/>
  <c r="L14" i="1" a="1"/>
  <c r="K5" i="1" a="1"/>
  <c r="Q9" i="12" a="1"/>
  <c r="C16" i="55" a="1"/>
  <c r="G4" i="9" a="1"/>
  <c r="J8" i="48" a="1"/>
  <c r="G13" i="43" a="1"/>
  <c r="I5" i="42" a="1"/>
  <c r="I2" i="15" a="1"/>
  <c r="F8" i="52" a="1"/>
  <c r="F4" i="52" a="1"/>
  <c r="V12" i="56" a="1"/>
  <c r="J17" i="56" a="1"/>
  <c r="C14" i="40" a="1"/>
  <c r="F3" i="60" a="1"/>
  <c r="E8" i="60" a="1"/>
  <c r="H5" i="43" a="1"/>
  <c r="R6" i="12" a="1"/>
  <c r="X4" i="9" a="1"/>
  <c r="E14" i="42" a="1"/>
  <c r="H2" i="15" a="1"/>
  <c r="B2" i="7" a="1"/>
  <c r="F12" i="52" a="1"/>
  <c r="N10" i="12" a="1"/>
  <c r="S7" i="12" a="1"/>
  <c r="M5" i="12" a="1"/>
  <c r="E23" i="12" a="1"/>
  <c r="F13" i="12" a="1"/>
  <c r="F5" i="12" a="1"/>
  <c r="J14" i="39" a="1"/>
  <c r="F14" i="39" a="1"/>
  <c r="C6" i="39" a="1"/>
  <c r="K9" i="28" a="1"/>
  <c r="H14" i="28" a="1"/>
  <c r="H3" i="28" a="1"/>
  <c r="D6" i="28" a="1"/>
  <c r="L20" i="1" a="1"/>
  <c r="K14" i="1" a="1"/>
  <c r="J11" i="1" a="1"/>
  <c r="K8" i="1" a="1"/>
  <c r="J5" i="1" a="1"/>
  <c r="C13" i="1" a="1"/>
  <c r="D7" i="49" a="1"/>
  <c r="C13" i="40" a="1"/>
  <c r="F9" i="60" a="1"/>
  <c r="E13" i="12" a="1"/>
  <c r="J13" i="39" a="1"/>
  <c r="M8" i="28" a="1"/>
  <c r="G3" i="28" a="1"/>
  <c r="J14" i="1" a="1"/>
  <c r="I5" i="1" a="1"/>
  <c r="C12" i="40" a="1"/>
  <c r="F4" i="60" a="1"/>
  <c r="C11" i="40" a="1"/>
  <c r="E9" i="60" a="1"/>
  <c r="F14" i="1" a="1"/>
  <c r="L4" i="1" a="1"/>
  <c r="C8" i="40" a="1"/>
  <c r="G8" i="60" a="1"/>
  <c r="F3" i="12" a="1"/>
  <c r="E7" i="60" a="1"/>
  <c r="C6" i="43" a="1"/>
  <c r="J7" i="48" a="1"/>
  <c r="H8" i="43" a="1"/>
  <c r="J9" i="42" a="1"/>
  <c r="H5" i="42" a="1"/>
  <c r="E8" i="52" a="1"/>
  <c r="E4" i="52" a="1"/>
  <c r="U12" i="56" a="1"/>
  <c r="I17" i="56" a="1"/>
  <c r="I9" i="56" a="1"/>
  <c r="B8" i="56" a="1"/>
  <c r="M22" i="12" a="1"/>
  <c r="R18" i="12" a="1"/>
  <c r="O13" i="12" a="1"/>
  <c r="K5" i="12" a="1"/>
  <c r="C20" i="55" a="1"/>
  <c r="G12" i="42" a="1"/>
  <c r="S20" i="12" a="1"/>
  <c r="J19" i="1" a="1"/>
  <c r="L6" i="28" a="1"/>
  <c r="J6" i="48" a="1"/>
  <c r="W4" i="9" a="1"/>
  <c r="G8" i="43" a="1"/>
  <c r="D14" i="42" a="1"/>
  <c r="G2" i="15" a="1"/>
  <c r="E12" i="52" a="1"/>
  <c r="M10" i="12" a="1"/>
  <c r="R7" i="12" a="1"/>
  <c r="G22" i="12" a="1"/>
  <c r="G12" i="12" a="1"/>
  <c r="E5" i="12" a="1"/>
  <c r="J11" i="39" a="1"/>
  <c r="F13" i="39" a="1"/>
  <c r="C5" i="39" a="1"/>
  <c r="G14" i="28" a="1"/>
  <c r="E18" i="28" a="1"/>
  <c r="E5" i="28" a="1"/>
  <c r="K20" i="1" a="1"/>
  <c r="I14" i="1" a="1"/>
  <c r="I11" i="1" a="1"/>
  <c r="J8" i="1" a="1"/>
  <c r="H5" i="1" a="1"/>
  <c r="C12" i="1" a="1"/>
  <c r="D6" i="49" a="1"/>
  <c r="G8" i="1" a="1"/>
  <c r="C10" i="1" a="1"/>
  <c r="C21" i="55" a="1"/>
  <c r="I9" i="42" a="1"/>
  <c r="G4" i="42" a="1"/>
  <c r="N2" i="47" a="1"/>
  <c r="D8" i="52" a="1"/>
  <c r="D4" i="52" a="1"/>
  <c r="T12" i="56" a="1"/>
  <c r="H17" i="56" a="1"/>
  <c r="H9" i="56" a="1"/>
  <c r="B7" i="56" a="1"/>
  <c r="L22" i="12" a="1"/>
  <c r="Q18" i="12" a="1"/>
  <c r="L10" i="12" a="1"/>
  <c r="S4" i="12" a="1"/>
  <c r="E12" i="12" a="1"/>
  <c r="J10" i="39" a="1"/>
  <c r="C4" i="39" a="1"/>
  <c r="L8" i="28" a="1"/>
  <c r="E15" i="28" a="1"/>
  <c r="H14" i="1" a="1"/>
  <c r="G5" i="1" a="1"/>
  <c r="C10" i="40" a="1"/>
  <c r="E4" i="60" a="1"/>
  <c r="H8" i="60" a="1"/>
  <c r="M15" i="28" a="1"/>
  <c r="D15" i="28" a="1"/>
  <c r="I20" i="1" a="1"/>
  <c r="F5" i="1" a="1"/>
  <c r="D4" i="49" a="1"/>
  <c r="C9" i="40" a="1"/>
  <c r="G11" i="1" a="1"/>
  <c r="G3" i="60" a="1"/>
  <c r="G15" i="56" a="1"/>
  <c r="O18" i="12" a="1"/>
  <c r="S9" i="12" a="1"/>
  <c r="M7" i="28" a="1"/>
  <c r="D2" i="38" a="1"/>
  <c r="H10" i="28" a="1"/>
  <c r="I7" i="1" a="1"/>
  <c r="O9" i="12" a="1"/>
  <c r="F4" i="39" a="1"/>
  <c r="C4" i="1" a="1"/>
  <c r="E2" i="5" a="1"/>
  <c r="J5" i="48" a="1"/>
  <c r="V4" i="9" a="1"/>
  <c r="H7" i="43" a="1"/>
  <c r="F4" i="42" a="1"/>
  <c r="F2" i="15" a="1"/>
  <c r="D12" i="52" a="1"/>
  <c r="M13" i="12" a="1"/>
  <c r="Q7" i="12" a="1"/>
  <c r="R4" i="12" a="1"/>
  <c r="F22" i="12" a="1"/>
  <c r="G4" i="12" a="1"/>
  <c r="J9" i="39" a="1"/>
  <c r="F12" i="39" a="1"/>
  <c r="C2" i="39" a="1"/>
  <c r="H13" i="28" a="1"/>
  <c r="D5" i="28" a="1"/>
  <c r="J20" i="1" a="1"/>
  <c r="H11" i="1" a="1"/>
  <c r="I8" i="1" a="1"/>
  <c r="C11" i="1" a="1"/>
  <c r="D5" i="49" a="1"/>
  <c r="K8" i="28" a="1"/>
  <c r="G14" i="1" a="1"/>
  <c r="H8" i="1" a="1"/>
  <c r="H3" i="60" a="1"/>
  <c r="G13" i="28" a="1"/>
  <c r="E14" i="28" a="1"/>
  <c r="E4" i="28" a="1"/>
  <c r="H20" i="1" a="1"/>
  <c r="G7" i="56" a="1"/>
  <c r="C10" i="13" a="1"/>
  <c r="O7" i="12" a="1"/>
  <c r="J6" i="39" a="1"/>
  <c r="M14" i="28" a="1"/>
  <c r="G20" i="1" a="1"/>
  <c r="F8" i="1" a="1"/>
  <c r="B2" i="15" a="1"/>
  <c r="O13" i="1" a="1"/>
  <c r="J13" i="42" a="1"/>
  <c r="H9" i="42" a="1"/>
  <c r="M2" i="47" a="1"/>
  <c r="J7" i="52" a="1"/>
  <c r="J3" i="52" a="1"/>
  <c r="V11" i="56" a="1"/>
  <c r="J16" i="56" a="1"/>
  <c r="J8" i="56" a="1"/>
  <c r="B5" i="56" a="1"/>
  <c r="K22" i="12" a="1"/>
  <c r="P18" i="12" a="1"/>
  <c r="K10" i="12" a="1"/>
  <c r="G11" i="12" a="1"/>
  <c r="J7" i="39" a="1"/>
  <c r="J4" i="48" a="1"/>
  <c r="G7" i="43" a="1"/>
  <c r="E4" i="42" a="1"/>
  <c r="J11" i="52" a="1"/>
  <c r="S21" i="12" a="1"/>
  <c r="L13" i="12" a="1"/>
  <c r="P7" i="12" a="1"/>
  <c r="Q4" i="12" a="1"/>
  <c r="E22" i="12" a="1"/>
  <c r="F11" i="12" a="1"/>
  <c r="F4" i="12" a="1"/>
  <c r="F11" i="39" a="1"/>
  <c r="L15" i="28" a="1"/>
  <c r="L4" i="9" a="1"/>
  <c r="I13" i="42" a="1"/>
  <c r="G8" i="42" a="1"/>
  <c r="D2" i="15" a="1"/>
  <c r="L2" i="47" a="1"/>
  <c r="C11" i="52" a="1"/>
  <c r="C7" i="52" a="1"/>
  <c r="C3" i="52" a="1"/>
  <c r="S10" i="56" a="1"/>
  <c r="H12" i="28" a="1"/>
  <c r="J3" i="42" a="1"/>
  <c r="O15" i="12" a="1"/>
  <c r="F20" i="12" a="1"/>
  <c r="H8" i="28" a="1"/>
  <c r="N2" i="38" a="1"/>
  <c r="F8" i="42" a="1"/>
  <c r="D4" i="42" a="1"/>
  <c r="J10" i="52" a="1"/>
  <c r="J6" i="52" a="1"/>
  <c r="V17" i="56" a="1"/>
  <c r="V9" i="56" a="1"/>
  <c r="J14" i="56" a="1"/>
  <c r="J6" i="56" a="1"/>
  <c r="C9" i="13" a="1"/>
  <c r="L21" i="12" a="1"/>
  <c r="N18" i="12" a="1"/>
  <c r="K13" i="12" a="1"/>
  <c r="M7" i="12" a="1"/>
  <c r="P4" i="12" a="1"/>
  <c r="G21" i="12" a="1"/>
  <c r="E11" i="12" a="1"/>
  <c r="E4" i="12" a="1"/>
  <c r="J5" i="39" a="1"/>
  <c r="F10" i="39" a="1"/>
  <c r="G12" i="28" a="1"/>
  <c r="D14" i="28" a="1"/>
  <c r="D4" i="28" a="1"/>
  <c r="F20" i="1" a="1"/>
  <c r="L13" i="1" a="1"/>
  <c r="F11" i="1" a="1"/>
  <c r="L7" i="1" a="1"/>
  <c r="K4" i="1" a="1"/>
  <c r="C9" i="1" a="1"/>
  <c r="C19" i="55" a="1"/>
  <c r="C7" i="40" a="1"/>
  <c r="F8" i="60" a="1"/>
  <c r="E3" i="60" a="1"/>
  <c r="U9" i="56" a="1"/>
  <c r="I14" i="56" a="1"/>
  <c r="C8" i="13" a="1"/>
  <c r="P15" i="12" a="1"/>
  <c r="E3" i="28" a="1"/>
  <c r="K13" i="1" a="1"/>
  <c r="L10" i="1" a="1"/>
  <c r="J7" i="1" a="1"/>
  <c r="J4" i="1" a="1"/>
  <c r="K4" i="9" a="1"/>
  <c r="G6" i="43" a="1"/>
  <c r="H13" i="42" a="1"/>
  <c r="C2" i="15" a="1"/>
  <c r="C2" i="47" a="1"/>
  <c r="K21" i="12" a="1"/>
  <c r="R9" i="12" a="1"/>
  <c r="L7" i="12" a="1"/>
  <c r="F21" i="12" a="1"/>
  <c r="L14" i="28" a="1"/>
  <c r="L7" i="28" a="1"/>
  <c r="H11" i="28" a="1"/>
  <c r="L19" i="1" a="1"/>
  <c r="K7" i="1" a="1"/>
  <c r="C18" i="55" a="1"/>
  <c r="E8" i="42" a="1"/>
  <c r="B2" i="47" a="1"/>
  <c r="I10" i="52" a="1"/>
  <c r="I6" i="52" a="1"/>
  <c r="U17" i="56" a="1"/>
  <c r="I6" i="56" a="1"/>
  <c r="S12" i="12" a="1"/>
  <c r="K7" i="12" a="1"/>
  <c r="O4" i="12" a="1"/>
  <c r="G20" i="12" a="1"/>
  <c r="G10" i="12" a="1"/>
  <c r="G3" i="12" a="1"/>
  <c r="J4" i="39" a="1"/>
  <c r="F9" i="39" a="1"/>
  <c r="K14" i="28" a="1"/>
  <c r="G11" i="28" a="1"/>
  <c r="E13" i="28" a="1"/>
  <c r="K19" i="1" a="1"/>
  <c r="C8" i="1" a="1"/>
  <c r="C17" i="55" a="1"/>
  <c r="C6" i="40" a="1"/>
  <c r="J4" i="9" a="1"/>
  <c r="R12" i="12" a="1"/>
  <c r="K7" i="28" a="1"/>
  <c r="B11" i="12" a="1"/>
  <c r="D12" i="42" a="1"/>
  <c r="I4" i="9" a="1"/>
  <c r="F12" i="42" a="1"/>
  <c r="D8" i="42" a="1"/>
  <c r="A2" i="47" a="1"/>
  <c r="H10" i="52" a="1"/>
  <c r="H6" i="52" a="1"/>
  <c r="T17" i="56" a="1"/>
  <c r="T9" i="56" a="1"/>
  <c r="H14" i="56" a="1"/>
  <c r="H6" i="56" a="1"/>
  <c r="C7" i="13" a="1"/>
  <c r="L12" i="12" a="1"/>
  <c r="N4" i="12" a="1"/>
  <c r="E20" i="12" a="1"/>
  <c r="F10" i="12" a="1"/>
  <c r="B15" i="12" a="1"/>
  <c r="J3" i="39" a="1"/>
  <c r="F8" i="39" a="1"/>
  <c r="M13" i="28" a="1"/>
  <c r="H9" i="28" a="1"/>
  <c r="D13" i="28" a="1"/>
  <c r="D3" i="28" a="1"/>
  <c r="J13" i="1" a="1"/>
  <c r="K10" i="1" a="1"/>
  <c r="I4" i="1" a="1"/>
  <c r="C7" i="1" a="1"/>
  <c r="H12" i="60" a="1"/>
  <c r="H7" i="60" a="1"/>
  <c r="F19" i="12" a="1"/>
  <c r="B14" i="12" a="1"/>
  <c r="F7" i="39" a="1"/>
  <c r="M6" i="28" a="1"/>
  <c r="I19" i="1" a="1"/>
  <c r="J10" i="1" a="1"/>
  <c r="H7" i="1" a="1"/>
  <c r="C6" i="1" a="1"/>
  <c r="G7" i="60" a="1"/>
  <c r="E12" i="42" a="1"/>
  <c r="F2" i="5" a="1"/>
  <c r="N2" i="46" a="1"/>
  <c r="K12" i="12" a="1"/>
  <c r="P6" i="12" a="1"/>
  <c r="M4" i="12" a="1"/>
  <c r="E10" i="12" a="1"/>
  <c r="B13" i="12" a="1"/>
  <c r="J2" i="39" a="1"/>
  <c r="F5" i="39" a="1"/>
  <c r="L13" i="28" a="1"/>
  <c r="G9" i="28" a="1"/>
  <c r="E12" i="28" a="1"/>
  <c r="O14" i="1" a="1"/>
  <c r="H19" i="1" a="1"/>
  <c r="I10" i="1" a="1"/>
  <c r="G7" i="1" a="1"/>
  <c r="H4" i="1" a="1"/>
  <c r="C5" i="1" a="1"/>
  <c r="H3" i="42" a="1"/>
  <c r="F10" i="52" a="1"/>
  <c r="F6" i="52" a="1"/>
  <c r="V16" i="56" a="1"/>
  <c r="V8" i="56" a="1"/>
  <c r="J13" i="56" a="1"/>
  <c r="J5" i="56" a="1"/>
  <c r="C5" i="13" a="1"/>
  <c r="S11" i="12" a="1"/>
  <c r="E19" i="12" a="1"/>
  <c r="H10" i="1" a="1"/>
  <c r="C2" i="38" a="1"/>
  <c r="G5" i="43" a="1"/>
  <c r="I3" i="42" a="1"/>
  <c r="G2" i="5" a="1"/>
  <c r="R20" i="12" a="1"/>
  <c r="N15" i="12" a="1"/>
  <c r="P9" i="12" a="1"/>
  <c r="Q6" i="12" a="1"/>
  <c r="O15" i="1" a="1"/>
  <c r="C15" i="55" a="1"/>
  <c r="H4" i="9" a="1"/>
  <c r="I13" i="1" a="1"/>
  <c r="C14" i="55" a="1"/>
  <c r="G12" i="60" a="1"/>
  <c r="F7" i="60" a="1"/>
  <c r="B2" i="38" a="1"/>
  <c r="C7" i="43" a="1"/>
  <c r="J7" i="42" a="1"/>
  <c r="M15" i="12" a="1"/>
  <c r="J11" i="42" a="1"/>
  <c r="B2" i="5" a="1"/>
  <c r="J10" i="56" a="1"/>
  <c r="N19" i="12" a="1"/>
  <c r="N8" i="12" a="1"/>
  <c r="H11" i="39" a="1"/>
  <c r="K5" i="28" a="1"/>
  <c r="E7" i="28" a="1"/>
  <c r="J12" i="1" a="1"/>
  <c r="H6" i="1" a="1"/>
  <c r="AN4" i="9" a="1"/>
  <c r="C5" i="52" a="1"/>
  <c r="M19" i="12" a="1"/>
  <c r="F15" i="12" a="1"/>
  <c r="H10" i="39" a="1"/>
  <c r="M4" i="28" a="1"/>
  <c r="O12" i="1" a="1"/>
  <c r="I12" i="1" a="1"/>
  <c r="L3" i="1" a="1"/>
  <c r="F12" i="60" a="1"/>
  <c r="G19" i="1" a="1"/>
  <c r="U13" i="56" a="1"/>
  <c r="G6" i="60" a="1"/>
  <c r="I15" i="1" a="1"/>
  <c r="I13" i="56" a="1"/>
  <c r="D11" i="28" a="1"/>
  <c r="I6" i="1" a="1"/>
  <c r="S8" i="12" a="1"/>
  <c r="K11" i="28" a="1"/>
  <c r="C10" i="55" a="1"/>
  <c r="H13" i="39" a="1"/>
  <c r="K12" i="1" a="1"/>
  <c r="I11" i="42" a="1"/>
  <c r="A2" i="5" a="1"/>
  <c r="J4" i="52" a="1"/>
  <c r="I10" i="56" a="1"/>
  <c r="M8" i="12" a="1"/>
  <c r="H8" i="39" a="1"/>
  <c r="K4" i="28" a="1"/>
  <c r="O11" i="1" a="1"/>
  <c r="H12" i="1" a="1"/>
  <c r="K3" i="1" a="1"/>
  <c r="K6" i="12" a="1"/>
  <c r="O5" i="1" a="1"/>
  <c r="D14" i="49" a="1"/>
  <c r="J12" i="52" a="1"/>
  <c r="D12" i="49" a="1"/>
  <c r="K4" i="12" a="1"/>
  <c r="L12" i="28" a="1"/>
  <c r="C4" i="43" a="1"/>
  <c r="K3" i="12" a="1"/>
  <c r="E5" i="60" a="1"/>
  <c r="O20" i="12" a="1"/>
  <c r="M9" i="12" a="1"/>
  <c r="H13" i="56" a="1"/>
  <c r="I15" i="42" a="1"/>
  <c r="H12" i="39" a="1"/>
  <c r="G15" i="12" a="1"/>
  <c r="AM4" i="9" a="1"/>
  <c r="I5" i="56" a="1"/>
  <c r="O6" i="12" a="1"/>
  <c r="E15" i="12" a="1"/>
  <c r="H7" i="39" a="1"/>
  <c r="O10" i="1" a="1"/>
  <c r="G12" i="1" a="1"/>
  <c r="J3" i="1" a="1"/>
  <c r="E12" i="60" a="1"/>
  <c r="L9" i="1" a="1"/>
  <c r="E11" i="60" a="1"/>
  <c r="I9" i="1" a="1"/>
  <c r="S13" i="12" a="1"/>
  <c r="S5" i="12" a="1"/>
  <c r="H9" i="1" a="1"/>
  <c r="G7" i="28" a="1"/>
  <c r="H15" i="43" a="1"/>
  <c r="B10" i="12" a="1"/>
  <c r="B8" i="12" a="1"/>
  <c r="K15" i="1" a="1"/>
  <c r="D12" i="28" a="1"/>
  <c r="J8" i="52" a="1"/>
  <c r="H13" i="1" a="1"/>
  <c r="J15" i="42" a="1"/>
  <c r="F18" i="12" a="1"/>
  <c r="H11" i="42" a="1"/>
  <c r="N2" i="7" a="1"/>
  <c r="I4" i="52" a="1"/>
  <c r="K15" i="12" a="1"/>
  <c r="G9" i="12" a="1"/>
  <c r="H6" i="39" a="1"/>
  <c r="M3" i="28" a="1"/>
  <c r="O9" i="1" a="1"/>
  <c r="F12" i="1" a="1"/>
  <c r="I3" i="1" a="1"/>
  <c r="M6" i="12" a="1"/>
  <c r="F11" i="60" a="1"/>
  <c r="D23" i="1" a="1"/>
  <c r="G10" i="60" a="1"/>
  <c r="G7" i="12" a="1"/>
  <c r="V13" i="56" a="1"/>
  <c r="C4" i="13" a="1"/>
  <c r="S23" i="12" a="1"/>
  <c r="J15" i="1" a="1"/>
  <c r="Q22" i="12" a="1"/>
  <c r="B5" i="12" a="1"/>
  <c r="E10" i="28" a="1"/>
  <c r="E18" i="12" a="1"/>
  <c r="F13" i="1" a="1"/>
  <c r="M5" i="28" a="1"/>
  <c r="AL4" i="9" a="1"/>
  <c r="U16" i="56" a="1"/>
  <c r="H5" i="56" a="1"/>
  <c r="N6" i="12" a="1"/>
  <c r="F3" i="39" a="1"/>
  <c r="L3" i="28" a="1"/>
  <c r="G10" i="1" a="1"/>
  <c r="H3" i="1" a="1"/>
  <c r="H11" i="60" a="1"/>
  <c r="O7" i="1" a="1"/>
  <c r="Q14" i="12" a="1"/>
  <c r="J9" i="1" a="1"/>
  <c r="F10" i="60" a="1"/>
  <c r="B12" i="56" a="1"/>
  <c r="E10" i="60" a="1"/>
  <c r="G6" i="12" a="1"/>
  <c r="H6" i="60" a="1"/>
  <c r="U8" i="56" a="1"/>
  <c r="C9" i="39" a="1"/>
  <c r="F6" i="60" a="1"/>
  <c r="B7" i="12" a="1"/>
  <c r="H2" i="18" a="1"/>
  <c r="D9" i="28" a="1"/>
  <c r="C9" i="55" a="1"/>
  <c r="C18" i="40" a="1"/>
  <c r="G10" i="42" a="1"/>
  <c r="S14" i="12" a="1"/>
  <c r="F9" i="12" a="1"/>
  <c r="C14" i="39" a="1"/>
  <c r="O8" i="1" a="1"/>
  <c r="F10" i="1" a="1"/>
  <c r="G3" i="1" a="1"/>
  <c r="G11" i="60" a="1"/>
  <c r="C26" i="56" a="1"/>
  <c r="K3" i="28" a="1"/>
  <c r="K9" i="1" a="1"/>
  <c r="E8" i="12" a="1"/>
  <c r="G8" i="28" a="1"/>
  <c r="H2" i="46" a="1"/>
  <c r="D13" i="49" a="1"/>
  <c r="G9" i="1" a="1"/>
  <c r="H6" i="28" a="1"/>
  <c r="M12" i="28" a="1"/>
  <c r="D10" i="49" a="1"/>
  <c r="M11" i="12" a="1"/>
  <c r="U5" i="56" a="1"/>
  <c r="F10" i="42" a="1"/>
  <c r="L2" i="46" a="1"/>
  <c r="T16" i="56" a="1"/>
  <c r="F3" i="1" a="1"/>
  <c r="C11" i="39" a="1"/>
  <c r="D15" i="49" a="1"/>
  <c r="F7" i="12" a="1"/>
  <c r="A2" i="46" a="1"/>
  <c r="Q11" i="12" a="1"/>
  <c r="C9" i="52" a="1"/>
  <c r="E9" i="28" a="1"/>
  <c r="D6" i="52" a="1"/>
  <c r="AB4" i="9" a="1"/>
  <c r="I7" i="42" a="1"/>
  <c r="R14" i="12" a="1"/>
  <c r="E9" i="12" a="1"/>
  <c r="C13" i="39" a="1"/>
  <c r="H7" i="28" a="1"/>
  <c r="C10" i="39" a="1"/>
  <c r="R11" i="12" a="1"/>
  <c r="K6" i="1" a="1"/>
  <c r="K12" i="28" a="1"/>
  <c r="J6" i="1" a="1"/>
  <c r="N9" i="12" a="1"/>
  <c r="M20" i="12" a="1"/>
  <c r="L12" i="1" a="1"/>
  <c r="O8" i="12" a="1"/>
  <c r="K2" i="46" a="1"/>
  <c r="V15" i="56" a="1"/>
  <c r="B14" i="56" a="1"/>
  <c r="L6" i="12" a="1"/>
  <c r="G8" i="12" a="1"/>
  <c r="C12" i="39" a="1"/>
  <c r="O6" i="1" a="1"/>
  <c r="C3" i="1" a="1"/>
  <c r="H10" i="60" a="1"/>
  <c r="I8" i="52" a="1"/>
  <c r="D2" i="5" a="1"/>
  <c r="E8" i="28" a="1"/>
  <c r="H7" i="42" a="1"/>
  <c r="B13" i="56" a="1"/>
  <c r="D16" i="49" a="1"/>
  <c r="P20" i="12" a="1"/>
  <c r="G13" i="1" a="1"/>
  <c r="P8" i="12" a="1"/>
  <c r="L20" i="12" a="1"/>
  <c r="F4" i="1" a="1"/>
  <c r="F4" i="9" a="1"/>
  <c r="J2" i="46" a="1"/>
  <c r="S14" i="56" a="1"/>
  <c r="P14" i="12" a="1"/>
  <c r="L4" i="12" a="1"/>
  <c r="E6" i="42" a="1"/>
  <c r="F19" i="1" a="1"/>
  <c r="V5" i="56" a="1"/>
  <c r="L3" i="12" a="1"/>
  <c r="M11" i="28" a="1"/>
  <c r="D10" i="28" a="1"/>
  <c r="J12" i="56" a="1"/>
  <c r="G4" i="1" a="1"/>
  <c r="G11" i="56" a="1"/>
  <c r="D8" i="28" a="1"/>
  <c r="G6" i="42" a="1"/>
  <c r="E6" i="60" a="1"/>
  <c r="L6" i="1" a="1"/>
  <c r="N11" i="12" a="1"/>
  <c r="B6" i="12" a="1"/>
  <c r="K6" i="28" a="1"/>
  <c r="J5" i="52" a="1"/>
  <c r="L5" i="28" a="1"/>
  <c r="A4" i="9" a="1"/>
  <c r="F6" i="42" a="1"/>
  <c r="G15" i="43" a="1"/>
  <c r="D6" i="42" a="1"/>
  <c r="E10" i="52" a="1"/>
  <c r="T8" i="56" a="1"/>
  <c r="Q23" i="12" a="1"/>
  <c r="S3" i="12" a="1"/>
  <c r="B9" i="12" a="1"/>
  <c r="K13" i="28" a="1"/>
  <c r="L15" i="1" a="1"/>
  <c r="F7" i="1" a="1"/>
  <c r="D11" i="49" a="1"/>
  <c r="G18" i="12" a="1"/>
  <c r="L11" i="28" a="1"/>
  <c r="K2" i="18" a="1"/>
  <c r="Q3" i="12" a="1"/>
  <c r="G6" i="28" a="1"/>
  <c r="H5" i="60" a="1"/>
  <c r="J2" i="18" a="1"/>
  <c r="D10" i="52" a="1"/>
  <c r="V7" i="56" a="1"/>
  <c r="S22" i="12" a="1"/>
  <c r="O11" i="12" a="1"/>
  <c r="P3" i="12" a="1"/>
  <c r="E11" i="28" a="1"/>
  <c r="F2" i="18" a="1"/>
  <c r="H14" i="39" a="1"/>
  <c r="N20" i="12" a="1"/>
  <c r="R8" i="12" a="1"/>
  <c r="M10" i="28" a="1"/>
  <c r="R22" i="12" a="1"/>
  <c r="O3" i="12" a="1"/>
  <c r="H5" i="28" a="1"/>
  <c r="G5" i="60" a="1"/>
  <c r="C5" i="43" a="1"/>
  <c r="I2" i="18" a="1"/>
  <c r="J9" i="52" a="1"/>
  <c r="S6" i="56" a="1"/>
  <c r="M3" i="12" a="1"/>
  <c r="C13" i="55" a="1"/>
  <c r="F5" i="60" a="1"/>
  <c r="C12" i="55" a="1"/>
  <c r="C11" i="55" a="1"/>
  <c r="E6" i="52" a="1"/>
  <c r="E6" i="52" l="1"/>
  <c r="C11" i="55"/>
  <c r="C12" i="55"/>
  <c r="F5" i="60"/>
  <c r="C13" i="55"/>
  <c r="M3" i="12"/>
  <c r="S6" i="56"/>
  <c r="J9" i="52"/>
  <c r="I2" i="18"/>
  <c r="C5" i="43"/>
  <c r="G5" i="60"/>
  <c r="H5" i="28"/>
  <c r="O3" i="12"/>
  <c r="R22" i="12"/>
  <c r="M10" i="28"/>
  <c r="R8" i="12"/>
  <c r="N20" i="12"/>
  <c r="H14" i="39"/>
  <c r="F2" i="18"/>
  <c r="E11" i="28"/>
  <c r="P3" i="12"/>
  <c r="O11" i="12"/>
  <c r="S22" i="12"/>
  <c r="V7" i="56"/>
  <c r="D10" i="52"/>
  <c r="J2" i="18"/>
  <c r="H5" i="60"/>
  <c r="G6" i="28"/>
  <c r="Q3" i="12"/>
  <c r="K2" i="18"/>
  <c r="L11" i="28"/>
  <c r="G18" i="12"/>
  <c r="D11" i="49"/>
  <c r="F7" i="1"/>
  <c r="L15" i="1"/>
  <c r="K13" i="28"/>
  <c r="B9" i="12"/>
  <c r="S3" i="12"/>
  <c r="Q23" i="12"/>
  <c r="T8" i="56"/>
  <c r="E10" i="52"/>
  <c r="D6" i="42"/>
  <c r="G15" i="43"/>
  <c r="F6" i="42"/>
  <c r="A13" i="9"/>
  <c r="A12" i="9"/>
  <c r="A11" i="9"/>
  <c r="A10" i="9"/>
  <c r="A9" i="9"/>
  <c r="A8" i="9"/>
  <c r="A7" i="9"/>
  <c r="A6" i="9"/>
  <c r="A4" i="9"/>
  <c r="A5" i="9"/>
  <c r="L5" i="28"/>
  <c r="J5" i="52"/>
  <c r="K6" i="28"/>
  <c r="B6" i="12"/>
  <c r="N11" i="12"/>
  <c r="L6" i="1"/>
  <c r="E6" i="60"/>
  <c r="G6" i="42"/>
  <c r="D8" i="28"/>
  <c r="G11" i="56"/>
  <c r="G4" i="1"/>
  <c r="J12" i="56"/>
  <c r="D10" i="28"/>
  <c r="M11" i="28"/>
  <c r="L3" i="12"/>
  <c r="V5" i="56"/>
  <c r="F19" i="1"/>
  <c r="E6" i="42"/>
  <c r="L4" i="12"/>
  <c r="P14" i="12"/>
  <c r="S14" i="56"/>
  <c r="J2" i="46"/>
  <c r="F4" i="9"/>
  <c r="F4" i="1"/>
  <c r="L20" i="12"/>
  <c r="P8" i="12"/>
  <c r="G13" i="1"/>
  <c r="P20" i="12"/>
  <c r="D16" i="49"/>
  <c r="B13" i="56"/>
  <c r="H7" i="42"/>
  <c r="E8" i="28"/>
  <c r="D2" i="5"/>
  <c r="I8" i="52"/>
  <c r="H10" i="60"/>
  <c r="C3" i="1"/>
  <c r="O6" i="1"/>
  <c r="C12" i="39"/>
  <c r="G8" i="12"/>
  <c r="L6" i="12"/>
  <c r="B14" i="56"/>
  <c r="V15" i="56"/>
  <c r="K2" i="46"/>
  <c r="O8" i="12"/>
  <c r="L12" i="1"/>
  <c r="M20" i="12"/>
  <c r="N9" i="12"/>
  <c r="J6" i="1"/>
  <c r="K12" i="28"/>
  <c r="K6" i="1"/>
  <c r="R11" i="12"/>
  <c r="C10" i="39"/>
  <c r="H7" i="28"/>
  <c r="C13" i="39"/>
  <c r="E9" i="12"/>
  <c r="R14" i="12"/>
  <c r="I7" i="42"/>
  <c r="AB4" i="9"/>
  <c r="D6" i="52"/>
  <c r="E9" i="28"/>
  <c r="C9" i="52"/>
  <c r="Q11" i="12"/>
  <c r="A2" i="46"/>
  <c r="F7" i="12"/>
  <c r="D15" i="49"/>
  <c r="C11" i="39"/>
  <c r="F3" i="1"/>
  <c r="T16" i="56"/>
  <c r="L2" i="46"/>
  <c r="F10" i="42"/>
  <c r="U5" i="56"/>
  <c r="M11" i="12"/>
  <c r="D10" i="49"/>
  <c r="M12" i="28"/>
  <c r="H6" i="28"/>
  <c r="G9" i="1"/>
  <c r="D13" i="49"/>
  <c r="H2" i="46"/>
  <c r="G8" i="28"/>
  <c r="E8" i="12"/>
  <c r="K9" i="1"/>
  <c r="K3" i="28"/>
  <c r="C26" i="56"/>
  <c r="G11" i="60"/>
  <c r="G3" i="1"/>
  <c r="F10" i="1"/>
  <c r="O8" i="1"/>
  <c r="C14" i="39"/>
  <c r="F9" i="12"/>
  <c r="S14" i="12"/>
  <c r="G10" i="42"/>
  <c r="C18" i="40"/>
  <c r="C9" i="55"/>
  <c r="D9" i="28"/>
  <c r="H2" i="18"/>
  <c r="B7" i="12"/>
  <c r="F6" i="60"/>
  <c r="C9" i="39"/>
  <c r="U8" i="56"/>
  <c r="H6" i="60"/>
  <c r="G6" i="12"/>
  <c r="E10" i="60"/>
  <c r="B12" i="56"/>
  <c r="F10" i="60"/>
  <c r="J9" i="1"/>
  <c r="Q14" i="12"/>
  <c r="O7" i="1"/>
  <c r="H11" i="60"/>
  <c r="H3" i="1"/>
  <c r="G10" i="1"/>
  <c r="L3" i="28"/>
  <c r="F3" i="39"/>
  <c r="N6" i="12"/>
  <c r="H5" i="56"/>
  <c r="U16" i="56"/>
  <c r="AL4" i="9"/>
  <c r="M5" i="28"/>
  <c r="F13" i="1"/>
  <c r="E18" i="12"/>
  <c r="E10" i="28"/>
  <c r="B5" i="12"/>
  <c r="Q22" i="12"/>
  <c r="J15" i="1"/>
  <c r="S23" i="12"/>
  <c r="C4" i="13"/>
  <c r="V13" i="56"/>
  <c r="G7" i="12"/>
  <c r="G10" i="60"/>
  <c r="D23" i="1"/>
  <c r="F11" i="60"/>
  <c r="M6" i="12"/>
  <c r="I3" i="1"/>
  <c r="F12" i="1"/>
  <c r="O9" i="1"/>
  <c r="M3" i="28"/>
  <c r="H6" i="39"/>
  <c r="G9" i="12"/>
  <c r="K15" i="12"/>
  <c r="I4" i="52"/>
  <c r="N2" i="7"/>
  <c r="H11" i="42"/>
  <c r="F18" i="12"/>
  <c r="J15" i="42"/>
  <c r="H13" i="1"/>
  <c r="J8" i="52"/>
  <c r="D12" i="28"/>
  <c r="K15" i="1"/>
  <c r="B8" i="12"/>
  <c r="B10" i="12"/>
  <c r="H15" i="43"/>
  <c r="G7" i="28"/>
  <c r="H9" i="1"/>
  <c r="S5" i="12"/>
  <c r="Y15" i="12" s="1" a="1"/>
  <c r="Y15" i="12" s="1"/>
  <c r="S13" i="12"/>
  <c r="I9" i="1"/>
  <c r="E11" i="60"/>
  <c r="L9" i="1"/>
  <c r="E12" i="60"/>
  <c r="J3" i="1"/>
  <c r="G12" i="1"/>
  <c r="O10" i="1"/>
  <c r="H7" i="39"/>
  <c r="E15" i="12"/>
  <c r="O6" i="12"/>
  <c r="I5" i="56"/>
  <c r="AM4" i="9"/>
  <c r="G15" i="12"/>
  <c r="H12" i="39"/>
  <c r="I15" i="42"/>
  <c r="H13" i="56"/>
  <c r="M9" i="12"/>
  <c r="O20" i="12"/>
  <c r="E5" i="60"/>
  <c r="K3" i="12"/>
  <c r="C4" i="43"/>
  <c r="L12" i="28"/>
  <c r="K4" i="12"/>
  <c r="D12" i="49"/>
  <c r="J12" i="52"/>
  <c r="D14" i="49"/>
  <c r="O5" i="1"/>
  <c r="K6" i="12"/>
  <c r="K3" i="1"/>
  <c r="H12" i="1"/>
  <c r="O11" i="1"/>
  <c r="K4" i="28"/>
  <c r="H8" i="39"/>
  <c r="M8" i="12"/>
  <c r="I10" i="56"/>
  <c r="J4" i="52"/>
  <c r="A2" i="5"/>
  <c r="I11" i="42"/>
  <c r="K12" i="1"/>
  <c r="H13" i="39"/>
  <c r="C10" i="55"/>
  <c r="K11" i="28"/>
  <c r="S8" i="12"/>
  <c r="Y12" i="12" s="1" a="1"/>
  <c r="Y12" i="12" s="1"/>
  <c r="I6" i="1"/>
  <c r="D11" i="28"/>
  <c r="I13" i="56"/>
  <c r="I15" i="1"/>
  <c r="G6" i="60"/>
  <c r="U13" i="56"/>
  <c r="G19" i="1"/>
  <c r="F12" i="60"/>
  <c r="L3" i="1"/>
  <c r="I12" i="1"/>
  <c r="O12" i="1"/>
  <c r="M4" i="28"/>
  <c r="H10" i="39"/>
  <c r="F15" i="12"/>
  <c r="M19" i="12"/>
  <c r="C5" i="52"/>
  <c r="AN4" i="9"/>
  <c r="H6" i="1"/>
  <c r="J12" i="1"/>
  <c r="E7" i="28"/>
  <c r="K5" i="28"/>
  <c r="H11" i="39"/>
  <c r="N8" i="12"/>
  <c r="N19" i="12"/>
  <c r="J10" i="56"/>
  <c r="B2" i="5"/>
  <c r="J11" i="42"/>
  <c r="M15" i="12"/>
  <c r="J7" i="42"/>
  <c r="C7" i="43"/>
  <c r="B2" i="38"/>
  <c r="F7" i="60"/>
  <c r="G12" i="60"/>
  <c r="C14" i="55"/>
  <c r="I13" i="1"/>
  <c r="H4" i="9"/>
  <c r="C15" i="55"/>
  <c r="O15" i="1"/>
  <c r="Q6" i="12"/>
  <c r="P9" i="12"/>
  <c r="N15" i="12"/>
  <c r="R20" i="12"/>
  <c r="G2" i="5"/>
  <c r="I3" i="42"/>
  <c r="G5" i="43"/>
  <c r="C2" i="38"/>
  <c r="H10" i="1"/>
  <c r="E19" i="12"/>
  <c r="S11" i="12"/>
  <c r="C5" i="13"/>
  <c r="J5" i="56"/>
  <c r="J13" i="56"/>
  <c r="V8" i="56"/>
  <c r="V16" i="56"/>
  <c r="F6" i="52"/>
  <c r="F10" i="52"/>
  <c r="H3" i="42"/>
  <c r="C5" i="1"/>
  <c r="H4" i="1"/>
  <c r="G7" i="1"/>
  <c r="I10" i="1"/>
  <c r="H19" i="1"/>
  <c r="O14" i="1"/>
  <c r="E12" i="28"/>
  <c r="G9" i="28"/>
  <c r="L13" i="28"/>
  <c r="F5" i="39"/>
  <c r="J2" i="39"/>
  <c r="B13" i="12"/>
  <c r="E10" i="12"/>
  <c r="M4" i="12"/>
  <c r="P6" i="12"/>
  <c r="K12" i="12"/>
  <c r="N2" i="46"/>
  <c r="F2" i="5"/>
  <c r="E12" i="42"/>
  <c r="G7" i="60"/>
  <c r="C6" i="1"/>
  <c r="H7" i="1"/>
  <c r="J10" i="1"/>
  <c r="I19" i="1"/>
  <c r="M6" i="28"/>
  <c r="F7" i="39"/>
  <c r="B14" i="12"/>
  <c r="F19" i="12"/>
  <c r="H7" i="60"/>
  <c r="H12" i="60"/>
  <c r="C7" i="1"/>
  <c r="I4" i="1"/>
  <c r="K10" i="1"/>
  <c r="J13" i="1"/>
  <c r="D3" i="28"/>
  <c r="D13" i="28"/>
  <c r="H9" i="28"/>
  <c r="M13" i="28"/>
  <c r="F8" i="39"/>
  <c r="J3" i="39"/>
  <c r="B15" i="12"/>
  <c r="F10" i="12"/>
  <c r="E20" i="12"/>
  <c r="N4" i="12"/>
  <c r="L12" i="12"/>
  <c r="C7" i="13"/>
  <c r="H6" i="56"/>
  <c r="H14" i="56"/>
  <c r="T9" i="56"/>
  <c r="T17" i="56"/>
  <c r="H6" i="52"/>
  <c r="H10" i="52"/>
  <c r="A2" i="47"/>
  <c r="D8" i="42"/>
  <c r="F12" i="42"/>
  <c r="I4" i="9"/>
  <c r="D12" i="42"/>
  <c r="B11" i="12"/>
  <c r="K7" i="28"/>
  <c r="R12" i="12"/>
  <c r="J4" i="9"/>
  <c r="C6" i="40"/>
  <c r="C17" i="55"/>
  <c r="C8" i="1"/>
  <c r="K19" i="1"/>
  <c r="E13" i="28"/>
  <c r="G11" i="28"/>
  <c r="K14" i="28"/>
  <c r="F9" i="39"/>
  <c r="J4" i="39"/>
  <c r="G3" i="12"/>
  <c r="G10" i="12"/>
  <c r="G20" i="12"/>
  <c r="O4" i="12"/>
  <c r="K7" i="12"/>
  <c r="S12" i="12"/>
  <c r="Y10" i="12" s="1" a="1"/>
  <c r="Y10" i="12" s="1"/>
  <c r="I6" i="56"/>
  <c r="U17" i="56"/>
  <c r="I6" i="52"/>
  <c r="I10" i="52"/>
  <c r="B2" i="47"/>
  <c r="E8" i="42"/>
  <c r="C18" i="55"/>
  <c r="K7" i="1"/>
  <c r="L19" i="1"/>
  <c r="H11" i="28"/>
  <c r="L7" i="28"/>
  <c r="L14" i="28"/>
  <c r="F21" i="12"/>
  <c r="L7" i="12"/>
  <c r="R9" i="12"/>
  <c r="K21" i="12"/>
  <c r="C2" i="47"/>
  <c r="C2" i="15"/>
  <c r="H13" i="42"/>
  <c r="G6" i="43"/>
  <c r="K4" i="9"/>
  <c r="J4" i="1"/>
  <c r="J7" i="1"/>
  <c r="L10" i="1"/>
  <c r="K13" i="1"/>
  <c r="E3" i="28"/>
  <c r="P15" i="12"/>
  <c r="C8" i="13"/>
  <c r="I14" i="56"/>
  <c r="U9" i="56"/>
  <c r="E3" i="60"/>
  <c r="F8" i="60"/>
  <c r="C7" i="40"/>
  <c r="C19" i="55"/>
  <c r="C9" i="1"/>
  <c r="K4" i="1"/>
  <c r="L7" i="1"/>
  <c r="F11" i="1"/>
  <c r="L13" i="1"/>
  <c r="F20" i="1"/>
  <c r="D4" i="28"/>
  <c r="D14" i="28"/>
  <c r="G12" i="28"/>
  <c r="F10" i="39"/>
  <c r="J5" i="39"/>
  <c r="E4" i="12"/>
  <c r="E11" i="12"/>
  <c r="G21" i="12"/>
  <c r="P4" i="12"/>
  <c r="M7" i="12"/>
  <c r="K13" i="12"/>
  <c r="N18" i="12"/>
  <c r="L21" i="12"/>
  <c r="C9" i="13"/>
  <c r="J6" i="56"/>
  <c r="J14" i="56"/>
  <c r="V9" i="56"/>
  <c r="V17" i="56"/>
  <c r="J6" i="52"/>
  <c r="J10" i="52"/>
  <c r="D4" i="42"/>
  <c r="F8" i="42"/>
  <c r="N2" i="38"/>
  <c r="H8" i="28"/>
  <c r="F20" i="12"/>
  <c r="O15" i="12"/>
  <c r="J3" i="42"/>
  <c r="H12" i="28"/>
  <c r="S10" i="56"/>
  <c r="C3" i="52"/>
  <c r="C7" i="52"/>
  <c r="C11" i="52"/>
  <c r="L2" i="47"/>
  <c r="D2" i="15"/>
  <c r="G8" i="42"/>
  <c r="I13" i="42"/>
  <c r="L4" i="9"/>
  <c r="L15" i="28"/>
  <c r="F11" i="39"/>
  <c r="F4" i="12"/>
  <c r="F11" i="12"/>
  <c r="E22" i="12"/>
  <c r="Q4" i="12"/>
  <c r="P7" i="12"/>
  <c r="L13" i="12"/>
  <c r="S21" i="12"/>
  <c r="J11" i="52"/>
  <c r="E4" i="42"/>
  <c r="G7" i="43"/>
  <c r="J4" i="48"/>
  <c r="J7" i="39"/>
  <c r="G11" i="12"/>
  <c r="K10" i="12"/>
  <c r="P18" i="12"/>
  <c r="K22" i="12"/>
  <c r="B5" i="56"/>
  <c r="J8" i="56"/>
  <c r="J16" i="56"/>
  <c r="V11" i="56"/>
  <c r="J3" i="52"/>
  <c r="J7" i="52"/>
  <c r="M2" i="47"/>
  <c r="H9" i="42"/>
  <c r="J13" i="42"/>
  <c r="O13" i="1"/>
  <c r="B2" i="15"/>
  <c r="F8" i="1"/>
  <c r="G20" i="1"/>
  <c r="M14" i="28"/>
  <c r="J6" i="39"/>
  <c r="O7" i="12"/>
  <c r="C10" i="13"/>
  <c r="G7" i="56"/>
  <c r="H20" i="1"/>
  <c r="E4" i="28"/>
  <c r="E14" i="28"/>
  <c r="G13" i="28"/>
  <c r="H3" i="60"/>
  <c r="H8" i="1"/>
  <c r="G14" i="1"/>
  <c r="K8" i="28"/>
  <c r="D5" i="49"/>
  <c r="C11" i="1"/>
  <c r="I8" i="1"/>
  <c r="H11" i="1"/>
  <c r="J20" i="1"/>
  <c r="D5" i="28"/>
  <c r="H13" i="28"/>
  <c r="C2" i="39"/>
  <c r="F12" i="39"/>
  <c r="J9" i="39"/>
  <c r="G4" i="12"/>
  <c r="F22" i="12"/>
  <c r="R4" i="12"/>
  <c r="Q7" i="12"/>
  <c r="M13" i="12"/>
  <c r="D12" i="52"/>
  <c r="F2" i="15"/>
  <c r="F4" i="42"/>
  <c r="H7" i="43"/>
  <c r="V4" i="9"/>
  <c r="J5" i="48"/>
  <c r="E2" i="5"/>
  <c r="C4" i="1"/>
  <c r="F4" i="39"/>
  <c r="O9" i="12"/>
  <c r="I7" i="1"/>
  <c r="H10" i="28"/>
  <c r="D2" i="38"/>
  <c r="M7" i="28"/>
  <c r="S9" i="12"/>
  <c r="O18" i="12"/>
  <c r="G15" i="56"/>
  <c r="G3" i="60"/>
  <c r="G11" i="1"/>
  <c r="C9" i="40"/>
  <c r="D4" i="49"/>
  <c r="F5" i="1"/>
  <c r="I20" i="1"/>
  <c r="D15" i="28"/>
  <c r="M15" i="28"/>
  <c r="H8" i="60"/>
  <c r="E4" i="60"/>
  <c r="C10" i="40"/>
  <c r="G5" i="1"/>
  <c r="H14" i="1"/>
  <c r="E15" i="28"/>
  <c r="L8" i="28"/>
  <c r="C4" i="39"/>
  <c r="J10" i="39"/>
  <c r="E12" i="12"/>
  <c r="S4" i="12"/>
  <c r="Y13" i="12" s="1" a="1"/>
  <c r="Y13" i="12" s="1"/>
  <c r="L10" i="12"/>
  <c r="Q18" i="12"/>
  <c r="L22" i="12"/>
  <c r="B7" i="56"/>
  <c r="H9" i="56"/>
  <c r="H17" i="56"/>
  <c r="T12" i="56"/>
  <c r="D4" i="52"/>
  <c r="D8" i="52"/>
  <c r="N2" i="47"/>
  <c r="G4" i="42"/>
  <c r="I9" i="42"/>
  <c r="C21" i="55"/>
  <c r="C10" i="1"/>
  <c r="G8" i="1"/>
  <c r="D6" i="49"/>
  <c r="C12" i="1"/>
  <c r="H5" i="1"/>
  <c r="J8" i="1"/>
  <c r="I11" i="1"/>
  <c r="I14" i="1"/>
  <c r="K20" i="1"/>
  <c r="E5" i="28"/>
  <c r="E18" i="28"/>
  <c r="G14" i="28"/>
  <c r="C5" i="39"/>
  <c r="F13" i="39"/>
  <c r="J11" i="39"/>
  <c r="E5" i="12"/>
  <c r="G12" i="12"/>
  <c r="G22" i="12"/>
  <c r="R7" i="12"/>
  <c r="M10" i="12"/>
  <c r="E12" i="52"/>
  <c r="G2" i="15"/>
  <c r="D14" i="42"/>
  <c r="G8" i="43"/>
  <c r="W4" i="9"/>
  <c r="J6" i="48"/>
  <c r="L6" i="28"/>
  <c r="J19" i="1"/>
  <c r="S20" i="12"/>
  <c r="G12" i="42"/>
  <c r="C20" i="55"/>
  <c r="K5" i="12"/>
  <c r="O13" i="12"/>
  <c r="R18" i="12"/>
  <c r="M22" i="12"/>
  <c r="B8" i="56"/>
  <c r="I9" i="56"/>
  <c r="I17" i="56"/>
  <c r="U12" i="56"/>
  <c r="E4" i="52"/>
  <c r="E8" i="52"/>
  <c r="H5" i="42"/>
  <c r="J9" i="42"/>
  <c r="H8" i="43"/>
  <c r="J7" i="48"/>
  <c r="C6" i="43"/>
  <c r="E7" i="60"/>
  <c r="F3" i="12"/>
  <c r="G8" i="60"/>
  <c r="C8" i="40"/>
  <c r="L4" i="1"/>
  <c r="F14" i="1"/>
  <c r="E9" i="60"/>
  <c r="C11" i="40"/>
  <c r="F4" i="60"/>
  <c r="C12" i="40"/>
  <c r="I5" i="1"/>
  <c r="J14" i="1"/>
  <c r="G3" i="28"/>
  <c r="M8" i="28"/>
  <c r="J13" i="39"/>
  <c r="E13" i="12"/>
  <c r="F9" i="60"/>
  <c r="C13" i="40"/>
  <c r="D7" i="49"/>
  <c r="C13" i="1"/>
  <c r="J5" i="1"/>
  <c r="K8" i="1"/>
  <c r="J11" i="1"/>
  <c r="K14" i="1"/>
  <c r="L20" i="1"/>
  <c r="D6" i="28"/>
  <c r="H3" i="28"/>
  <c r="H14" i="28"/>
  <c r="K9" i="28"/>
  <c r="C6" i="39"/>
  <c r="F14" i="39"/>
  <c r="J14" i="39"/>
  <c r="F5" i="12"/>
  <c r="F13" i="12"/>
  <c r="E23" i="12"/>
  <c r="M5" i="12"/>
  <c r="S7" i="12"/>
  <c r="N10" i="12"/>
  <c r="F12" i="52"/>
  <c r="B2" i="7"/>
  <c r="H2" i="15"/>
  <c r="E14" i="42"/>
  <c r="X4" i="9"/>
  <c r="R6" i="12"/>
  <c r="H5" i="43"/>
  <c r="E8" i="60"/>
  <c r="F3" i="60"/>
  <c r="C14" i="40"/>
  <c r="J17" i="56"/>
  <c r="V12" i="56"/>
  <c r="F4" i="52"/>
  <c r="F8" i="52"/>
  <c r="I2" i="15"/>
  <c r="I5" i="42"/>
  <c r="G13" i="43"/>
  <c r="J8" i="48"/>
  <c r="G4" i="9"/>
  <c r="C16" i="55"/>
  <c r="Q9" i="12"/>
  <c r="K5" i="1"/>
  <c r="L14" i="1"/>
  <c r="E14" i="12"/>
  <c r="N5" i="12"/>
  <c r="P10" i="12"/>
  <c r="P13" i="12"/>
  <c r="N22" i="12"/>
  <c r="B9" i="56"/>
  <c r="J9" i="56"/>
  <c r="G9" i="60"/>
  <c r="C15" i="40"/>
  <c r="D8" i="49"/>
  <c r="L5" i="1"/>
  <c r="L9" i="28"/>
  <c r="C7" i="39"/>
  <c r="B3" i="12"/>
  <c r="F23" i="12"/>
  <c r="K8" i="12"/>
  <c r="Q10" i="12"/>
  <c r="K19" i="12"/>
  <c r="C2" i="7"/>
  <c r="D10" i="42"/>
  <c r="F14" i="42"/>
  <c r="Y4" i="9"/>
  <c r="H4" i="28"/>
  <c r="H2" i="39"/>
  <c r="F14" i="12"/>
  <c r="H9" i="60"/>
  <c r="C16" i="40"/>
  <c r="F6" i="1"/>
  <c r="G15" i="1"/>
  <c r="K10" i="28"/>
  <c r="H3" i="39"/>
  <c r="Q5" i="12"/>
  <c r="K11" i="12"/>
  <c r="Q13" i="12"/>
  <c r="H12" i="52"/>
  <c r="D2" i="18"/>
  <c r="J5" i="42"/>
  <c r="G14" i="42"/>
  <c r="H13" i="43"/>
  <c r="Z4" i="9"/>
  <c r="J9" i="48"/>
  <c r="A2" i="38"/>
  <c r="G4" i="60"/>
  <c r="G4" i="28"/>
  <c r="C14" i="1"/>
  <c r="L8" i="1"/>
  <c r="K11" i="1"/>
  <c r="F15" i="1"/>
  <c r="O3" i="1"/>
  <c r="E6" i="28"/>
  <c r="G15" i="28"/>
  <c r="G5" i="12"/>
  <c r="O5" i="12"/>
  <c r="H4" i="60"/>
  <c r="C15" i="1"/>
  <c r="L11" i="1"/>
  <c r="D7" i="28"/>
  <c r="G5" i="28"/>
  <c r="C17" i="40"/>
  <c r="D9" i="49"/>
  <c r="G6" i="1"/>
  <c r="F9" i="1"/>
  <c r="H15" i="1"/>
  <c r="O4" i="1"/>
  <c r="H15" i="28"/>
  <c r="L10" i="28"/>
  <c r="C8" i="39"/>
  <c r="B4" i="12"/>
  <c r="E6" i="12"/>
  <c r="G14" i="12"/>
  <c r="G23" i="12"/>
  <c r="R5" i="12"/>
  <c r="L8" i="12"/>
  <c r="L11" i="12"/>
  <c r="R13" i="12"/>
  <c r="L19" i="12"/>
  <c r="P22" i="12"/>
  <c r="B11" i="56"/>
  <c r="H10" i="56"/>
  <c r="T5" i="56"/>
  <c r="T13" i="56"/>
  <c r="H4" i="52"/>
  <c r="H8" i="52"/>
  <c r="D2" i="7"/>
  <c r="E10" i="42"/>
  <c r="H4" i="39"/>
  <c r="F6" i="12"/>
  <c r="I12" i="52"/>
  <c r="E2" i="7"/>
  <c r="E2" i="18"/>
  <c r="H15" i="42"/>
  <c r="G14" i="43"/>
  <c r="AA4" i="9"/>
  <c r="P11" i="12"/>
  <c r="N13" i="12"/>
  <c r="L15" i="12"/>
  <c r="S18" i="12"/>
  <c r="Q20" i="12"/>
  <c r="O22" i="12"/>
  <c r="C6" i="13"/>
  <c r="B10" i="56"/>
  <c r="G6" i="56"/>
  <c r="G10" i="56"/>
  <c r="G14" i="56"/>
  <c r="S5" i="56"/>
  <c r="S9" i="56"/>
  <c r="S13" i="56"/>
  <c r="S17" i="56"/>
  <c r="G4" i="52"/>
  <c r="G6" i="52"/>
  <c r="G8" i="52"/>
  <c r="G10" i="52"/>
  <c r="G12" i="52"/>
  <c r="M2" i="46"/>
  <c r="A2" i="7"/>
  <c r="C2" i="5"/>
  <c r="E2" i="15"/>
  <c r="G2" i="18"/>
  <c r="C4" i="42"/>
  <c r="C6" i="42"/>
  <c r="C8" i="42"/>
  <c r="C10" i="42"/>
  <c r="C12" i="42"/>
  <c r="C14" i="42"/>
  <c r="C3" i="43"/>
  <c r="H6" i="43"/>
  <c r="H14" i="43"/>
  <c r="M4" i="9"/>
  <c r="AC4" i="9"/>
  <c r="E2" i="38"/>
  <c r="J10" i="48"/>
  <c r="N4" i="9"/>
  <c r="AD4" i="9"/>
  <c r="F2" i="38"/>
  <c r="J11" i="48"/>
  <c r="Q15" i="12"/>
  <c r="O19" i="12"/>
  <c r="M21" i="12"/>
  <c r="K23" i="12"/>
  <c r="H7" i="56"/>
  <c r="H11" i="56"/>
  <c r="H15" i="56"/>
  <c r="T6" i="56"/>
  <c r="T10" i="56"/>
  <c r="T14" i="56"/>
  <c r="D3" i="52"/>
  <c r="D5" i="52"/>
  <c r="D7" i="52"/>
  <c r="D9" i="52"/>
  <c r="D11" i="52"/>
  <c r="B2" i="46"/>
  <c r="D2" i="47"/>
  <c r="F2" i="7"/>
  <c r="H2" i="5"/>
  <c r="J2" i="15"/>
  <c r="L2" i="18"/>
  <c r="H4" i="42"/>
  <c r="H6" i="42"/>
  <c r="H8" i="42"/>
  <c r="H10" i="42"/>
  <c r="H12" i="42"/>
  <c r="H14" i="42"/>
  <c r="C8" i="43"/>
  <c r="G9" i="43"/>
  <c r="C11" i="13"/>
  <c r="B15" i="56"/>
  <c r="O4" i="9"/>
  <c r="AE4" i="9"/>
  <c r="G2" i="38"/>
  <c r="J12" i="48"/>
  <c r="G10" i="28"/>
  <c r="L4" i="28"/>
  <c r="K15" i="28"/>
  <c r="H5" i="39"/>
  <c r="B12" i="12"/>
  <c r="F12" i="12"/>
  <c r="G19" i="12"/>
  <c r="N3" i="12"/>
  <c r="L5" i="12"/>
  <c r="O10" i="12"/>
  <c r="R15" i="12"/>
  <c r="N21" i="12"/>
  <c r="U10" i="56"/>
  <c r="E3" i="52"/>
  <c r="E9" i="52"/>
  <c r="C2" i="46"/>
  <c r="I2" i="5"/>
  <c r="I6" i="42"/>
  <c r="I8" i="42"/>
  <c r="I10" i="42"/>
  <c r="I12" i="42"/>
  <c r="I14" i="42"/>
  <c r="C9" i="43"/>
  <c r="H9" i="43"/>
  <c r="D18" i="28"/>
  <c r="M9" i="28"/>
  <c r="F2" i="39"/>
  <c r="J8" i="39"/>
  <c r="E7" i="12"/>
  <c r="S6" i="12"/>
  <c r="Q8" i="12"/>
  <c r="M12" i="12"/>
  <c r="K14" i="12"/>
  <c r="P19" i="12"/>
  <c r="L23" i="12"/>
  <c r="C12" i="13"/>
  <c r="B16" i="56"/>
  <c r="I7" i="56"/>
  <c r="I11" i="56"/>
  <c r="I15" i="56"/>
  <c r="U6" i="56"/>
  <c r="U14" i="56"/>
  <c r="E5" i="52"/>
  <c r="E7" i="52"/>
  <c r="E11" i="52"/>
  <c r="E2" i="47"/>
  <c r="G2" i="7"/>
  <c r="K2" i="15"/>
  <c r="M2" i="18"/>
  <c r="I4" i="42"/>
  <c r="P4" i="9"/>
  <c r="AF4" i="9"/>
  <c r="H2" i="38"/>
  <c r="J13" i="48"/>
  <c r="N12" i="12"/>
  <c r="L14" i="12"/>
  <c r="S15" i="12"/>
  <c r="Q19" i="12"/>
  <c r="O21" i="12"/>
  <c r="M23" i="12"/>
  <c r="C13" i="13"/>
  <c r="B17" i="56"/>
  <c r="J11" i="56"/>
  <c r="V14" i="56"/>
  <c r="F5" i="52"/>
  <c r="F7" i="52"/>
  <c r="F11" i="52"/>
  <c r="D2" i="46"/>
  <c r="F2" i="47"/>
  <c r="H2" i="7"/>
  <c r="J2" i="5"/>
  <c r="L2" i="15"/>
  <c r="N2" i="18"/>
  <c r="J4" i="42"/>
  <c r="J6" i="42"/>
  <c r="J8" i="42"/>
  <c r="J10" i="42"/>
  <c r="J12" i="42"/>
  <c r="J14" i="42"/>
  <c r="C10" i="43"/>
  <c r="G10" i="43"/>
  <c r="J7" i="56"/>
  <c r="J15" i="56"/>
  <c r="V6" i="56"/>
  <c r="V10" i="56"/>
  <c r="F3" i="52"/>
  <c r="F9" i="52"/>
  <c r="Q4" i="9"/>
  <c r="AG4" i="9"/>
  <c r="I2" i="38"/>
  <c r="J14" i="48"/>
  <c r="O12" i="12"/>
  <c r="M14" i="12"/>
  <c r="K18" i="12"/>
  <c r="R19" i="12"/>
  <c r="N23" i="12"/>
  <c r="G2" i="47"/>
  <c r="I2" i="7"/>
  <c r="K2" i="5"/>
  <c r="M2" i="15"/>
  <c r="C3" i="42"/>
  <c r="C5" i="42"/>
  <c r="C7" i="42"/>
  <c r="C9" i="42"/>
  <c r="C11" i="42"/>
  <c r="C13" i="42"/>
  <c r="C15" i="42"/>
  <c r="C11" i="43"/>
  <c r="H10" i="43"/>
  <c r="P21" i="12"/>
  <c r="C14" i="13"/>
  <c r="C23" i="56"/>
  <c r="G8" i="56"/>
  <c r="G12" i="56"/>
  <c r="G16" i="56"/>
  <c r="S7" i="56"/>
  <c r="S11" i="56"/>
  <c r="S15" i="56"/>
  <c r="G3" i="52"/>
  <c r="G5" i="52"/>
  <c r="G7" i="52"/>
  <c r="G9" i="52"/>
  <c r="G11" i="52"/>
  <c r="E2" i="46"/>
  <c r="B4" i="9"/>
  <c r="R4" i="9"/>
  <c r="AH4" i="9"/>
  <c r="J2" i="38"/>
  <c r="J15" i="48"/>
  <c r="T15" i="56"/>
  <c r="H3" i="52"/>
  <c r="H5" i="52"/>
  <c r="H7" i="52"/>
  <c r="H9" i="52"/>
  <c r="H11" i="52"/>
  <c r="F2" i="46"/>
  <c r="H2" i="47"/>
  <c r="J2" i="7"/>
  <c r="L2" i="5"/>
  <c r="N2" i="15"/>
  <c r="D3" i="42"/>
  <c r="D5" i="42"/>
  <c r="D7" i="42"/>
  <c r="D9" i="42"/>
  <c r="D11" i="42"/>
  <c r="D13" i="42"/>
  <c r="D15" i="42"/>
  <c r="G3" i="43"/>
  <c r="G11" i="43"/>
  <c r="K9" i="12"/>
  <c r="R10" i="12"/>
  <c r="P12" i="12"/>
  <c r="N14" i="12"/>
  <c r="L18" i="12"/>
  <c r="S19" i="12"/>
  <c r="Q21" i="12"/>
  <c r="O23" i="12"/>
  <c r="C15" i="13"/>
  <c r="C24" i="56"/>
  <c r="H8" i="56"/>
  <c r="H12" i="56"/>
  <c r="H16" i="56"/>
  <c r="T7" i="56"/>
  <c r="T11" i="56"/>
  <c r="C4" i="9"/>
  <c r="S4" i="9"/>
  <c r="AI4" i="9"/>
  <c r="K2" i="38"/>
  <c r="J16" i="48"/>
  <c r="C3" i="39"/>
  <c r="F6" i="39"/>
  <c r="J12" i="39"/>
  <c r="F8" i="12"/>
  <c r="G13" i="12"/>
  <c r="E21" i="12"/>
  <c r="P5" i="12"/>
  <c r="N7" i="12"/>
  <c r="L9" i="12"/>
  <c r="M18" i="12"/>
  <c r="I16" i="56"/>
  <c r="U7" i="56"/>
  <c r="U15" i="56"/>
  <c r="I5" i="52"/>
  <c r="I7" i="52"/>
  <c r="I9" i="52"/>
  <c r="I11" i="52"/>
  <c r="G2" i="46"/>
  <c r="I2" i="47"/>
  <c r="K2" i="7"/>
  <c r="M2" i="5"/>
  <c r="A2" i="18"/>
  <c r="E3" i="42"/>
  <c r="E5" i="42"/>
  <c r="E7" i="42"/>
  <c r="E9" i="42"/>
  <c r="E11" i="42"/>
  <c r="E13" i="42"/>
  <c r="E15" i="42"/>
  <c r="H3" i="43"/>
  <c r="H11" i="43"/>
  <c r="H9" i="39"/>
  <c r="E3" i="12"/>
  <c r="R3" i="12"/>
  <c r="S10" i="12"/>
  <c r="Q12" i="12"/>
  <c r="O14" i="12"/>
  <c r="K20" i="12"/>
  <c r="R21" i="12"/>
  <c r="P23" i="12"/>
  <c r="C16" i="13"/>
  <c r="C25" i="56"/>
  <c r="I8" i="56"/>
  <c r="I12" i="56"/>
  <c r="U11" i="56"/>
  <c r="I3" i="52"/>
  <c r="D4" i="9"/>
  <c r="T4" i="9"/>
  <c r="AJ4" i="9"/>
  <c r="L2" i="38"/>
  <c r="J19" i="48"/>
  <c r="F3" i="42"/>
  <c r="F5" i="42"/>
  <c r="F7" i="42"/>
  <c r="F9" i="42"/>
  <c r="F11" i="42"/>
  <c r="F13" i="42"/>
  <c r="F15" i="42"/>
  <c r="G4" i="43"/>
  <c r="G12" i="43"/>
  <c r="J2" i="47"/>
  <c r="L2" i="7"/>
  <c r="N2" i="5"/>
  <c r="B2" i="18"/>
  <c r="E4" i="9"/>
  <c r="U4" i="9"/>
  <c r="AK4" i="9"/>
  <c r="M2" i="38"/>
  <c r="J20" i="48"/>
  <c r="R23" i="12"/>
  <c r="B6" i="56"/>
  <c r="G5" i="56"/>
  <c r="G9" i="56"/>
  <c r="G13" i="56"/>
  <c r="G17" i="56"/>
  <c r="S8" i="56"/>
  <c r="S12" i="56"/>
  <c r="S16" i="56"/>
  <c r="C4" i="52"/>
  <c r="C6" i="52"/>
  <c r="C8" i="52"/>
  <c r="C10" i="52"/>
  <c r="C12" i="52"/>
  <c r="I2" i="46"/>
  <c r="K2" i="47"/>
  <c r="M2" i="7"/>
  <c r="A2" i="15"/>
  <c r="C2" i="18"/>
  <c r="G3" i="42"/>
  <c r="G5" i="42"/>
  <c r="G7" i="42"/>
  <c r="G9" i="42"/>
  <c r="G11" i="42"/>
  <c r="G13" i="42"/>
  <c r="G15" i="42"/>
  <c r="H4" i="43"/>
  <c r="H12" i="43"/>
  <c r="Y11" i="12" a="1"/>
  <c r="Y11" i="12" s="1"/>
  <c r="AG2" i="12"/>
  <c r="AF2" i="12"/>
  <c r="AE2" i="12"/>
  <c r="M15" i="48" a="1"/>
  <c r="M15" i="48" l="1"/>
  <c r="Y4" i="12" a="1"/>
  <c r="Y4" i="12" s="1"/>
  <c r="Y7" i="12" a="1"/>
  <c r="Y7" i="12" s="1"/>
  <c r="Y9" i="12" a="1"/>
  <c r="Y9" i="12" s="1"/>
  <c r="Y5" i="12" a="1"/>
  <c r="Y5" i="12" s="1"/>
  <c r="Y8" i="12" a="1"/>
  <c r="Y8" i="12" s="1"/>
  <c r="Y6" i="12" a="1"/>
  <c r="Y6" i="12" s="1"/>
  <c r="Y3" i="12" a="1"/>
  <c r="Y3" i="12" s="1"/>
  <c r="Y14" i="12" a="1"/>
  <c r="Y14" i="12" s="1"/>
  <c r="E31" i="8"/>
  <c r="F28" i="8"/>
  <c r="E28" i="8"/>
  <c r="E20" i="8"/>
  <c r="H16" i="8"/>
  <c r="G16" i="8"/>
  <c r="F16" i="8"/>
  <c r="E16" i="8"/>
  <c r="G12" i="8"/>
  <c r="F12" i="8"/>
  <c r="E12" i="8"/>
  <c r="L2" i="48" l="1"/>
  <c r="L1" i="48"/>
  <c r="K18" i="48" a="1"/>
  <c r="N3" i="48" a="1"/>
  <c r="L18" i="48" a="1"/>
  <c r="O3" i="48" a="1"/>
  <c r="O3" i="48" l="1"/>
  <c r="L18" i="48"/>
  <c r="N3" i="48"/>
  <c r="K18" i="48"/>
  <c r="C23" i="12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L19" i="48" a="1"/>
  <c r="L20" i="48" a="1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K19" i="48" a="1"/>
  <c r="K20" i="48" a="1"/>
  <c r="K20" i="48" l="1"/>
  <c r="K19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L20" i="48"/>
  <c r="L19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I23" i="12"/>
  <c r="E25" i="59" s="1"/>
  <c r="H23" i="12"/>
  <c r="O4" i="28"/>
  <c r="F36" i="59"/>
  <c r="F37" i="59"/>
  <c r="O3" i="28"/>
  <c r="O8" i="28"/>
  <c r="O13" i="28"/>
  <c r="O5" i="28"/>
  <c r="O15" i="28"/>
  <c r="O11" i="28"/>
  <c r="F38" i="59"/>
  <c r="O9" i="28"/>
  <c r="F35" i="59"/>
  <c r="S4" i="52"/>
  <c r="S16" i="52"/>
  <c r="S5" i="52"/>
  <c r="S9" i="52"/>
  <c r="F39" i="59"/>
  <c r="O6" i="28" l="1"/>
  <c r="O7" i="28"/>
  <c r="O10" i="28"/>
  <c r="O12" i="28"/>
  <c r="O14" i="28"/>
  <c r="S13" i="52"/>
  <c r="S3" i="52"/>
  <c r="M16" i="56"/>
  <c r="N16" i="56"/>
  <c r="L16" i="56"/>
  <c r="M12" i="56"/>
  <c r="N12" i="56"/>
  <c r="L12" i="56"/>
  <c r="M8" i="56"/>
  <c r="N8" i="56"/>
  <c r="L8" i="56"/>
  <c r="M15" i="56"/>
  <c r="N15" i="56"/>
  <c r="L15" i="56"/>
  <c r="M11" i="56"/>
  <c r="N11" i="56"/>
  <c r="L11" i="56"/>
  <c r="M7" i="56"/>
  <c r="N7" i="56"/>
  <c r="L7" i="56"/>
  <c r="M14" i="56"/>
  <c r="N14" i="56"/>
  <c r="L14" i="56"/>
  <c r="P14" i="56" s="1"/>
  <c r="M10" i="56"/>
  <c r="N10" i="56"/>
  <c r="L10" i="56"/>
  <c r="M6" i="56"/>
  <c r="N6" i="56"/>
  <c r="L6" i="56"/>
  <c r="M17" i="56"/>
  <c r="N17" i="56"/>
  <c r="L17" i="56"/>
  <c r="M13" i="56"/>
  <c r="N13" i="56"/>
  <c r="L13" i="56"/>
  <c r="M9" i="56"/>
  <c r="N9" i="56"/>
  <c r="L9" i="56"/>
  <c r="M5" i="56"/>
  <c r="L5" i="56"/>
  <c r="N5" i="56"/>
  <c r="J23" i="12"/>
  <c r="C25" i="59"/>
  <c r="M20" i="48" l="1"/>
  <c r="M19" i="48"/>
  <c r="P8" i="56"/>
  <c r="P15" i="56"/>
  <c r="P9" i="56"/>
  <c r="P13" i="56"/>
  <c r="P10" i="56"/>
  <c r="P5" i="56"/>
  <c r="M19" i="56"/>
  <c r="M20" i="56"/>
  <c r="N19" i="56"/>
  <c r="N20" i="56"/>
  <c r="P6" i="56"/>
  <c r="P11" i="56"/>
  <c r="P16" i="56"/>
  <c r="L20" i="56"/>
  <c r="L19" i="56"/>
  <c r="P17" i="56"/>
  <c r="P7" i="56"/>
  <c r="P12" i="56"/>
  <c r="C12" i="60"/>
  <c r="C11" i="60"/>
  <c r="C10" i="60"/>
  <c r="C9" i="60"/>
  <c r="C8" i="60"/>
  <c r="C7" i="60"/>
  <c r="C6" i="60"/>
  <c r="C5" i="60"/>
  <c r="C4" i="60"/>
  <c r="C3" i="60"/>
  <c r="L35" i="59"/>
  <c r="L22" i="56" l="1"/>
  <c r="I9" i="59" s="1"/>
  <c r="M22" i="56"/>
  <c r="I10" i="59" s="1"/>
  <c r="N22" i="56"/>
  <c r="I11" i="59" s="1"/>
  <c r="K3" i="60"/>
  <c r="L37" i="59"/>
  <c r="L38" i="59"/>
  <c r="L39" i="59"/>
  <c r="L36" i="59"/>
  <c r="M10" i="60"/>
  <c r="M5" i="60"/>
  <c r="M9" i="60"/>
  <c r="M6" i="60"/>
  <c r="K8" i="60"/>
  <c r="L12" i="60"/>
  <c r="L6" i="60"/>
  <c r="K6" i="60"/>
  <c r="M8" i="60"/>
  <c r="L10" i="60"/>
  <c r="K10" i="60"/>
  <c r="L8" i="60"/>
  <c r="L5" i="60"/>
  <c r="K5" i="60"/>
  <c r="L9" i="60"/>
  <c r="K9" i="60"/>
  <c r="M11" i="60"/>
  <c r="M3" i="60" l="1"/>
  <c r="P6" i="60"/>
  <c r="Q6" i="60"/>
  <c r="K4" i="60"/>
  <c r="K7" i="60"/>
  <c r="P9" i="60"/>
  <c r="Q9" i="60"/>
  <c r="P5" i="60"/>
  <c r="Q5" i="60"/>
  <c r="K12" i="60"/>
  <c r="M12" i="60"/>
  <c r="M4" i="60"/>
  <c r="Q8" i="60"/>
  <c r="P8" i="60"/>
  <c r="L11" i="60"/>
  <c r="L7" i="60"/>
  <c r="L3" i="60"/>
  <c r="M7" i="60"/>
  <c r="P10" i="60"/>
  <c r="Q10" i="60"/>
  <c r="L4" i="60"/>
  <c r="K11" i="60"/>
  <c r="Q11" i="60" l="1"/>
  <c r="P11" i="60"/>
  <c r="Q12" i="60"/>
  <c r="P12" i="60"/>
  <c r="Q7" i="60"/>
  <c r="P7" i="60"/>
  <c r="Q4" i="60"/>
  <c r="P4" i="60"/>
  <c r="Q3" i="60"/>
  <c r="P3" i="60"/>
  <c r="S9" i="60" l="1"/>
  <c r="D14" i="59" s="1"/>
  <c r="S3" i="60"/>
  <c r="D8" i="59" s="1"/>
  <c r="S10" i="60"/>
  <c r="D15" i="59" s="1"/>
  <c r="S6" i="60"/>
  <c r="D11" i="59" s="1"/>
  <c r="S8" i="60"/>
  <c r="D13" i="59" s="1"/>
  <c r="S5" i="60"/>
  <c r="D10" i="59" s="1"/>
  <c r="S4" i="60"/>
  <c r="D9" i="59" s="1"/>
  <c r="S12" i="60"/>
  <c r="D17" i="59" s="1"/>
  <c r="S7" i="60"/>
  <c r="D12" i="59" s="1"/>
  <c r="S11" i="60"/>
  <c r="D16" i="59" s="1"/>
  <c r="Q5" i="48" l="1" a="1"/>
  <c r="Q5" i="48" s="1"/>
  <c r="AF4" i="12" s="1"/>
  <c r="Q8" i="48" a="1"/>
  <c r="Q8" i="48" s="1"/>
  <c r="AF7" i="12" s="1"/>
  <c r="Q13" i="48" a="1"/>
  <c r="Q13" i="48" s="1"/>
  <c r="AF12" i="12" s="1"/>
  <c r="Q16" i="48" a="1"/>
  <c r="Q16" i="48" s="1"/>
  <c r="AF15" i="12" s="1"/>
  <c r="Q12" i="48" a="1"/>
  <c r="Q12" i="48" s="1"/>
  <c r="AF11" i="12" s="1"/>
  <c r="Q7" i="48" a="1"/>
  <c r="Q7" i="48" s="1"/>
  <c r="AF6" i="12" s="1"/>
  <c r="Q15" i="48" a="1"/>
  <c r="Q15" i="48" s="1"/>
  <c r="AF14" i="12" s="1"/>
  <c r="Q6" i="48" a="1"/>
  <c r="Q6" i="48" s="1"/>
  <c r="AF5" i="12" s="1"/>
  <c r="Q11" i="48" a="1"/>
  <c r="Q11" i="48" s="1"/>
  <c r="AF10" i="12" s="1"/>
  <c r="Q14" i="48" a="1"/>
  <c r="Q14" i="48" s="1"/>
  <c r="AF13" i="12" s="1"/>
  <c r="Q9" i="48" a="1"/>
  <c r="Q9" i="48" s="1"/>
  <c r="AF8" i="12" s="1"/>
  <c r="Q4" i="48" a="1"/>
  <c r="Q4" i="48" s="1"/>
  <c r="AF3" i="12" s="1"/>
  <c r="Q10" i="48" a="1"/>
  <c r="Q10" i="48" s="1"/>
  <c r="AF9" i="12" s="1"/>
  <c r="J4" i="43" l="1" a="1"/>
  <c r="J4" i="43" s="1"/>
  <c r="Q4" i="42" s="1"/>
  <c r="J5" i="43" a="1"/>
  <c r="J5" i="43" s="1"/>
  <c r="Q5" i="42" s="1"/>
  <c r="J6" i="43" a="1"/>
  <c r="J6" i="43" s="1"/>
  <c r="Q6" i="42" s="1"/>
  <c r="J7" i="43" a="1"/>
  <c r="J7" i="43" s="1"/>
  <c r="Q7" i="42" s="1"/>
  <c r="J8" i="43" a="1"/>
  <c r="J8" i="43" s="1"/>
  <c r="Q8" i="42" s="1"/>
  <c r="J9" i="43" a="1"/>
  <c r="J9" i="43" s="1"/>
  <c r="Q9" i="42" s="1"/>
  <c r="J10" i="43" a="1"/>
  <c r="J10" i="43" s="1"/>
  <c r="Q10" i="42" s="1"/>
  <c r="J11" i="43" a="1"/>
  <c r="J11" i="43" s="1"/>
  <c r="Q11" i="42" s="1"/>
  <c r="J12" i="43" a="1"/>
  <c r="J12" i="43" s="1"/>
  <c r="Q12" i="42" s="1"/>
  <c r="J13" i="43" a="1"/>
  <c r="J13" i="43" s="1"/>
  <c r="Q13" i="42" s="1"/>
  <c r="J14" i="43" a="1"/>
  <c r="J14" i="43" s="1"/>
  <c r="Q14" i="42" s="1"/>
  <c r="J15" i="43" a="1"/>
  <c r="J15" i="43" s="1"/>
  <c r="Q15" i="42" s="1"/>
  <c r="J3" i="43" a="1"/>
  <c r="J3" i="43" s="1"/>
  <c r="Q3" i="42" s="1"/>
  <c r="F12" i="43"/>
  <c r="F13" i="43"/>
  <c r="F14" i="43"/>
  <c r="F15" i="43"/>
  <c r="P4" i="42"/>
  <c r="P5" i="42"/>
  <c r="P6" i="42"/>
  <c r="P7" i="42"/>
  <c r="P8" i="42"/>
  <c r="P9" i="42"/>
  <c r="P10" i="42"/>
  <c r="P11" i="42"/>
  <c r="P12" i="42"/>
  <c r="P13" i="42"/>
  <c r="P14" i="42"/>
  <c r="P15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3" i="42"/>
  <c r="K126" i="15" l="1" a="1"/>
  <c r="K126" i="15" s="1"/>
  <c r="L126" i="15" a="1"/>
  <c r="L126" i="15" s="1"/>
  <c r="M126" i="15" a="1"/>
  <c r="M126" i="15" s="1"/>
  <c r="N126" i="15" a="1"/>
  <c r="N126" i="15" s="1"/>
  <c r="K127" i="15" a="1"/>
  <c r="K127" i="15" s="1"/>
  <c r="L127" i="15" a="1"/>
  <c r="L127" i="15" s="1"/>
  <c r="M127" i="15" a="1"/>
  <c r="M127" i="15" s="1"/>
  <c r="N127" i="15" a="1"/>
  <c r="N127" i="15" s="1"/>
  <c r="K128" i="15" a="1"/>
  <c r="K128" i="15" s="1"/>
  <c r="L128" i="15" a="1"/>
  <c r="L128" i="15" s="1"/>
  <c r="M128" i="15" a="1"/>
  <c r="M128" i="15" s="1"/>
  <c r="N128" i="15" a="1"/>
  <c r="N128" i="15" s="1"/>
  <c r="K130" i="15"/>
  <c r="L130" i="15"/>
  <c r="M130" i="15"/>
  <c r="N130" i="15"/>
  <c r="K131" i="15"/>
  <c r="L131" i="15"/>
  <c r="M131" i="15"/>
  <c r="N131" i="15"/>
  <c r="K136" i="15" a="1"/>
  <c r="K136" i="15" s="1"/>
  <c r="L136" i="15" a="1"/>
  <c r="L136" i="15" s="1"/>
  <c r="M136" i="15" a="1"/>
  <c r="M136" i="15" s="1"/>
  <c r="N136" i="15" a="1"/>
  <c r="N136" i="15" s="1"/>
  <c r="K137" i="15" a="1"/>
  <c r="K137" i="15" s="1"/>
  <c r="L137" i="15" a="1"/>
  <c r="L137" i="15" s="1"/>
  <c r="M137" i="15" a="1"/>
  <c r="M137" i="15" s="1"/>
  <c r="N137" i="15" a="1"/>
  <c r="N137" i="15" s="1"/>
  <c r="K138" i="15" a="1"/>
  <c r="K138" i="15" s="1"/>
  <c r="L138" i="15" a="1"/>
  <c r="L138" i="15" s="1"/>
  <c r="M138" i="15" a="1"/>
  <c r="M138" i="15" s="1"/>
  <c r="N138" i="15" a="1"/>
  <c r="N138" i="15" s="1"/>
  <c r="L133" i="15" l="1"/>
  <c r="K133" i="15"/>
  <c r="L140" i="15"/>
  <c r="N140" i="15"/>
  <c r="M133" i="15"/>
  <c r="N133" i="15"/>
  <c r="M140" i="15"/>
  <c r="K140" i="15"/>
  <c r="K125" i="7" l="1" a="1"/>
  <c r="K125" i="7" s="1"/>
  <c r="L125" i="7" a="1"/>
  <c r="L125" i="7" s="1"/>
  <c r="M125" i="7" a="1"/>
  <c r="M125" i="7" s="1"/>
  <c r="N125" i="7" a="1"/>
  <c r="N125" i="7" s="1"/>
  <c r="K126" i="7" a="1"/>
  <c r="K126" i="7" s="1"/>
  <c r="L126" i="7" a="1"/>
  <c r="L126" i="7" s="1"/>
  <c r="M126" i="7" a="1"/>
  <c r="M126" i="7" s="1"/>
  <c r="N126" i="7" a="1"/>
  <c r="N126" i="7" s="1"/>
  <c r="K128" i="7" a="1"/>
  <c r="K128" i="7" s="1"/>
  <c r="L128" i="7" a="1"/>
  <c r="L128" i="7" s="1"/>
  <c r="M128" i="7" a="1"/>
  <c r="M128" i="7" s="1"/>
  <c r="N128" i="7" a="1"/>
  <c r="N128" i="7" s="1"/>
  <c r="K124" i="47" a="1"/>
  <c r="K124" i="47" s="1"/>
  <c r="L124" i="47" a="1"/>
  <c r="L124" i="47" s="1"/>
  <c r="M124" i="47" a="1"/>
  <c r="M124" i="47" s="1"/>
  <c r="N124" i="47" a="1"/>
  <c r="N124" i="47" s="1"/>
  <c r="K125" i="47" a="1"/>
  <c r="K125" i="47" s="1"/>
  <c r="L125" i="47" a="1"/>
  <c r="L125" i="47" s="1"/>
  <c r="M125" i="47" a="1"/>
  <c r="M125" i="47" s="1"/>
  <c r="N125" i="47" a="1"/>
  <c r="N125" i="47" s="1"/>
  <c r="K127" i="47" a="1"/>
  <c r="K127" i="47" s="1"/>
  <c r="L127" i="47" a="1"/>
  <c r="L127" i="47" s="1"/>
  <c r="M127" i="47" a="1"/>
  <c r="M127" i="47" s="1"/>
  <c r="N127" i="47" a="1"/>
  <c r="N127" i="47" s="1"/>
  <c r="K124" i="46" a="1"/>
  <c r="K124" i="46" s="1"/>
  <c r="L124" i="46" a="1"/>
  <c r="L124" i="46" s="1"/>
  <c r="M124" i="46" a="1"/>
  <c r="M124" i="46" s="1"/>
  <c r="N124" i="46" a="1"/>
  <c r="N124" i="46" s="1"/>
  <c r="K125" i="46" a="1"/>
  <c r="K125" i="46" s="1"/>
  <c r="L125" i="46" a="1"/>
  <c r="L125" i="46" s="1"/>
  <c r="M125" i="46" a="1"/>
  <c r="M125" i="46" s="1"/>
  <c r="N125" i="46" a="1"/>
  <c r="N125" i="46" s="1"/>
  <c r="K127" i="46" a="1"/>
  <c r="K127" i="46" s="1"/>
  <c r="L127" i="46" a="1"/>
  <c r="L127" i="46" s="1"/>
  <c r="M127" i="46" a="1"/>
  <c r="M127" i="46" s="1"/>
  <c r="N127" i="46" a="1"/>
  <c r="N127" i="46" s="1"/>
  <c r="AD4" i="12" l="1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F11" i="57"/>
  <c r="F12" i="57"/>
  <c r="F13" i="57"/>
  <c r="F14" i="57"/>
  <c r="H14" i="12" l="1"/>
  <c r="K17" i="40" s="1"/>
  <c r="U13" i="12"/>
  <c r="I15" i="12"/>
  <c r="H13" i="12"/>
  <c r="K16" i="40" s="1"/>
  <c r="U12" i="12"/>
  <c r="U14" i="12"/>
  <c r="U15" i="12"/>
  <c r="I14" i="12"/>
  <c r="K126" i="5" a="1"/>
  <c r="K126" i="5" s="1"/>
  <c r="L126" i="5" a="1"/>
  <c r="L126" i="5" s="1"/>
  <c r="M126" i="5" a="1"/>
  <c r="M126" i="5" s="1"/>
  <c r="N126" i="5" a="1"/>
  <c r="N126" i="5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K129" i="5"/>
  <c r="L129" i="5"/>
  <c r="M129" i="5"/>
  <c r="N129" i="5"/>
  <c r="K130" i="5"/>
  <c r="L130" i="5"/>
  <c r="M130" i="5"/>
  <c r="N130" i="5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K136" i="5" a="1"/>
  <c r="K136" i="5" s="1"/>
  <c r="L136" i="5" a="1"/>
  <c r="L136" i="5" s="1"/>
  <c r="M136" i="5" a="1"/>
  <c r="M136" i="5" s="1"/>
  <c r="N136" i="5" a="1"/>
  <c r="N136" i="5" s="1"/>
  <c r="K138" i="5"/>
  <c r="K139" i="5" s="1"/>
  <c r="E18" i="55" s="1"/>
  <c r="L138" i="5"/>
  <c r="L139" i="5" s="1"/>
  <c r="E19" i="55" s="1"/>
  <c r="M138" i="5"/>
  <c r="M139" i="5" s="1"/>
  <c r="E20" i="55" s="1"/>
  <c r="N138" i="5"/>
  <c r="N139" i="5" s="1"/>
  <c r="E21" i="55" s="1"/>
  <c r="L132" i="5" l="1"/>
  <c r="E14" i="13" s="1"/>
  <c r="J14" i="13" s="1"/>
  <c r="K132" i="5"/>
  <c r="E13" i="13" s="1"/>
  <c r="J13" i="13" s="1"/>
  <c r="N132" i="5"/>
  <c r="E16" i="13" s="1"/>
  <c r="J16" i="13" s="1"/>
  <c r="M132" i="5"/>
  <c r="E15" i="13" s="1"/>
  <c r="J15" i="13" s="1"/>
  <c r="H12" i="12"/>
  <c r="K15" i="40" s="1"/>
  <c r="I12" i="12"/>
  <c r="J14" i="12"/>
  <c r="I13" i="12"/>
  <c r="J13" i="12" s="1"/>
  <c r="H15" i="12"/>
  <c r="K18" i="40" s="1"/>
  <c r="J12" i="12" l="1"/>
  <c r="J15" i="12"/>
  <c r="I13" i="13" l="1"/>
  <c r="I14" i="13"/>
  <c r="I15" i="13"/>
  <c r="I16" i="13"/>
  <c r="H15" i="13"/>
  <c r="H14" i="13"/>
  <c r="H13" i="13" l="1"/>
  <c r="H16" i="13"/>
  <c r="L11" i="39" l="1"/>
  <c r="L12" i="39"/>
  <c r="L13" i="39"/>
  <c r="L14" i="39"/>
  <c r="K23" i="18"/>
  <c r="K25" i="18" s="1" a="1"/>
  <c r="K25" i="18" s="1"/>
  <c r="K11" i="39" s="1"/>
  <c r="L23" i="18"/>
  <c r="L25" i="18" s="1" a="1"/>
  <c r="L25" i="18" s="1"/>
  <c r="K12" i="39" s="1"/>
  <c r="M23" i="18"/>
  <c r="M25" i="18" s="1" a="1"/>
  <c r="M25" i="18" s="1"/>
  <c r="K13" i="39" s="1"/>
  <c r="N23" i="18"/>
  <c r="N25" i="18" s="1" a="1"/>
  <c r="N25" i="18" s="1"/>
  <c r="K14" i="39" s="1"/>
  <c r="O3" i="39" l="1" a="1"/>
  <c r="O3" i="39" s="1"/>
  <c r="O4" i="39" a="1"/>
  <c r="O4" i="39" s="1"/>
  <c r="O5" i="39" a="1"/>
  <c r="O5" i="39" s="1"/>
  <c r="O6" i="39" a="1"/>
  <c r="O6" i="39" s="1"/>
  <c r="O7" i="39" a="1"/>
  <c r="O7" i="39" s="1"/>
  <c r="O8" i="39" a="1"/>
  <c r="O8" i="39" s="1"/>
  <c r="O9" i="39" a="1"/>
  <c r="O9" i="39" s="1"/>
  <c r="O10" i="39" a="1"/>
  <c r="O10" i="39" s="1"/>
  <c r="O11" i="39" a="1"/>
  <c r="O11" i="39" s="1"/>
  <c r="O12" i="39" a="1"/>
  <c r="O12" i="39" s="1"/>
  <c r="O13" i="39" a="1"/>
  <c r="O13" i="39" s="1"/>
  <c r="O14" i="39" a="1"/>
  <c r="O14" i="39" s="1"/>
  <c r="O2" i="39" a="1"/>
  <c r="O2" i="39" s="1"/>
  <c r="G11" i="39"/>
  <c r="G12" i="39"/>
  <c r="G13" i="39"/>
  <c r="G14" i="39"/>
  <c r="G3" i="39"/>
  <c r="G4" i="39"/>
  <c r="G5" i="39"/>
  <c r="G6" i="39"/>
  <c r="G7" i="39"/>
  <c r="G8" i="39"/>
  <c r="G9" i="39"/>
  <c r="G10" i="39"/>
  <c r="G2" i="39"/>
  <c r="T4" i="28" l="1"/>
  <c r="T5" i="28"/>
  <c r="T6" i="28"/>
  <c r="T7" i="28"/>
  <c r="T8" i="28"/>
  <c r="T9" i="28"/>
  <c r="T10" i="28"/>
  <c r="T11" i="28"/>
  <c r="T12" i="28"/>
  <c r="T13" i="28"/>
  <c r="T14" i="28"/>
  <c r="T15" i="28"/>
  <c r="S6" i="28"/>
  <c r="S7" i="28"/>
  <c r="S8" i="28"/>
  <c r="S9" i="28"/>
  <c r="S10" i="28"/>
  <c r="S11" i="28"/>
  <c r="S12" i="28"/>
  <c r="S13" i="28"/>
  <c r="S14" i="28"/>
  <c r="S15" i="28"/>
  <c r="S4" i="28"/>
  <c r="S5" i="28"/>
  <c r="K25" i="38" l="1"/>
  <c r="M12" i="1" s="1"/>
  <c r="L25" i="38"/>
  <c r="M13" i="1" s="1"/>
  <c r="M25" i="38"/>
  <c r="M14" i="1" s="1"/>
  <c r="N25" i="38"/>
  <c r="M15" i="1" s="1"/>
  <c r="K24" i="38"/>
  <c r="I11" i="39" s="1"/>
  <c r="M11" i="39" s="1"/>
  <c r="L24" i="38"/>
  <c r="I12" i="39" s="1"/>
  <c r="M12" i="39" s="1"/>
  <c r="M24" i="38"/>
  <c r="I13" i="39" s="1"/>
  <c r="M13" i="39" s="1"/>
  <c r="N24" i="38"/>
  <c r="I14" i="39" s="1"/>
  <c r="M14" i="39" s="1"/>
  <c r="K23" i="38"/>
  <c r="L23" i="38"/>
  <c r="M23" i="38"/>
  <c r="N23" i="38"/>
  <c r="J4" i="28" l="1"/>
  <c r="J5" i="28"/>
  <c r="J6" i="28"/>
  <c r="J7" i="28"/>
  <c r="J8" i="28"/>
  <c r="J9" i="28"/>
  <c r="J10" i="28"/>
  <c r="J11" i="28"/>
  <c r="J12" i="28"/>
  <c r="J13" i="28"/>
  <c r="J14" i="28"/>
  <c r="J15" i="28"/>
  <c r="J3" i="28"/>
  <c r="U12" i="28"/>
  <c r="U13" i="28"/>
  <c r="U14" i="28"/>
  <c r="U15" i="28"/>
  <c r="N15" i="28" l="1"/>
  <c r="N14" i="28"/>
  <c r="N13" i="28" l="1"/>
  <c r="N12" i="28"/>
  <c r="Y4" i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3" i="1" a="1"/>
  <c r="Y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3" i="1" a="1"/>
  <c r="X3" i="1" s="1"/>
  <c r="N12" i="1" l="1"/>
  <c r="P12" i="1"/>
  <c r="N13" i="1"/>
  <c r="P13" i="1"/>
  <c r="N14" i="1"/>
  <c r="S14" i="1" s="1"/>
  <c r="P14" i="1"/>
  <c r="N15" i="1"/>
  <c r="P15" i="1"/>
  <c r="S12" i="1" l="1"/>
  <c r="S13" i="1"/>
  <c r="S15" i="1"/>
  <c r="Q15" i="1"/>
  <c r="T14" i="1"/>
  <c r="R14" i="1"/>
  <c r="Q13" i="1"/>
  <c r="T12" i="1"/>
  <c r="R12" i="1"/>
  <c r="T15" i="1"/>
  <c r="R15" i="1"/>
  <c r="Q14" i="1"/>
  <c r="T13" i="1"/>
  <c r="R13" i="1"/>
  <c r="Q12" i="1"/>
  <c r="F17" i="57" l="1"/>
  <c r="S23" i="52" l="1"/>
  <c r="F10" i="57" l="1"/>
  <c r="F9" i="57"/>
  <c r="F8" i="57"/>
  <c r="F7" i="57"/>
  <c r="F6" i="57"/>
  <c r="F5" i="57"/>
  <c r="F4" i="57"/>
  <c r="F3" i="57"/>
  <c r="F2" i="57"/>
  <c r="B138" i="5" l="1"/>
  <c r="B139" i="5" s="1"/>
  <c r="E9" i="55" s="1"/>
  <c r="C138" i="5"/>
  <c r="C139" i="5" s="1"/>
  <c r="E10" i="55" s="1"/>
  <c r="D138" i="5"/>
  <c r="D139" i="5" s="1"/>
  <c r="E11" i="55" s="1"/>
  <c r="E138" i="5"/>
  <c r="E139" i="5" s="1"/>
  <c r="E12" i="55" s="1"/>
  <c r="F138" i="5"/>
  <c r="F139" i="5" s="1"/>
  <c r="E13" i="55" s="1"/>
  <c r="G138" i="5"/>
  <c r="G139" i="5" s="1"/>
  <c r="E14" i="55" s="1"/>
  <c r="H138" i="5"/>
  <c r="H139" i="5" s="1"/>
  <c r="E15" i="55" s="1"/>
  <c r="I138" i="5"/>
  <c r="I139" i="5" s="1"/>
  <c r="E16" i="55" s="1"/>
  <c r="J138" i="5"/>
  <c r="J139" i="5" s="1"/>
  <c r="E17" i="55" s="1"/>
  <c r="C21" i="12" l="1"/>
  <c r="C22" i="12"/>
  <c r="L2" i="40"/>
  <c r="J2" i="40"/>
  <c r="I2" i="40"/>
  <c r="F2" i="40"/>
  <c r="E2" i="40"/>
  <c r="D2" i="40"/>
  <c r="D82" i="8"/>
  <c r="G39" i="59" l="1"/>
  <c r="H39" i="59"/>
  <c r="G38" i="59"/>
  <c r="H38" i="59"/>
  <c r="H22" i="12"/>
  <c r="C23" i="59" s="1"/>
  <c r="H21" i="12"/>
  <c r="C26" i="59" s="1"/>
  <c r="P2" i="40"/>
  <c r="I21" i="12" l="1"/>
  <c r="I22" i="12"/>
  <c r="J21" i="12" l="1"/>
  <c r="E38" i="59" s="1"/>
  <c r="E26" i="59"/>
  <c r="J22" i="12"/>
  <c r="E39" i="59" s="1"/>
  <c r="E23" i="59"/>
  <c r="T16" i="52"/>
  <c r="T4" i="52"/>
  <c r="T9" i="52"/>
  <c r="T5" i="52"/>
  <c r="T23" i="52"/>
  <c r="T13" i="52" l="1"/>
  <c r="T3" i="52"/>
  <c r="B131" i="15" l="1"/>
  <c r="C131" i="15"/>
  <c r="D131" i="15"/>
  <c r="E131" i="15"/>
  <c r="F131" i="15"/>
  <c r="G131" i="15"/>
  <c r="H131" i="15"/>
  <c r="I131" i="15"/>
  <c r="J131" i="15"/>
  <c r="B130" i="15"/>
  <c r="C130" i="15"/>
  <c r="D130" i="15"/>
  <c r="E130" i="15"/>
  <c r="F130" i="15"/>
  <c r="G130" i="15"/>
  <c r="H130" i="15"/>
  <c r="I130" i="15"/>
  <c r="J130" i="15"/>
  <c r="B128" i="15" a="1"/>
  <c r="B128" i="15" s="1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B127" i="15" a="1"/>
  <c r="B127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B126" i="15" a="1"/>
  <c r="B126" i="15" s="1"/>
  <c r="L2" i="39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Q6" i="39" l="1" a="1"/>
  <c r="Q6" i="39" s="1"/>
  <c r="Q10" i="39" a="1"/>
  <c r="Q10" i="39" s="1"/>
  <c r="Q14" i="39" a="1"/>
  <c r="Q14" i="39" s="1"/>
  <c r="Q3" i="39" a="1"/>
  <c r="Q3" i="39" s="1"/>
  <c r="Q7" i="39" a="1"/>
  <c r="Q7" i="39" s="1"/>
  <c r="Q11" i="39" a="1"/>
  <c r="Q11" i="39" s="1"/>
  <c r="Q2" i="39" a="1"/>
  <c r="Q2" i="39" s="1"/>
  <c r="Q4" i="39" a="1"/>
  <c r="Q4" i="39" s="1"/>
  <c r="Q8" i="39" a="1"/>
  <c r="Q8" i="39" s="1"/>
  <c r="Q12" i="39" a="1"/>
  <c r="Q12" i="39" s="1"/>
  <c r="Q5" i="39" a="1"/>
  <c r="Q5" i="39" s="1"/>
  <c r="Q9" i="39" a="1"/>
  <c r="Q9" i="39" s="1"/>
  <c r="Q13" i="39" a="1"/>
  <c r="Q13" i="39" s="1"/>
  <c r="B134" i="5" a="1"/>
  <c r="B134" i="5" s="1"/>
  <c r="F5" i="56" s="1"/>
  <c r="C134" i="5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B130" i="5"/>
  <c r="C130" i="5"/>
  <c r="D130" i="5"/>
  <c r="E130" i="5"/>
  <c r="F130" i="5"/>
  <c r="G130" i="5"/>
  <c r="H130" i="5"/>
  <c r="I130" i="5"/>
  <c r="J130" i="5"/>
  <c r="B129" i="5"/>
  <c r="C129" i="5"/>
  <c r="D129" i="5"/>
  <c r="E129" i="5"/>
  <c r="F129" i="5"/>
  <c r="G129" i="5"/>
  <c r="H129" i="5"/>
  <c r="I129" i="5"/>
  <c r="J129" i="5"/>
  <c r="B127" i="5" a="1"/>
  <c r="B127" i="5" s="1"/>
  <c r="D4" i="13" s="1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B126" i="5" a="1"/>
  <c r="B126" i="5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B126" i="7" l="1" a="1"/>
  <c r="B126" i="7" s="1"/>
  <c r="C126" i="7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B128" i="7" a="1"/>
  <c r="B128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B125" i="7" a="1"/>
  <c r="B125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C20" i="12" l="1"/>
  <c r="G37" i="59" l="1"/>
  <c r="H37" i="59"/>
  <c r="I20" i="12"/>
  <c r="H20" i="12" l="1"/>
  <c r="J20" i="12" s="1"/>
  <c r="E37" i="59" s="1"/>
  <c r="C19" i="12" l="1"/>
  <c r="L40" i="8"/>
  <c r="G36" i="59" l="1"/>
  <c r="H36" i="59"/>
  <c r="I19" i="12"/>
  <c r="E28" i="59" s="1"/>
  <c r="H19" i="12"/>
  <c r="C28" i="59" s="1"/>
  <c r="J19" i="12" l="1"/>
  <c r="E36" i="59" s="1"/>
  <c r="P15" i="48" l="1"/>
  <c r="P16" i="48"/>
  <c r="P14" i="48"/>
  <c r="P13" i="48"/>
  <c r="P10" i="48"/>
  <c r="P7" i="48"/>
  <c r="P9" i="48"/>
  <c r="P11" i="48"/>
  <c r="P8" i="48"/>
  <c r="P12" i="48"/>
  <c r="P5" i="48"/>
  <c r="P6" i="48"/>
  <c r="P4" i="48"/>
  <c r="P3" i="1"/>
  <c r="P4" i="1"/>
  <c r="P5" i="1"/>
  <c r="P6" i="1"/>
  <c r="P7" i="1"/>
  <c r="P8" i="1"/>
  <c r="P9" i="1"/>
  <c r="P10" i="1"/>
  <c r="P11" i="1"/>
  <c r="AA4" i="1" l="1" a="1"/>
  <c r="AA4" i="1" s="1"/>
  <c r="AA15" i="1" a="1"/>
  <c r="AA15" i="1" s="1"/>
  <c r="AA5" i="1" a="1"/>
  <c r="AA5" i="1" s="1"/>
  <c r="AA12" i="1" a="1"/>
  <c r="AA12" i="1" s="1"/>
  <c r="AA13" i="1" a="1"/>
  <c r="AA13" i="1" s="1"/>
  <c r="AA14" i="1" a="1"/>
  <c r="AA14" i="1" s="1"/>
  <c r="AA11" i="1" a="1"/>
  <c r="AA11" i="1" s="1"/>
  <c r="AA3" i="1" a="1"/>
  <c r="AA3" i="1" s="1"/>
  <c r="AA6" i="1" a="1"/>
  <c r="AA6" i="1" s="1"/>
  <c r="AA7" i="1" a="1"/>
  <c r="AA7" i="1" s="1"/>
  <c r="AA8" i="1" a="1"/>
  <c r="AA8" i="1" s="1"/>
  <c r="AA9" i="1" a="1"/>
  <c r="AA9" i="1" s="1"/>
  <c r="AA10" i="1" a="1"/>
  <c r="AA10" i="1" s="1"/>
  <c r="R5" i="48" a="1"/>
  <c r="R5" i="48" s="1"/>
  <c r="R7" i="48" a="1"/>
  <c r="R7" i="48" s="1"/>
  <c r="R9" i="48" a="1"/>
  <c r="R9" i="48" s="1"/>
  <c r="R11" i="48" a="1"/>
  <c r="R11" i="48" s="1"/>
  <c r="R13" i="48" a="1"/>
  <c r="R13" i="48" s="1"/>
  <c r="R8" i="48" a="1"/>
  <c r="R8" i="48" s="1"/>
  <c r="R10" i="48" a="1"/>
  <c r="R10" i="48" s="1"/>
  <c r="R14" i="48" a="1"/>
  <c r="R14" i="48" s="1"/>
  <c r="R16" i="48" a="1"/>
  <c r="R16" i="48" s="1"/>
  <c r="R6" i="48" a="1"/>
  <c r="R6" i="48" s="1"/>
  <c r="R12" i="48" a="1"/>
  <c r="R12" i="48" s="1"/>
  <c r="R15" i="48" a="1"/>
  <c r="R15" i="48" s="1"/>
  <c r="R4" i="48" a="1"/>
  <c r="R4" i="48" s="1"/>
  <c r="H136" i="5" a="1"/>
  <c r="H136" i="5" s="1"/>
  <c r="B136" i="5" a="1"/>
  <c r="B136" i="5" s="1"/>
  <c r="J136" i="5" a="1"/>
  <c r="J136" i="5" s="1"/>
  <c r="E136" i="5" a="1"/>
  <c r="E136" i="5" s="1"/>
  <c r="C136" i="5" a="1"/>
  <c r="C136" i="5" s="1"/>
  <c r="D136" i="5" a="1"/>
  <c r="D136" i="5" s="1"/>
  <c r="I136" i="5" a="1"/>
  <c r="I136" i="5" s="1"/>
  <c r="G136" i="5" a="1"/>
  <c r="G136" i="5" s="1"/>
  <c r="F136" i="5" a="1"/>
  <c r="F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B127" i="47" a="1"/>
  <c r="B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B125" i="47" a="1"/>
  <c r="B125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B124" i="47" a="1"/>
  <c r="B124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S15" i="48" l="1"/>
  <c r="AG14" i="12"/>
  <c r="S16" i="48"/>
  <c r="AG15" i="12"/>
  <c r="S12" i="48"/>
  <c r="AG11" i="12"/>
  <c r="S11" i="48"/>
  <c r="AG10" i="12"/>
  <c r="S6" i="48"/>
  <c r="AG5" i="12"/>
  <c r="S5" i="48"/>
  <c r="AG4" i="12"/>
  <c r="S14" i="48"/>
  <c r="AG13" i="12"/>
  <c r="S9" i="48"/>
  <c r="AG8" i="12"/>
  <c r="S8" i="48"/>
  <c r="AG7" i="12"/>
  <c r="S13" i="48"/>
  <c r="AG12" i="12"/>
  <c r="S10" i="48"/>
  <c r="AG9" i="12"/>
  <c r="S7" i="48"/>
  <c r="AG6" i="12"/>
  <c r="S4" i="48"/>
  <c r="AG3" i="12"/>
  <c r="E125" i="46" a="1"/>
  <c r="E125" i="46" s="1"/>
  <c r="E127" i="46" a="1"/>
  <c r="E127" i="46" s="1"/>
  <c r="E124" i="46" a="1"/>
  <c r="E124" i="46" s="1"/>
  <c r="C127" i="46" a="1"/>
  <c r="C127" i="46" s="1"/>
  <c r="C125" i="46" a="1"/>
  <c r="C125" i="46" s="1"/>
  <c r="C124" i="46" a="1"/>
  <c r="C124" i="46" s="1"/>
  <c r="F124" i="46" a="1"/>
  <c r="F124" i="46" s="1"/>
  <c r="F125" i="46" a="1"/>
  <c r="F125" i="46" s="1"/>
  <c r="F127" i="46" a="1"/>
  <c r="F127" i="46" s="1"/>
  <c r="I124" i="46" a="1"/>
  <c r="I124" i="46" s="1"/>
  <c r="I127" i="46" a="1"/>
  <c r="I127" i="46" s="1"/>
  <c r="I125" i="46" a="1"/>
  <c r="I125" i="46" s="1"/>
  <c r="D127" i="46" a="1"/>
  <c r="D127" i="46" s="1"/>
  <c r="D125" i="46" a="1"/>
  <c r="D125" i="46" s="1"/>
  <c r="D124" i="46" a="1"/>
  <c r="D124" i="46" s="1"/>
  <c r="H127" i="46" a="1"/>
  <c r="H127" i="46" s="1"/>
  <c r="H125" i="46" a="1"/>
  <c r="H125" i="46" s="1"/>
  <c r="H124" i="46" a="1"/>
  <c r="H124" i="46" s="1"/>
  <c r="G127" i="46" a="1"/>
  <c r="G127" i="46" s="1"/>
  <c r="G124" i="46" a="1"/>
  <c r="G124" i="46" s="1"/>
  <c r="G125" i="46" a="1"/>
  <c r="G125" i="46" s="1"/>
  <c r="J124" i="46" a="1"/>
  <c r="J124" i="46" s="1"/>
  <c r="J127" i="46" a="1"/>
  <c r="J127" i="46" s="1"/>
  <c r="J125" i="46" a="1"/>
  <c r="J125" i="46" s="1"/>
  <c r="B127" i="46" a="1"/>
  <c r="B127" i="46" s="1"/>
  <c r="B124" i="46" a="1"/>
  <c r="B124" i="46" s="1"/>
  <c r="B125" i="46" a="1"/>
  <c r="B125" i="46" s="1"/>
  <c r="T6" i="48" l="1" a="1"/>
  <c r="T6" i="48" s="1"/>
  <c r="T4" i="48" a="1"/>
  <c r="T4" i="48" s="1"/>
  <c r="T9" i="48" a="1"/>
  <c r="T9" i="48" s="1"/>
  <c r="T5" i="48" a="1"/>
  <c r="T5" i="48" s="1"/>
  <c r="T12" i="48" a="1"/>
  <c r="T12" i="48" s="1"/>
  <c r="T11" i="48" a="1"/>
  <c r="T11" i="48" s="1"/>
  <c r="T14" i="48" a="1"/>
  <c r="T14" i="48" s="1"/>
  <c r="T10" i="48" a="1"/>
  <c r="T10" i="48" s="1"/>
  <c r="T15" i="48" a="1"/>
  <c r="T15" i="48" s="1"/>
  <c r="T7" i="48" a="1"/>
  <c r="T7" i="48" s="1"/>
  <c r="T8" i="48" a="1"/>
  <c r="T8" i="48" s="1"/>
  <c r="T13" i="48" a="1"/>
  <c r="T13" i="48" s="1"/>
  <c r="T16" i="48" a="1"/>
  <c r="T16" i="48" s="1"/>
  <c r="B138" i="15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N12" i="13" l="1"/>
  <c r="N11" i="13"/>
  <c r="N7" i="13"/>
  <c r="N10" i="13"/>
  <c r="N6" i="13"/>
  <c r="N9" i="13"/>
  <c r="N5" i="13"/>
  <c r="N8" i="13"/>
  <c r="N4" i="13"/>
  <c r="N14" i="13"/>
  <c r="N15" i="13"/>
  <c r="N13" i="13"/>
  <c r="N16" i="13"/>
  <c r="F10" i="43"/>
  <c r="F11" i="43"/>
  <c r="F3" i="43"/>
  <c r="F4" i="43"/>
  <c r="F5" i="43"/>
  <c r="F6" i="43"/>
  <c r="F7" i="43"/>
  <c r="F8" i="43"/>
  <c r="F9" i="43"/>
  <c r="Q1" i="42" l="1"/>
  <c r="P1" i="42"/>
  <c r="O1" i="42"/>
  <c r="N1" i="42"/>
  <c r="M1" i="42"/>
  <c r="L1" i="42"/>
  <c r="O3" i="42" l="1"/>
  <c r="O15" i="42"/>
  <c r="S15" i="42" s="1"/>
  <c r="O12" i="42"/>
  <c r="S12" i="42" s="1"/>
  <c r="O13" i="42"/>
  <c r="S13" i="42" s="1"/>
  <c r="O14" i="42"/>
  <c r="S14" i="42" s="1"/>
  <c r="O11" i="42"/>
  <c r="C18" i="12"/>
  <c r="G35" i="59" l="1"/>
  <c r="H35" i="59"/>
  <c r="O10" i="42"/>
  <c r="S10" i="42" s="1"/>
  <c r="O6" i="42"/>
  <c r="S6" i="42" s="1"/>
  <c r="O9" i="42"/>
  <c r="D20" i="1"/>
  <c r="D19" i="1"/>
  <c r="N35" i="59" l="1"/>
  <c r="N38" i="59"/>
  <c r="N39" i="59"/>
  <c r="N37" i="59"/>
  <c r="N36" i="59"/>
  <c r="M35" i="59"/>
  <c r="M38" i="59"/>
  <c r="M39" i="59"/>
  <c r="M37" i="59"/>
  <c r="M36" i="59"/>
  <c r="O7" i="42"/>
  <c r="O8" i="42"/>
  <c r="O4" i="42"/>
  <c r="O5" i="42"/>
  <c r="I18" i="12"/>
  <c r="E27" i="59" s="1"/>
  <c r="H18" i="12" l="1"/>
  <c r="C27" i="59" s="1"/>
  <c r="J18" i="12" l="1"/>
  <c r="E35" i="59" s="1"/>
  <c r="M2" i="13" l="1"/>
  <c r="N2" i="13"/>
  <c r="L2" i="13"/>
  <c r="J25" i="38" l="1"/>
  <c r="I25" i="38"/>
  <c r="H25" i="38"/>
  <c r="G25" i="38"/>
  <c r="F25" i="38"/>
  <c r="E25" i="38"/>
  <c r="D25" i="38"/>
  <c r="C25" i="38"/>
  <c r="B25" i="38"/>
  <c r="M4" i="1" l="1"/>
  <c r="T4" i="1" s="1"/>
  <c r="M6" i="1"/>
  <c r="T6" i="1" s="1"/>
  <c r="M10" i="1"/>
  <c r="T10" i="1" s="1"/>
  <c r="M8" i="1"/>
  <c r="T8" i="1" s="1"/>
  <c r="M5" i="1"/>
  <c r="T5" i="1" s="1"/>
  <c r="M9" i="1"/>
  <c r="T9" i="1" s="1"/>
  <c r="M3" i="1"/>
  <c r="T3" i="1" s="1"/>
  <c r="M7" i="1"/>
  <c r="T7" i="1" s="1"/>
  <c r="M11" i="1"/>
  <c r="T11" i="1" s="1"/>
  <c r="N3" i="1"/>
  <c r="R3" i="1" s="1"/>
  <c r="N4" i="1"/>
  <c r="R4" i="1" s="1"/>
  <c r="N5" i="1"/>
  <c r="R5" i="1" s="1"/>
  <c r="N6" i="1"/>
  <c r="R6" i="1" s="1"/>
  <c r="N7" i="1"/>
  <c r="R7" i="1" s="1"/>
  <c r="N8" i="1"/>
  <c r="R8" i="1" s="1"/>
  <c r="N9" i="1"/>
  <c r="R9" i="1" s="1"/>
  <c r="N10" i="1"/>
  <c r="R10" i="1" s="1"/>
  <c r="N11" i="1"/>
  <c r="R11" i="1" s="1"/>
  <c r="Z5" i="1" l="1" a="1"/>
  <c r="Z5" i="1" s="1"/>
  <c r="Z7" i="1" a="1"/>
  <c r="Z7" i="1" s="1"/>
  <c r="Z9" i="1" a="1"/>
  <c r="Z9" i="1" s="1"/>
  <c r="Z11" i="1" a="1"/>
  <c r="Z11" i="1" s="1"/>
  <c r="Z13" i="1" a="1"/>
  <c r="Z13" i="1" s="1"/>
  <c r="Z15" i="1" a="1"/>
  <c r="Z15" i="1" s="1"/>
  <c r="Z6" i="1" a="1"/>
  <c r="Z6" i="1" s="1"/>
  <c r="Z10" i="1" a="1"/>
  <c r="Z10" i="1" s="1"/>
  <c r="Z14" i="1" a="1"/>
  <c r="Z14" i="1" s="1"/>
  <c r="Z4" i="1" a="1"/>
  <c r="Z4" i="1" s="1"/>
  <c r="Z8" i="1" a="1"/>
  <c r="Z8" i="1" s="1"/>
  <c r="Z12" i="1" a="1"/>
  <c r="Z12" i="1" s="1"/>
  <c r="Z3" i="1" a="1"/>
  <c r="Z3" i="1" s="1"/>
  <c r="V6" i="1" a="1"/>
  <c r="V6" i="1" s="1"/>
  <c r="V9" i="1" a="1"/>
  <c r="V9" i="1" s="1"/>
  <c r="V14" i="1" a="1"/>
  <c r="V14" i="1" s="1"/>
  <c r="V8" i="1" a="1"/>
  <c r="V8" i="1" s="1"/>
  <c r="V3" i="1" a="1"/>
  <c r="V3" i="1" s="1"/>
  <c r="V4" i="1" a="1"/>
  <c r="V4" i="1" s="1"/>
  <c r="V7" i="1" a="1"/>
  <c r="V7" i="1" s="1"/>
  <c r="V12" i="1" a="1"/>
  <c r="V12" i="1" s="1"/>
  <c r="V15" i="1" a="1"/>
  <c r="V15" i="1" s="1"/>
  <c r="V11" i="1" a="1"/>
  <c r="V11" i="1" s="1"/>
  <c r="V5" i="1" a="1"/>
  <c r="V5" i="1" s="1"/>
  <c r="V10" i="1" a="1"/>
  <c r="V10" i="1" s="1"/>
  <c r="V13" i="1" a="1"/>
  <c r="V13" i="1" s="1"/>
  <c r="J23" i="38"/>
  <c r="J24" i="38"/>
  <c r="H23" i="38"/>
  <c r="H24" i="38"/>
  <c r="D24" i="38"/>
  <c r="D23" i="38"/>
  <c r="I23" i="38"/>
  <c r="I24" i="38"/>
  <c r="E24" i="38"/>
  <c r="E23" i="38"/>
  <c r="C24" i="38"/>
  <c r="C23" i="38"/>
  <c r="F23" i="38"/>
  <c r="F24" i="38"/>
  <c r="B24" i="38"/>
  <c r="B23" i="38"/>
  <c r="G23" i="38"/>
  <c r="G24" i="38"/>
  <c r="Q11" i="1"/>
  <c r="Q7" i="1"/>
  <c r="Q3" i="1"/>
  <c r="Q10" i="1"/>
  <c r="Q6" i="1"/>
  <c r="Q9" i="1"/>
  <c r="Q5" i="1"/>
  <c r="Q8" i="1"/>
  <c r="Q4" i="1"/>
  <c r="I10" i="39" l="1"/>
  <c r="M10" i="39" s="1"/>
  <c r="I5" i="39"/>
  <c r="M5" i="39" s="1"/>
  <c r="I4" i="39"/>
  <c r="M4" i="39" s="1"/>
  <c r="I7" i="39"/>
  <c r="M7" i="39" s="1"/>
  <c r="I9" i="39"/>
  <c r="M9" i="39" s="1"/>
  <c r="I8" i="39"/>
  <c r="M8" i="39" s="1"/>
  <c r="I6" i="39"/>
  <c r="M6" i="39" s="1"/>
  <c r="I2" i="39"/>
  <c r="M2" i="39" s="1"/>
  <c r="I3" i="39"/>
  <c r="M3" i="39" s="1"/>
  <c r="U4" i="1" a="1"/>
  <c r="U4" i="1" s="1"/>
  <c r="U7" i="1" a="1"/>
  <c r="U7" i="1" s="1"/>
  <c r="U12" i="1" a="1"/>
  <c r="U12" i="1" s="1"/>
  <c r="U15" i="1" a="1"/>
  <c r="U15" i="1" s="1"/>
  <c r="U9" i="1" a="1"/>
  <c r="U9" i="1" s="1"/>
  <c r="U5" i="1" a="1"/>
  <c r="U5" i="1" s="1"/>
  <c r="U10" i="1" a="1"/>
  <c r="U10" i="1" s="1"/>
  <c r="U13" i="1" a="1"/>
  <c r="U13" i="1" s="1"/>
  <c r="U11" i="1" a="1"/>
  <c r="U11" i="1" s="1"/>
  <c r="U6" i="1" a="1"/>
  <c r="U6" i="1" s="1"/>
  <c r="U14" i="1" a="1"/>
  <c r="U14" i="1" s="1"/>
  <c r="U8" i="1" a="1"/>
  <c r="U8" i="1" s="1"/>
  <c r="U3" i="1" a="1"/>
  <c r="U3" i="1" s="1"/>
  <c r="N4" i="39" l="1" a="1"/>
  <c r="N4" i="39" s="1"/>
  <c r="N9" i="39" a="1"/>
  <c r="N9" i="39" s="1"/>
  <c r="N12" i="39" a="1"/>
  <c r="N12" i="39" s="1"/>
  <c r="N7" i="39" a="1"/>
  <c r="N7" i="39" s="1"/>
  <c r="N10" i="39" a="1"/>
  <c r="N10" i="39" s="1"/>
  <c r="N2" i="39" a="1"/>
  <c r="N2" i="39" s="1"/>
  <c r="N5" i="39" a="1"/>
  <c r="N5" i="39" s="1"/>
  <c r="N8" i="39" a="1"/>
  <c r="N8" i="39" s="1"/>
  <c r="N13" i="39" a="1"/>
  <c r="N13" i="39" s="1"/>
  <c r="N3" i="39" a="1"/>
  <c r="N3" i="39" s="1"/>
  <c r="N6" i="39" a="1"/>
  <c r="N6" i="39" s="1"/>
  <c r="N11" i="39" a="1"/>
  <c r="N11" i="39" s="1"/>
  <c r="N14" i="39" a="1"/>
  <c r="N14" i="39" s="1"/>
  <c r="U2" i="12"/>
  <c r="U11" i="12" l="1"/>
  <c r="U7" i="12"/>
  <c r="U3" i="12"/>
  <c r="U10" i="12"/>
  <c r="U9" i="12"/>
  <c r="U8" i="12"/>
  <c r="U6" i="12"/>
  <c r="U5" i="12"/>
  <c r="U4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8" i="1"/>
  <c r="S4" i="1"/>
  <c r="S3" i="1"/>
  <c r="S5" i="1" l="1"/>
  <c r="S7" i="1"/>
  <c r="S11" i="1"/>
  <c r="S9" i="1"/>
  <c r="S6" i="1"/>
  <c r="S10" i="1"/>
  <c r="W5" i="1" l="1" a="1"/>
  <c r="W5" i="1" s="1"/>
  <c r="AB5" i="1" s="1"/>
  <c r="W12" i="1" a="1"/>
  <c r="W12" i="1" s="1"/>
  <c r="AB12" i="1" s="1"/>
  <c r="W9" i="1" a="1"/>
  <c r="W9" i="1" s="1"/>
  <c r="W8" i="1" a="1"/>
  <c r="W8" i="1" s="1"/>
  <c r="AB8" i="1" s="1"/>
  <c r="W7" i="1" a="1"/>
  <c r="W7" i="1" s="1"/>
  <c r="AB7" i="1" s="1"/>
  <c r="W6" i="1" a="1"/>
  <c r="W6" i="1" s="1"/>
  <c r="AB6" i="1" s="1"/>
  <c r="W13" i="1" a="1"/>
  <c r="W13" i="1" s="1"/>
  <c r="AB13" i="1" s="1"/>
  <c r="W4" i="1" a="1"/>
  <c r="W4" i="1" s="1"/>
  <c r="AB4" i="1" s="1"/>
  <c r="W15" i="1" a="1"/>
  <c r="W15" i="1" s="1"/>
  <c r="AB15" i="1" s="1"/>
  <c r="W10" i="1" a="1"/>
  <c r="W10" i="1" s="1"/>
  <c r="AB10" i="1" s="1"/>
  <c r="W14" i="1" a="1"/>
  <c r="W14" i="1" s="1"/>
  <c r="AB14" i="1" s="1"/>
  <c r="W11" i="1" a="1"/>
  <c r="W11" i="1" s="1"/>
  <c r="AB11" i="1" s="1"/>
  <c r="W3" i="1" a="1"/>
  <c r="W3" i="1" s="1"/>
  <c r="AB3" i="1" s="1"/>
  <c r="AB9" i="1"/>
  <c r="AC6" i="1" l="1" a="1"/>
  <c r="AC6" i="1" s="1"/>
  <c r="D10" i="40" s="1"/>
  <c r="AC9" i="1" a="1"/>
  <c r="AC9" i="1" s="1"/>
  <c r="D11" i="40" s="1"/>
  <c r="AC14" i="1" a="1"/>
  <c r="AC14" i="1" s="1"/>
  <c r="D17" i="40" s="1"/>
  <c r="AC4" i="1" a="1"/>
  <c r="AC4" i="1" s="1"/>
  <c r="D13" i="40" s="1"/>
  <c r="AC7" i="1" a="1"/>
  <c r="AC7" i="1" s="1"/>
  <c r="D7" i="40" s="1"/>
  <c r="AC12" i="1" a="1"/>
  <c r="AC12" i="1" s="1"/>
  <c r="D15" i="40" s="1"/>
  <c r="AC15" i="1" a="1"/>
  <c r="AC15" i="1" s="1"/>
  <c r="D18" i="40" s="1"/>
  <c r="AC5" i="1" a="1"/>
  <c r="AC5" i="1" s="1"/>
  <c r="D12" i="40" s="1"/>
  <c r="AC10" i="1" a="1"/>
  <c r="AC10" i="1" s="1"/>
  <c r="D8" i="40" s="1"/>
  <c r="AC13" i="1" a="1"/>
  <c r="AC13" i="1" s="1"/>
  <c r="D16" i="40" s="1"/>
  <c r="AC3" i="1" a="1"/>
  <c r="AC3" i="1" s="1"/>
  <c r="D14" i="40" s="1"/>
  <c r="AC8" i="1" a="1"/>
  <c r="AC8" i="1" s="1"/>
  <c r="D6" i="40" s="1"/>
  <c r="AC11" i="1" a="1"/>
  <c r="AC11" i="1" s="1"/>
  <c r="D9" i="40" s="1"/>
  <c r="E7" i="49" l="1"/>
  <c r="E4" i="49"/>
  <c r="E10" i="49"/>
  <c r="E11" i="49"/>
  <c r="E12" i="49"/>
  <c r="E16" i="49"/>
  <c r="E15" i="49"/>
  <c r="E14" i="49"/>
  <c r="E13" i="49"/>
  <c r="E9" i="49"/>
  <c r="E6" i="49"/>
  <c r="E5" i="49"/>
  <c r="E8" i="49"/>
  <c r="S11" i="42"/>
  <c r="S9" i="42" l="1"/>
  <c r="S3" i="42"/>
  <c r="S5" i="42"/>
  <c r="S7" i="42"/>
  <c r="S8" i="42"/>
  <c r="S4" i="42"/>
  <c r="U5" i="42" l="1" a="1"/>
  <c r="U5" i="42" s="1"/>
  <c r="L12" i="40" s="1"/>
  <c r="U10" i="42" a="1"/>
  <c r="U10" i="42" s="1"/>
  <c r="L8" i="40" s="1"/>
  <c r="U13" i="42" a="1"/>
  <c r="U13" i="42" s="1"/>
  <c r="L16" i="40" s="1"/>
  <c r="U4" i="42" a="1"/>
  <c r="U4" i="42" s="1"/>
  <c r="L13" i="40" s="1"/>
  <c r="U15" i="42" a="1"/>
  <c r="U15" i="42" s="1"/>
  <c r="L18" i="40" s="1"/>
  <c r="U8" i="42" a="1"/>
  <c r="U8" i="42" s="1"/>
  <c r="L6" i="40" s="1"/>
  <c r="U11" i="42" a="1"/>
  <c r="U11" i="42" s="1"/>
  <c r="L9" i="40" s="1"/>
  <c r="U3" i="42" a="1"/>
  <c r="U3" i="42" s="1"/>
  <c r="L14" i="40" s="1"/>
  <c r="U7" i="42" a="1"/>
  <c r="U7" i="42" s="1"/>
  <c r="L7" i="40" s="1"/>
  <c r="U6" i="42" a="1"/>
  <c r="U6" i="42" s="1"/>
  <c r="L10" i="40" s="1"/>
  <c r="U9" i="42" a="1"/>
  <c r="U9" i="42" s="1"/>
  <c r="L11" i="40" s="1"/>
  <c r="U14" i="42" a="1"/>
  <c r="U14" i="42" s="1"/>
  <c r="L17" i="40" s="1"/>
  <c r="U12" i="42" a="1"/>
  <c r="U12" i="42" s="1"/>
  <c r="L15" i="40" s="1"/>
  <c r="K8" i="49" l="1"/>
  <c r="I12" i="55"/>
  <c r="P12" i="55" s="1"/>
  <c r="K5" i="49"/>
  <c r="I13" i="55"/>
  <c r="P13" i="55" s="1"/>
  <c r="K10" i="49"/>
  <c r="I11" i="55"/>
  <c r="P11" i="55" s="1"/>
  <c r="K15" i="49"/>
  <c r="I20" i="55"/>
  <c r="P20" i="55" s="1"/>
  <c r="K12" i="49"/>
  <c r="I9" i="55"/>
  <c r="K11" i="49"/>
  <c r="I10" i="55"/>
  <c r="P10" i="55" s="1"/>
  <c r="K13" i="49"/>
  <c r="I18" i="55"/>
  <c r="P18" i="55" s="1"/>
  <c r="K16" i="49"/>
  <c r="I21" i="55"/>
  <c r="P21" i="55" s="1"/>
  <c r="K9" i="49"/>
  <c r="I15" i="55"/>
  <c r="P15" i="55" s="1"/>
  <c r="K7" i="49"/>
  <c r="I17" i="55"/>
  <c r="P17" i="55" s="1"/>
  <c r="K14" i="49"/>
  <c r="I19" i="55"/>
  <c r="P19" i="55" s="1"/>
  <c r="K6" i="49"/>
  <c r="I16" i="55"/>
  <c r="P16" i="55" s="1"/>
  <c r="K4" i="49"/>
  <c r="I14" i="55"/>
  <c r="P14" i="55" s="1"/>
  <c r="U1" i="28"/>
  <c r="T1" i="28"/>
  <c r="S1" i="28"/>
  <c r="V12" i="28" l="1"/>
  <c r="V14" i="28"/>
  <c r="V13" i="28"/>
  <c r="V15" i="28"/>
  <c r="U11" i="28"/>
  <c r="U10" i="28" l="1"/>
  <c r="U9" i="28" l="1"/>
  <c r="U8" i="28" l="1"/>
  <c r="U7" i="28" l="1"/>
  <c r="U6" i="28" l="1"/>
  <c r="V6" i="28" l="1"/>
  <c r="U5" i="28" l="1"/>
  <c r="U4" i="28" l="1"/>
  <c r="U3" i="28" l="1"/>
  <c r="T3" i="28" l="1"/>
  <c r="N17" i="8" l="1"/>
  <c r="V8" i="28" l="1"/>
  <c r="N4" i="28"/>
  <c r="V5" i="28"/>
  <c r="N9" i="28"/>
  <c r="N11" i="28"/>
  <c r="N6" i="28"/>
  <c r="N10" i="28"/>
  <c r="N3" i="28"/>
  <c r="N7" i="28"/>
  <c r="N16" i="8"/>
  <c r="V4" i="28"/>
  <c r="V10" i="28"/>
  <c r="S3" i="28"/>
  <c r="V3" i="28" s="1"/>
  <c r="V7" i="28"/>
  <c r="O13" i="8"/>
  <c r="O21" i="8" s="1"/>
  <c r="N5" i="28" l="1"/>
  <c r="N8" i="28"/>
  <c r="V11" i="28"/>
  <c r="V9" i="28"/>
  <c r="X5" i="28" s="1"/>
  <c r="I12" i="40" s="1"/>
  <c r="N22" i="8"/>
  <c r="N21" i="8"/>
  <c r="X11" i="28" l="1"/>
  <c r="I9" i="40" s="1"/>
  <c r="I7" i="49" s="1"/>
  <c r="I10" i="49"/>
  <c r="H11" i="55"/>
  <c r="N11" i="55" s="1"/>
  <c r="X12" i="28"/>
  <c r="I15" i="40" s="1"/>
  <c r="X8" i="28"/>
  <c r="I6" i="40" s="1"/>
  <c r="X7" i="28"/>
  <c r="I7" i="40" s="1"/>
  <c r="X13" i="28"/>
  <c r="I16" i="40" s="1"/>
  <c r="X4" i="28"/>
  <c r="I13" i="40" s="1"/>
  <c r="X14" i="28"/>
  <c r="I17" i="40" s="1"/>
  <c r="X9" i="28"/>
  <c r="I11" i="40" s="1"/>
  <c r="X15" i="28"/>
  <c r="I18" i="40" s="1"/>
  <c r="X10" i="28"/>
  <c r="I8" i="40" s="1"/>
  <c r="X6" i="28"/>
  <c r="I10" i="40" s="1"/>
  <c r="X3" i="28"/>
  <c r="I14" i="40" s="1"/>
  <c r="H17" i="55" l="1"/>
  <c r="N17" i="55" s="1"/>
  <c r="I16" i="49"/>
  <c r="H21" i="55"/>
  <c r="N21" i="55" s="1"/>
  <c r="I14" i="49"/>
  <c r="H19" i="55"/>
  <c r="N19" i="55" s="1"/>
  <c r="I12" i="49"/>
  <c r="H9" i="55"/>
  <c r="N9" i="55" s="1"/>
  <c r="I9" i="49"/>
  <c r="H15" i="55"/>
  <c r="N15" i="55" s="1"/>
  <c r="I5" i="49"/>
  <c r="H13" i="55"/>
  <c r="N13" i="55" s="1"/>
  <c r="I8" i="49"/>
  <c r="H12" i="55"/>
  <c r="N12" i="55" s="1"/>
  <c r="I15" i="49"/>
  <c r="H20" i="55"/>
  <c r="N20" i="55" s="1"/>
  <c r="I4" i="49"/>
  <c r="H14" i="55"/>
  <c r="N14" i="55" s="1"/>
  <c r="I6" i="49"/>
  <c r="H16" i="55"/>
  <c r="N16" i="55" s="1"/>
  <c r="I11" i="49"/>
  <c r="H10" i="55"/>
  <c r="N10" i="55" s="1"/>
  <c r="I13" i="49"/>
  <c r="H18" i="55"/>
  <c r="N18" i="55" s="1"/>
  <c r="I140" i="15"/>
  <c r="J140" i="15"/>
  <c r="H140" i="15"/>
  <c r="B140" i="15"/>
  <c r="G140" i="15"/>
  <c r="F140" i="15"/>
  <c r="E140" i="15"/>
  <c r="C140" i="15"/>
  <c r="D140" i="15"/>
  <c r="N22" i="55" l="1"/>
  <c r="AC2" i="12"/>
  <c r="AD2" i="12"/>
  <c r="O17" i="55" l="1"/>
  <c r="O11" i="55"/>
  <c r="O13" i="55"/>
  <c r="O9" i="55"/>
  <c r="O16" i="55"/>
  <c r="O10" i="55"/>
  <c r="O19" i="55"/>
  <c r="O20" i="55"/>
  <c r="O21" i="55"/>
  <c r="O18" i="55"/>
  <c r="O14" i="55"/>
  <c r="O15" i="55"/>
  <c r="O12" i="55"/>
  <c r="G23" i="18"/>
  <c r="G25" i="18" s="1" a="1"/>
  <c r="G25" i="18" s="1"/>
  <c r="K7" i="39" s="1"/>
  <c r="B23" i="18"/>
  <c r="H23" i="18"/>
  <c r="H25" i="18" s="1" a="1"/>
  <c r="H25" i="18" s="1"/>
  <c r="K8" i="39" s="1"/>
  <c r="C23" i="18"/>
  <c r="C25" i="18" s="1" a="1"/>
  <c r="C25" i="18" s="1"/>
  <c r="K3" i="39" s="1"/>
  <c r="I23" i="18"/>
  <c r="I25" i="18" s="1" a="1"/>
  <c r="I25" i="18" s="1"/>
  <c r="K9" i="39" s="1"/>
  <c r="J23" i="18"/>
  <c r="J25" i="18" s="1" a="1"/>
  <c r="J25" i="18" s="1"/>
  <c r="K10" i="39" s="1"/>
  <c r="E23" i="18"/>
  <c r="D23" i="18"/>
  <c r="F23" i="18"/>
  <c r="F25" i="18" s="1" a="1"/>
  <c r="F25" i="18" s="1"/>
  <c r="K6" i="39" s="1"/>
  <c r="D25" i="18" l="1" a="1"/>
  <c r="D25" i="18" s="1"/>
  <c r="K4" i="39" s="1"/>
  <c r="E25" i="18" a="1"/>
  <c r="E25" i="18" s="1"/>
  <c r="K5" i="39" s="1"/>
  <c r="B25" i="18" a="1"/>
  <c r="B25" i="18" s="1"/>
  <c r="K2" i="39" s="1"/>
  <c r="P3" i="39" l="1" a="1"/>
  <c r="P3" i="39" s="1"/>
  <c r="R3" i="39" s="1"/>
  <c r="P6" i="39" a="1"/>
  <c r="P6" i="39" s="1"/>
  <c r="R6" i="39" s="1"/>
  <c r="P11" i="39" a="1"/>
  <c r="P11" i="39" s="1"/>
  <c r="R11" i="39" s="1"/>
  <c r="P14" i="39" a="1"/>
  <c r="P14" i="39" s="1"/>
  <c r="R14" i="39" s="1"/>
  <c r="P4" i="39" a="1"/>
  <c r="P4" i="39" s="1"/>
  <c r="R4" i="39" s="1"/>
  <c r="P9" i="39" a="1"/>
  <c r="P9" i="39" s="1"/>
  <c r="R9" i="39" s="1"/>
  <c r="P12" i="39" a="1"/>
  <c r="P12" i="39" s="1"/>
  <c r="R12" i="39" s="1"/>
  <c r="P7" i="39" a="1"/>
  <c r="P7" i="39" s="1"/>
  <c r="R7" i="39" s="1"/>
  <c r="P10" i="39" a="1"/>
  <c r="P10" i="39" s="1"/>
  <c r="R10" i="39" s="1"/>
  <c r="P2" i="39" a="1"/>
  <c r="P2" i="39" s="1"/>
  <c r="R2" i="39" s="1"/>
  <c r="P5" i="39" a="1"/>
  <c r="P5" i="39" s="1"/>
  <c r="R5" i="39" s="1"/>
  <c r="P8" i="39" a="1"/>
  <c r="P8" i="39" s="1"/>
  <c r="R8" i="39" s="1"/>
  <c r="P13" i="39" a="1"/>
  <c r="P13" i="39" s="1"/>
  <c r="R13" i="39" s="1"/>
  <c r="B133" i="15"/>
  <c r="H4" i="13" s="1"/>
  <c r="S5" i="39" l="1" a="1"/>
  <c r="S5" i="39" s="1"/>
  <c r="E10" i="40" s="1"/>
  <c r="S8" i="39" a="1"/>
  <c r="S8" i="39" s="1"/>
  <c r="E11" i="40" s="1"/>
  <c r="S13" i="39" a="1"/>
  <c r="S13" i="39" s="1"/>
  <c r="E17" i="40" s="1"/>
  <c r="S3" i="39" a="1"/>
  <c r="S3" i="39" s="1"/>
  <c r="E13" i="40" s="1"/>
  <c r="S6" i="39" a="1"/>
  <c r="S6" i="39" s="1"/>
  <c r="E7" i="40" s="1"/>
  <c r="S11" i="39" a="1"/>
  <c r="S11" i="39" s="1"/>
  <c r="E15" i="40" s="1"/>
  <c r="S14" i="39" a="1"/>
  <c r="S14" i="39" s="1"/>
  <c r="E18" i="40" s="1"/>
  <c r="S4" i="39" a="1"/>
  <c r="S4" i="39" s="1"/>
  <c r="E12" i="40" s="1"/>
  <c r="S9" i="39" a="1"/>
  <c r="S9" i="39" s="1"/>
  <c r="E8" i="40" s="1"/>
  <c r="S12" i="39" a="1"/>
  <c r="S12" i="39" s="1"/>
  <c r="E16" i="40" s="1"/>
  <c r="S7" i="39" a="1"/>
  <c r="S7" i="39" s="1"/>
  <c r="E6" i="40" s="1"/>
  <c r="S10" i="39" a="1"/>
  <c r="S10" i="39" s="1"/>
  <c r="E9" i="40" s="1"/>
  <c r="S2" i="39" a="1"/>
  <c r="S2" i="39" s="1"/>
  <c r="E14" i="40" s="1"/>
  <c r="D133" i="15"/>
  <c r="H6" i="13" s="1"/>
  <c r="J133" i="15"/>
  <c r="H12" i="13" s="1"/>
  <c r="I133" i="15"/>
  <c r="H11" i="13" s="1"/>
  <c r="G133" i="15"/>
  <c r="H9" i="13" s="1"/>
  <c r="F133" i="15"/>
  <c r="H8" i="13" s="1"/>
  <c r="H133" i="15"/>
  <c r="H10" i="13" s="1"/>
  <c r="E133" i="15"/>
  <c r="H7" i="13" s="1"/>
  <c r="C133" i="15"/>
  <c r="H5" i="13" s="1"/>
  <c r="F7" i="49" l="1"/>
  <c r="F10" i="49"/>
  <c r="F11" i="49"/>
  <c r="F4" i="49"/>
  <c r="F16" i="49"/>
  <c r="F15" i="49"/>
  <c r="F14" i="49"/>
  <c r="F13" i="49"/>
  <c r="F9" i="49"/>
  <c r="F12" i="49"/>
  <c r="F6" i="49"/>
  <c r="F5" i="49"/>
  <c r="F8" i="49"/>
  <c r="M5" i="13"/>
  <c r="M9" i="13"/>
  <c r="M12" i="13"/>
  <c r="M7" i="13"/>
  <c r="M11" i="13"/>
  <c r="M13" i="13"/>
  <c r="M15" i="13"/>
  <c r="M10" i="13"/>
  <c r="M8" i="13"/>
  <c r="M6" i="13"/>
  <c r="M14" i="13"/>
  <c r="M16" i="13"/>
  <c r="M4" i="13"/>
  <c r="E132" i="5" l="1"/>
  <c r="E7" i="13" s="1"/>
  <c r="J7" i="13" s="1"/>
  <c r="F132" i="5"/>
  <c r="E8" i="13" s="1"/>
  <c r="J8" i="13" s="1"/>
  <c r="G132" i="5"/>
  <c r="E9" i="13" s="1"/>
  <c r="J9" i="13" s="1"/>
  <c r="H132" i="5"/>
  <c r="E10" i="13" s="1"/>
  <c r="J10" i="13" s="1"/>
  <c r="I132" i="5"/>
  <c r="E11" i="13" s="1"/>
  <c r="J11" i="13" s="1"/>
  <c r="J132" i="5"/>
  <c r="E12" i="13" s="1"/>
  <c r="J12" i="13" s="1"/>
  <c r="D132" i="5" l="1"/>
  <c r="E6" i="13" s="1"/>
  <c r="J6" i="13" s="1"/>
  <c r="C132" i="5"/>
  <c r="E5" i="13" s="1"/>
  <c r="B132" i="5"/>
  <c r="E4" i="13" s="1"/>
  <c r="J4" i="13" s="1"/>
  <c r="L5" i="13" l="1"/>
  <c r="J5" i="13"/>
  <c r="K5" i="13" s="1"/>
  <c r="K6" i="13"/>
  <c r="K7" i="13"/>
  <c r="K8" i="13"/>
  <c r="K9" i="13"/>
  <c r="K10" i="13"/>
  <c r="K11" i="13"/>
  <c r="K12" i="13"/>
  <c r="L9" i="13"/>
  <c r="L12" i="13"/>
  <c r="L6" i="13"/>
  <c r="L8" i="13"/>
  <c r="L7" i="13"/>
  <c r="L4" i="13"/>
  <c r="L13" i="13"/>
  <c r="P13" i="13" s="1"/>
  <c r="L14" i="13"/>
  <c r="P14" i="13" s="1"/>
  <c r="L15" i="13"/>
  <c r="P15" i="13" s="1"/>
  <c r="L16" i="13"/>
  <c r="P16" i="13" s="1"/>
  <c r="L11" i="13"/>
  <c r="L10" i="13"/>
  <c r="Z2" i="12"/>
  <c r="AB2" i="12"/>
  <c r="AA2" i="12"/>
  <c r="W2" i="12"/>
  <c r="X2" i="12"/>
  <c r="V2" i="12"/>
  <c r="AH2" i="12" l="1"/>
  <c r="K14" i="13"/>
  <c r="K13" i="13"/>
  <c r="K16" i="13"/>
  <c r="K15" i="13"/>
  <c r="K4" i="13"/>
  <c r="P5" i="13"/>
  <c r="P11" i="13"/>
  <c r="P7" i="13"/>
  <c r="P10" i="13"/>
  <c r="P4" i="13"/>
  <c r="P9" i="13"/>
  <c r="P6" i="13"/>
  <c r="P8" i="13"/>
  <c r="P12" i="13"/>
  <c r="R5" i="13" l="1" a="1"/>
  <c r="R5" i="13" s="1"/>
  <c r="F13" i="40" s="1"/>
  <c r="R8" i="13" a="1"/>
  <c r="R8" i="13" s="1"/>
  <c r="F7" i="40" s="1"/>
  <c r="R13" i="13" a="1"/>
  <c r="R13" i="13" s="1"/>
  <c r="F15" i="40" s="1"/>
  <c r="R16" i="13" a="1"/>
  <c r="R16" i="13" s="1"/>
  <c r="F18" i="40" s="1"/>
  <c r="R6" i="13" a="1"/>
  <c r="R6" i="13" s="1"/>
  <c r="F12" i="40" s="1"/>
  <c r="R11" i="13" a="1"/>
  <c r="R11" i="13" s="1"/>
  <c r="F8" i="40" s="1"/>
  <c r="R14" i="13" a="1"/>
  <c r="R14" i="13" s="1"/>
  <c r="F16" i="40" s="1"/>
  <c r="R9" i="13" a="1"/>
  <c r="R9" i="13" s="1"/>
  <c r="F6" i="40" s="1"/>
  <c r="R12" i="13" a="1"/>
  <c r="R12" i="13" s="1"/>
  <c r="F9" i="40" s="1"/>
  <c r="R4" i="13" a="1"/>
  <c r="R4" i="13" s="1"/>
  <c r="F14" i="40" s="1"/>
  <c r="R7" i="13" a="1"/>
  <c r="R7" i="13" s="1"/>
  <c r="F10" i="40" s="1"/>
  <c r="R10" i="13" a="1"/>
  <c r="R10" i="13" s="1"/>
  <c r="F11" i="40" s="1"/>
  <c r="R15" i="13" a="1"/>
  <c r="R15" i="13" s="1"/>
  <c r="F17" i="40" s="1"/>
  <c r="I4" i="12"/>
  <c r="H3" i="12"/>
  <c r="K14" i="40" s="1"/>
  <c r="I8" i="12"/>
  <c r="H4" i="12"/>
  <c r="K13" i="40" s="1"/>
  <c r="H10" i="12"/>
  <c r="K8" i="40" l="1"/>
  <c r="C24" i="59"/>
  <c r="G15" i="49"/>
  <c r="G17" i="40"/>
  <c r="G9" i="49"/>
  <c r="G11" i="40"/>
  <c r="G4" i="49"/>
  <c r="G6" i="40"/>
  <c r="G16" i="49"/>
  <c r="G18" i="40"/>
  <c r="G8" i="49"/>
  <c r="G10" i="40"/>
  <c r="G14" i="49"/>
  <c r="G16" i="40"/>
  <c r="G13" i="49"/>
  <c r="G15" i="40"/>
  <c r="G12" i="49"/>
  <c r="G14" i="40"/>
  <c r="G6" i="49"/>
  <c r="G8" i="40"/>
  <c r="G5" i="49"/>
  <c r="G7" i="40"/>
  <c r="G7" i="49"/>
  <c r="G9" i="40"/>
  <c r="G10" i="49"/>
  <c r="G12" i="40"/>
  <c r="G11" i="49"/>
  <c r="G13" i="40"/>
  <c r="P9" i="55"/>
  <c r="J4" i="12"/>
  <c r="I10" i="12"/>
  <c r="I11" i="12"/>
  <c r="H5" i="12"/>
  <c r="K12" i="40" s="1"/>
  <c r="I9" i="12"/>
  <c r="I7" i="12"/>
  <c r="I5" i="12"/>
  <c r="H11" i="12"/>
  <c r="K9" i="40" s="1"/>
  <c r="I3" i="12"/>
  <c r="J3" i="12" s="1"/>
  <c r="H6" i="12"/>
  <c r="K10" i="40" s="1"/>
  <c r="H8" i="12"/>
  <c r="K6" i="40" s="1"/>
  <c r="I6" i="12"/>
  <c r="H7" i="12"/>
  <c r="K7" i="40" s="1"/>
  <c r="H9" i="12"/>
  <c r="K11" i="40" s="1"/>
  <c r="P22" i="55" l="1"/>
  <c r="Q9" i="55" s="1"/>
  <c r="H8" i="40" a="1"/>
  <c r="H8" i="40" s="1"/>
  <c r="G16" i="55" s="1"/>
  <c r="H13" i="40" a="1"/>
  <c r="H13" i="40" s="1"/>
  <c r="G10" i="55" s="1"/>
  <c r="H16" i="40" a="1"/>
  <c r="H16" i="40" s="1"/>
  <c r="G19" i="55" s="1"/>
  <c r="H11" i="40" a="1"/>
  <c r="H11" i="40" s="1"/>
  <c r="G15" i="55" s="1"/>
  <c r="H14" i="40" a="1"/>
  <c r="H14" i="40" s="1"/>
  <c r="G9" i="55" s="1"/>
  <c r="H6" i="40" a="1"/>
  <c r="H6" i="40" s="1"/>
  <c r="G14" i="55" s="1"/>
  <c r="L14" i="55" s="1"/>
  <c r="H9" i="40" a="1"/>
  <c r="H9" i="40" s="1"/>
  <c r="G17" i="55" s="1"/>
  <c r="H12" i="40" a="1"/>
  <c r="H12" i="40" s="1"/>
  <c r="G11" i="55" s="1"/>
  <c r="H17" i="40" a="1"/>
  <c r="H17" i="40" s="1"/>
  <c r="G20" i="55" s="1"/>
  <c r="H7" i="40" a="1"/>
  <c r="H7" i="40" s="1"/>
  <c r="G13" i="55" s="1"/>
  <c r="H10" i="40" a="1"/>
  <c r="H10" i="40" s="1"/>
  <c r="G12" i="55" s="1"/>
  <c r="H15" i="40" a="1"/>
  <c r="H15" i="40" s="1"/>
  <c r="G18" i="55" s="1"/>
  <c r="H18" i="40" a="1"/>
  <c r="H18" i="40" s="1"/>
  <c r="G21" i="55" s="1"/>
  <c r="J10" i="12"/>
  <c r="E24" i="59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H4" i="49" l="1"/>
  <c r="Q16" i="55"/>
  <c r="Q14" i="55"/>
  <c r="Q17" i="55"/>
  <c r="Q15" i="55"/>
  <c r="Q18" i="55"/>
  <c r="Q10" i="55"/>
  <c r="Q20" i="55"/>
  <c r="Q12" i="55"/>
  <c r="Q19" i="55"/>
  <c r="Q21" i="55"/>
  <c r="Q11" i="55"/>
  <c r="Q13" i="55"/>
  <c r="AB7" i="12" a="1"/>
  <c r="AB7" i="12" s="1"/>
  <c r="AH7" i="12" s="1"/>
  <c r="H16" i="49"/>
  <c r="L21" i="55"/>
  <c r="H9" i="49"/>
  <c r="L15" i="55"/>
  <c r="H8" i="49"/>
  <c r="L12" i="55"/>
  <c r="H15" i="49"/>
  <c r="L20" i="55"/>
  <c r="H6" i="49"/>
  <c r="L16" i="55"/>
  <c r="H5" i="49"/>
  <c r="L13" i="55"/>
  <c r="H13" i="49"/>
  <c r="L18" i="55"/>
  <c r="H10" i="49"/>
  <c r="L11" i="55"/>
  <c r="H14" i="49"/>
  <c r="L19" i="55"/>
  <c r="H7" i="49"/>
  <c r="L17" i="55"/>
  <c r="H12" i="49"/>
  <c r="L9" i="55"/>
  <c r="H11" i="49"/>
  <c r="L10" i="55"/>
  <c r="AB14" i="12" a="1"/>
  <c r="AB14" i="12" s="1"/>
  <c r="AH14" i="12" s="1"/>
  <c r="AB11" i="12" a="1"/>
  <c r="AB11" i="12" s="1"/>
  <c r="AH11" i="12" s="1"/>
  <c r="AB5" i="12" a="1"/>
  <c r="AB5" i="12" s="1"/>
  <c r="AH5" i="12" s="1"/>
  <c r="AB4" i="12" a="1"/>
  <c r="AB4" i="12" s="1"/>
  <c r="AH4" i="12" s="1"/>
  <c r="AB9" i="12" a="1"/>
  <c r="AB9" i="12" s="1"/>
  <c r="AH9" i="12" s="1"/>
  <c r="AB8" i="12" a="1"/>
  <c r="AB8" i="12" s="1"/>
  <c r="AH8" i="12" s="1"/>
  <c r="AB15" i="12" a="1"/>
  <c r="AB15" i="12" s="1"/>
  <c r="AH15" i="12" s="1"/>
  <c r="AB6" i="12" a="1"/>
  <c r="AB6" i="12" s="1"/>
  <c r="AH6" i="12" s="1"/>
  <c r="AB13" i="12" a="1"/>
  <c r="AB13" i="12" s="1"/>
  <c r="AK13" i="12" s="1"/>
  <c r="AB12" i="12" a="1"/>
  <c r="AB12" i="12" s="1"/>
  <c r="AK12" i="12" s="1"/>
  <c r="AB3" i="12" a="1"/>
  <c r="AB3" i="12" s="1"/>
  <c r="AK3" i="12" s="1"/>
  <c r="AB10" i="12" a="1"/>
  <c r="AB10" i="12" s="1"/>
  <c r="AK10" i="12" s="1"/>
  <c r="AK7" i="12" l="1"/>
  <c r="AH10" i="12"/>
  <c r="AH12" i="12"/>
  <c r="AH13" i="12"/>
  <c r="AH3" i="12"/>
  <c r="AK8" i="12"/>
  <c r="AK15" i="12"/>
  <c r="AK14" i="12"/>
  <c r="L22" i="55"/>
  <c r="M14" i="55" s="1"/>
  <c r="AK11" i="12"/>
  <c r="AK4" i="12"/>
  <c r="AK6" i="12"/>
  <c r="AK9" i="12"/>
  <c r="AK5" i="12"/>
  <c r="AJ6" i="12" l="1" a="1"/>
  <c r="AJ6" i="12" s="1"/>
  <c r="J10" i="40" s="1"/>
  <c r="J8" i="49" s="1"/>
  <c r="AJ9" i="12" a="1"/>
  <c r="AJ9" i="12" s="1"/>
  <c r="AJ15" i="12" a="1"/>
  <c r="AJ15" i="12" s="1"/>
  <c r="AJ5" i="12" a="1"/>
  <c r="AJ5" i="12" s="1"/>
  <c r="AJ13" i="12" a="1"/>
  <c r="AJ13" i="12" s="1"/>
  <c r="M16" i="55"/>
  <c r="AJ7" i="12" a="1"/>
  <c r="AJ7" i="12" s="1"/>
  <c r="M17" i="55"/>
  <c r="AJ11" i="12" a="1"/>
  <c r="AJ11" i="12" s="1"/>
  <c r="AJ12" i="12" a="1"/>
  <c r="AJ12" i="12" s="1"/>
  <c r="M18" i="55"/>
  <c r="AJ14" i="12" a="1"/>
  <c r="AJ14" i="12" s="1"/>
  <c r="J17" i="40" s="1"/>
  <c r="AJ4" i="12" a="1"/>
  <c r="AJ4" i="12" s="1"/>
  <c r="J13" i="40" s="1"/>
  <c r="M12" i="55"/>
  <c r="M9" i="55"/>
  <c r="M15" i="55"/>
  <c r="M20" i="55"/>
  <c r="AJ10" i="12" a="1"/>
  <c r="AJ10" i="12" s="1"/>
  <c r="J8" i="40" s="1"/>
  <c r="M13" i="55"/>
  <c r="AJ3" i="12" a="1"/>
  <c r="AJ3" i="12" s="1"/>
  <c r="J14" i="40" s="1"/>
  <c r="AJ8" i="12" a="1"/>
  <c r="AJ8" i="12" s="1"/>
  <c r="M21" i="55"/>
  <c r="M19" i="55"/>
  <c r="M10" i="55"/>
  <c r="M11" i="55"/>
  <c r="M10" i="40" l="1"/>
  <c r="F12" i="55"/>
  <c r="J12" i="55" s="1"/>
  <c r="J7" i="40"/>
  <c r="J5" i="49" s="1"/>
  <c r="J16" i="40"/>
  <c r="F19" i="55" s="1"/>
  <c r="J19" i="55" s="1"/>
  <c r="J12" i="40"/>
  <c r="M12" i="40" s="1"/>
  <c r="J15" i="40"/>
  <c r="F18" i="55" s="1"/>
  <c r="J18" i="55" s="1"/>
  <c r="J18" i="40"/>
  <c r="M18" i="40" s="1"/>
  <c r="J9" i="40"/>
  <c r="M9" i="40" s="1"/>
  <c r="J11" i="40"/>
  <c r="F15" i="55" s="1"/>
  <c r="J15" i="55" s="1"/>
  <c r="J6" i="40"/>
  <c r="M6" i="40" s="1"/>
  <c r="F13" i="55"/>
  <c r="J13" i="55" s="1"/>
  <c r="F17" i="55"/>
  <c r="J17" i="55" s="1"/>
  <c r="J6" i="49"/>
  <c r="F16" i="55"/>
  <c r="J16" i="55" s="1"/>
  <c r="M8" i="40"/>
  <c r="J11" i="49"/>
  <c r="F10" i="55"/>
  <c r="J10" i="55" s="1"/>
  <c r="M13" i="40"/>
  <c r="J15" i="49"/>
  <c r="F20" i="55"/>
  <c r="J20" i="55" s="1"/>
  <c r="M17" i="40"/>
  <c r="J12" i="49"/>
  <c r="F9" i="55"/>
  <c r="J9" i="55" s="1"/>
  <c r="M14" i="40"/>
  <c r="M7" i="40" l="1"/>
  <c r="J14" i="49"/>
  <c r="J10" i="49"/>
  <c r="F11" i="55"/>
  <c r="J11" i="55" s="1"/>
  <c r="M16" i="40"/>
  <c r="J7" i="49"/>
  <c r="M15" i="40"/>
  <c r="F21" i="55"/>
  <c r="J21" i="55" s="1"/>
  <c r="J16" i="49"/>
  <c r="J13" i="49"/>
  <c r="M11" i="40"/>
  <c r="J9" i="49"/>
  <c r="F14" i="55"/>
  <c r="J14" i="55" s="1"/>
  <c r="J4" i="49"/>
  <c r="N10" i="40" a="1"/>
  <c r="N10" i="40" s="1"/>
  <c r="L8" i="49" s="1"/>
  <c r="N12" i="40" a="1"/>
  <c r="N12" i="40" s="1"/>
  <c r="L10" i="49" s="1"/>
  <c r="N6" i="40" l="1" a="1"/>
  <c r="N6" i="40" s="1"/>
  <c r="L4" i="49" s="1"/>
  <c r="J22" i="55"/>
  <c r="K14" i="55" s="1"/>
  <c r="R14" i="55" s="1"/>
  <c r="N16" i="40" a="1"/>
  <c r="N16" i="40" s="1"/>
  <c r="L14" i="49" s="1"/>
  <c r="N17" i="40" a="1"/>
  <c r="N17" i="40" s="1"/>
  <c r="L15" i="49" s="1"/>
  <c r="N18" i="40" a="1"/>
  <c r="N18" i="40" s="1"/>
  <c r="L16" i="49" s="1"/>
  <c r="N13" i="40" a="1"/>
  <c r="N13" i="40" s="1"/>
  <c r="L11" i="49" s="1"/>
  <c r="N9" i="40" a="1"/>
  <c r="N9" i="40" s="1"/>
  <c r="L7" i="49" s="1"/>
  <c r="N11" i="40" a="1"/>
  <c r="N11" i="40" s="1"/>
  <c r="L9" i="49" s="1"/>
  <c r="N8" i="40" a="1"/>
  <c r="N8" i="40" s="1"/>
  <c r="L6" i="49" s="1"/>
  <c r="N15" i="40" a="1"/>
  <c r="N15" i="40" s="1"/>
  <c r="L13" i="49" s="1"/>
  <c r="N14" i="40" a="1"/>
  <c r="N14" i="40" s="1"/>
  <c r="L12" i="49" s="1"/>
  <c r="N7" i="40" a="1"/>
  <c r="N7" i="40" s="1"/>
  <c r="L5" i="49" s="1"/>
  <c r="K10" i="55"/>
  <c r="R10" i="55" s="1"/>
  <c r="K20" i="55"/>
  <c r="R20" i="55" s="1"/>
  <c r="K16" i="55"/>
  <c r="R16" i="55" s="1"/>
  <c r="K19" i="55"/>
  <c r="R19" i="55" s="1"/>
  <c r="K13" i="55"/>
  <c r="R13" i="55" s="1"/>
  <c r="K17" i="55"/>
  <c r="R17" i="55" s="1"/>
  <c r="K21" i="55"/>
  <c r="R21" i="55" s="1"/>
  <c r="K12" i="55"/>
  <c r="R12" i="55" s="1"/>
  <c r="K15" i="55"/>
  <c r="R15" i="55" s="1"/>
  <c r="K11" i="55"/>
  <c r="R11" i="55" s="1"/>
  <c r="K18" i="55"/>
  <c r="R18" i="55" s="1"/>
  <c r="K9" i="55"/>
  <c r="R9" i="55" s="1"/>
  <c r="S18" i="55" l="1"/>
  <c r="S15" i="55"/>
  <c r="S12" i="55"/>
  <c r="S11" i="55"/>
  <c r="S17" i="55"/>
  <c r="S13" i="55"/>
  <c r="S16" i="55"/>
  <c r="S20" i="55"/>
  <c r="S10" i="55"/>
  <c r="S21" i="55"/>
  <c r="S19" i="55"/>
  <c r="S14" i="55"/>
  <c r="R3" i="55"/>
  <c r="S9" i="55"/>
  <c r="S3" i="55" l="1"/>
  <c r="E13" i="59"/>
  <c r="E12" i="59"/>
  <c r="E15" i="59"/>
  <c r="E16" i="59"/>
  <c r="E8" i="59"/>
  <c r="E9" i="59"/>
  <c r="E11" i="59"/>
  <c r="E10" i="59"/>
  <c r="E17" i="59"/>
  <c r="E14" i="59"/>
  <c r="K35" i="59" l="1"/>
  <c r="O35" i="59" s="1"/>
  <c r="K39" i="59"/>
  <c r="O39" i="59" s="1"/>
  <c r="K38" i="59"/>
  <c r="O38" i="59" s="1"/>
  <c r="K37" i="59"/>
  <c r="O37" i="59" s="1"/>
  <c r="K36" i="59"/>
  <c r="O36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44F3FACC-6785-42C9-82CD-5D78CC8FDCA6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Timestamp="1711104451"&gt;&lt;FQL&gt;&lt;Q&gt;FC0000ZA^FG_MCAP_IDX(0,,,USD)&lt;/Q&gt;&lt;R&gt;1&lt;/R&gt;&lt;C&gt;1&lt;/C&gt;&lt;D xsi:type="xsd:double"&gt;290666.13&lt;/D&gt;&lt;/FQL&gt;&lt;FQL&gt;&lt;Q&gt;EWI^FREF_MARKET_VALUE_COMPANY(0,,,USD,,0,,"LEGACY")&lt;/Q&gt;&lt;R&gt;1&lt;/R&gt;&lt;C&gt;1&lt;/C&gt;&lt;D xsi:type="xsd:double"&gt;424.34775&lt;/D&gt;&lt;/FQL&gt;&lt;FQL&gt;&lt;Q&gt;FC0000IT^FMA_MCAP(0,,,USD,"PORTAGG")&lt;/Q&gt;&lt;R&gt;1&lt;/R&gt;&lt;C&gt;1&lt;/C&gt;&lt;D xsi:type="xsd:double"&gt;892619.75&lt;/D&gt;&lt;/FQL&gt;&lt;FQL&gt;&lt;Q&gt;EWD^FREF_MARKET_VALUE_COMPANY(0,,,USD,,0,,"LEGACY")&lt;/Q&gt;&lt;R&gt;1&lt;/R&gt;&lt;C&gt;1&lt;/C&gt;&lt;D xsi:type="xsd:double"&gt;261.885&lt;/D&gt;&lt;/FQL&gt;&lt;FQL&gt;&lt;Q&gt;FC0000SE^FMA_MCAP(0,,,USD,"PORTAGG")&lt;/Q&gt;&lt;R&gt;1&lt;/R&gt;&lt;C&gt;1&lt;/C&gt;&lt;D xsi:type="xsd:double"&gt;1066487.5&lt;/D&gt;&lt;/FQL&gt;&lt;FQL&gt;&lt;Q&gt;EWN^FREF_MARKET_VALUE_COMPANY(0,,,USD,,0,,"LEGACY")&lt;/Q&gt;&lt;R&gt;1&lt;/R&gt;&lt;C&gt;1&lt;/C&gt;&lt;D xsi:type="xsd:double"&gt;231.945&lt;/D&gt;&lt;/FQL&gt;&lt;FQL&gt;&lt;Q&gt;EWL^FREF_MARKET_VALUE_COMPANY(0,,,USD,,0,,"LEGACY")&lt;/Q&gt;&lt;R&gt;1&lt;/R&gt;&lt;C&gt;1&lt;/C&gt;&lt;D xsi:type="xsd:double"&gt;1117.895&lt;/D&gt;&lt;/FQL&gt;&lt;FQL&gt;&lt;Q&gt;FC0000NL^FMA_MCAP(0,,,USD,"PORTAGG")&lt;/Q&gt;&lt;R&gt;1&lt;/R&gt;&lt;C&gt;1&lt;/C&gt;&lt;D xsi:type="xsd:double"&gt;1144022&lt;/D&gt;&lt;/FQL&gt;&lt;FQL&gt;&lt;Q&gt;EWQ^FREF_MARKET_VALUE_COMPANY(0,,,USD,,0,,"LEGACY")&lt;/Q&gt;&lt;R&gt;1&lt;/R&gt;&lt;C&gt;1&lt;/C&gt;&lt;D xsi:type="xsd:double"&gt;678.304&lt;/D&gt;&lt;/FQL&gt;&lt;FQL&gt;&lt;Q&gt;FC0000FR^FMA_MCAP(0,,,USD,"PORTAGG")&lt;/Q&gt;&lt;R&gt;1&lt;/R&gt;&lt;C&gt;1&lt;/C&gt;&lt;D xsi:type="xsd:double"&gt;3446994&lt;/D&gt;&lt;/FQL&gt;&lt;FQL&gt;&lt;Q&gt;SPY^FREF_MARKET_VALUE_COMPANY(0,,,USD,,0,,"LEGACY")&lt;/Q&gt;&lt;R&gt;1&lt;/R&gt;&lt;C&gt;1&lt;/C&gt;&lt;D xsi:type="xsd:double"&gt;535271.76262&lt;/D&gt;&lt;/FQL&gt;&lt;FQL&gt;&lt;Q&gt;FC0000US^FMA_MCAP(0,,,USD,"PORTAGG")&lt;/Q&gt;&lt;R&gt;1&lt;/R&gt;&lt;C&gt;1&lt;/C&gt;&lt;D xsi:type="xsd:double"&gt;54772308&lt;/D&gt;&lt;/FQL&gt;&lt;FQL&gt;&lt;Q&gt;QQQ^FREF_MARKET_VALUE_COMPANY(0,,,USD,,0,,"LEGACY")&lt;/Q&gt;&lt;R&gt;1&lt;/R&gt;&lt;C&gt;1&lt;/C&gt;&lt;D xsi:type="xsd:double"&gt;258849.8285&lt;/D&gt;&lt;/FQL&gt;&lt;FQL&gt;&lt;Q&gt;FC0000CH^FMA_MCAP(0,,,USD,"PORTAGG")&lt;/Q&gt;&lt;R&gt;1&lt;/R&gt;&lt;C&gt;1&lt;/C&gt;&lt;D xsi:type="xsd:double"&gt;2131958&lt;/D&gt;&lt;/FQL&gt;&lt;FQL&gt;&lt;Q&gt;EWJ^FREF_MARKET_VALUE_COMPANY(0,,,USD,,0,,"LEGACY")&lt;/Q&gt;&lt;R&gt;1&lt;/R&gt;&lt;C&gt;1&lt;/C&gt;&lt;D xsi:type="xsd:double"&gt;17217.651&lt;/D&gt;&lt;/FQL&gt;&lt;FQL&gt;&lt;Q&gt;FC0000JP^FMA_MCAP(0,,,USD,"PORTAGG")&lt;/Q&gt;&lt;R&gt;1&lt;/R&gt;&lt;C&gt;1&lt;/C&gt;&lt;D xsi:type="xsd:double"&gt;6825096.5&lt;/D&gt;&lt;/FQL&gt;&lt;FQL&gt;&lt;Q&gt;EWG^FREF_MARKET_VALUE_COMPANY(0,,,USD,,0,,"LEGACY")&lt;/Q&gt;&lt;R&gt;1&lt;/R&gt;&lt;C&gt;1&lt;/C&gt;&lt;D xsi:type="xsd:double"&gt;1014.444&lt;/D&gt;&lt;/FQL&gt;&lt;FQL&gt;&lt;Q&gt;FC0000DE^FMA_MCAP(0,,,USD,"PORTAGG")&lt;/Q&gt;&lt;R&gt;1&lt;/R&gt;&lt;C&gt;1&lt;/C&gt;&lt;D xsi:type="xsd:double"&gt;2304464.5&lt;/D&gt;&lt;/FQL&gt;&lt;FQL&gt;&lt;Q&gt;EWC^FREF_MARKET_VALUE_COMPANY(0,,,USD,,0,,"LEGACY")&lt;/Q&gt;&lt;R&gt;1&lt;/R&gt;&lt;C&gt;1&lt;/C&gt;&lt;D xsi:type="xsd:double"&gt;2838.26&lt;/D&gt;&lt;/FQL&gt;&lt;FQL&gt;&lt;Q&gt;FC0000CA^FMA_MCAP(0,,,USD,"PORTAGG")&lt;/Q&gt;&lt;R&gt;1&lt;/R&gt;&lt;C&gt;1&lt;/C&gt;&lt;D xsi:type="xsd:double"&gt;2733940&lt;/D&gt;&lt;/FQL&gt;&lt;FQL&gt;&lt;Q&gt;EWA^FREF_MARKET_VALUE_COMPANY(0,,,USD,,0,,"LEGACY")&lt;/Q&gt;&lt;R&gt;1&lt;/R&gt;&lt;C&gt;1&lt;/C&gt;&lt;D xsi:type="xsd:double"&gt;1894.992&lt;/D&gt;&lt;/FQL&gt;&lt;FQL&gt;&lt;Q&gt;FC0000AU^FMA_MCAP(0,,,USD,"PORTAGG")&lt;/Q&gt;&lt;R&gt;1&lt;/R&gt;&lt;C&gt;1&lt;/C&gt;&lt;D xsi:type="xsd:double"&gt;1677679.8&lt;/D&gt;&lt;/FQL&gt;&lt;FQL&gt;&lt;Q&gt;ENZL^FREF_MARKET_VALUE_COMPANY(0,,,USD,,0,,"LEGACY")&lt;/Q&gt;&lt;R&gt;1&lt;/R&gt;&lt;C&gt;1&lt;/C&gt;&lt;D xsi:type="xsd:double"&gt;87.945&lt;/D&gt;&lt;/FQL&gt;&lt;FQL&gt;&lt;Q&gt;FC0000NZ^FMA_MCAP(0,,,USD,"PORTAGG")&lt;/Q&gt;&lt;R&gt;1&lt;/R&gt;&lt;C&gt;1&lt;/C&gt;&lt;D xsi:type="xsd:double"&gt;91464.14&lt;/D&gt;&lt;/FQL&gt;&lt;FQL&gt;&lt;Q&gt;NQG00809^FG_COMPANY_NAME&lt;/Q&gt;&lt;R&gt;1&lt;/R&gt;&lt;C&gt;1&lt;/C&gt;&lt;D xsi:type="xsd:string"&gt;Nasdaq South Africa&lt;/D&gt;&lt;/FQL&gt;&lt;FQL&gt;&lt;Q&gt;CC_ZA^FG_COMPANY_NAME&lt;/Q&gt;&lt;R&gt;1&lt;/R&gt;&lt;C&gt;1&lt;/C&gt;&lt;D xsi:type="xsd:string"&gt;South Africa&lt;/D&gt;&lt;/FQL&gt;&lt;FQL&gt;&lt;Q&gt;NQG00809^FMA_MCAP(0,,,USD,"PORTAGG")&lt;/Q&gt;&lt;R&gt;0&lt;/R&gt;&lt;C&gt;0&lt;/C&gt;&lt;/FQL&gt;&lt;FQL&gt;&lt;Q&gt;EWU^FREF_MARKET_VALUE_COMPANY(0,,,USD,,0,,"LEGACY")&lt;/Q&gt;&lt;R&gt;1&lt;/R&gt;&lt;C&gt;1&lt;/C&gt;&lt;D xsi:type="xsd:double"&gt;2571.492&lt;/D&gt;&lt;/FQL&gt;&lt;FQL&gt;&lt;Q&gt;FC0000GB^FMA_MCAP(0,,,USD,"PORTAGG")&lt;/Q&gt;&lt;R&gt;1&lt;/R&gt;&lt;C&gt;1&lt;/C&gt;&lt;D xsi:type="xsd:double"&gt;3126257.5&lt;/D&gt;&lt;/FQL&gt;&lt;FQL&gt;&lt;Q&gt;DUMMY^ECON_EXPR_DATA('FDS_ECON[]',,,M)&lt;/Q&gt;&lt;R&gt;0&lt;/R&gt;&lt;C&gt;0&lt;/C&gt;&lt;/FQL&gt;&lt;FQL&gt;&lt;Q&gt;DUMMY^ECON_EXPR_DATA('FDS_ECON[NTCPMIMFGMESA@US]',,,M)&lt;/Q&gt;&lt;R&gt;1&lt;/R&gt;&lt;C&gt;1&lt;/C&gt;&lt;D xsi:type="xsd:double"&gt;52.19507&lt;/D&gt;&lt;/FQL&gt;&lt;FQL&gt;&lt;Q&gt;DUMMY^ECON_EXPR_DATA('FDS_ECON[NTCPMIMFGSA@JP]',,,M)&lt;/Q&gt;&lt;R&gt;1&lt;/R&gt;&lt;C&gt;1&lt;/C&gt;&lt;D xsi:type="xsd:double"&gt;47.18277&lt;/D&gt;&lt;/FQL&gt;&lt;FQL&gt;&lt;Q&gt;DUMMY^ECON_EXPR_DATA('FDS_ECON[NTCPMIMFGSA@IT]',,,M)&lt;/Q&gt;&lt;R&gt;1&lt;/R&gt;&lt;C&gt;1&lt;/C&gt;&lt;D xsi:type="xsd:double"&gt;48.697094&lt;/D&gt;&lt;/FQL&gt;&lt;FQL&gt;&lt;Q&gt;DUMMY^ECON_EXPR_DATA('FDS_ECON[NTCPMIMFGSA@DE]',,,M)&lt;/Q&gt;&lt;R&gt;1&lt;/R&gt;&lt;C&gt;1&lt;/C&gt;&lt;D xsi:type="xsd:double"&gt;42.52625&lt;/D&gt;&lt;/FQL&gt;&lt;FQL&gt;&lt;Q&gt;DUMMY^ECON_EXPR_DATA('FDS_ECON[NTCPMIMFGSA@CH]',,,M)&lt;/Q&gt;&lt;R&gt;1&lt;/R&gt;&lt;C&gt;1&lt;/C&gt;&lt;D xsi:type="xsd:double"&gt;43.954456&lt;/D&gt;&lt;/FQL&gt;&lt;FQL&gt;&lt;Q&gt;DUMMY^ECON_EXPR_DATA('FDS_ECON[NTCPMIMFGSA@NZ]',,,M)&lt;/Q&gt;&lt;R&gt;1&lt;/R&gt;&lt;C&gt;1&lt;/C&gt;&lt;D xsi:type="xsd:double"&gt;49.27094&lt;/D&gt;&lt;/FQL&gt;&lt;FQL&gt;&lt;Q&gt;DUMMY^ECON_EXPR_DATA('FDS_ECON[NTCPMIMFGSA@NL]',,,M)&lt;/Q&gt;&lt;R&gt;1&lt;/R&gt;&lt;C&gt;1&lt;/C&gt;&lt;D xsi:type="xsd:double"&gt;49.33351&lt;/D&gt;&lt;/FQL&gt;&lt;FQL&gt;&lt;Q&gt;DUMMY^ECON_EXPR_DATA('FDS_ECON[NTCPMIMFGSA@FR]',,,M)&lt;/Q&gt;&lt;R&gt;1&lt;/R&gt;&lt;C&gt;1&lt;/C&gt;&lt;D xsi:type="xsd:double"&gt;47.113422&lt;/D&gt;&lt;/FQL&gt;&lt;FQL&gt;&lt;Q&gt;DUMMY^ECON_EXPR_DATA('FDS_ECON[NTCPMIMFGSA@CA]',,,M)&lt;/Q&gt;&lt;R&gt;1&lt;/R&gt;&lt;C&gt;1&lt;/C&gt;&lt;D xsi:type="xsd:double"&gt;49.74032&lt;/D&gt;&lt;/FQL&gt;&lt;FQL&gt;&lt;Q&gt;DUMMY^ECON_EXPR_DATA('FDS_ECON[NTCPMIMFGSA@AU]',,,M)&lt;/Q&gt;&lt;R&gt;1&lt;/R&gt;&lt;C&gt;1&lt;/C&gt;&lt;D xsi:type="xsd:double"&gt;47.823067&lt;/D&gt;&lt;/FQL&gt;&lt;FQL&gt;&lt;Q&gt;DUMMY^ECON_EXPR_DATA('FDS_ECON[NTCPMIMFGSA@GB]',,,M)&lt;/Q&gt;&lt;R&gt;1&lt;/R&gt;&lt;C&gt;1&lt;/C&gt;&lt;D xsi:type="xsd:double"&gt;47.508816&lt;/D&gt;&lt;/FQL&gt;&lt;FQL&gt;&lt;Q&gt;CAGDPY@FR^EE_ACTUAL_ANNUAL(MED,+1)&lt;/Q&gt;&lt;R&gt;1&lt;/R&gt;&lt;C&gt;1&lt;/C&gt;&lt;D xsi:type="xsd:double"&gt;-1.15&lt;/D&gt;&lt;/FQL&gt;&lt;FQL&gt;&lt;Q&gt;CAGDPY@AU^EE_ACTUAL_ANNUAL(MED,+1)&lt;/Q&gt;&lt;R&gt;1&lt;/R&gt;&lt;C&gt;1&lt;/C&gt;&lt;D xsi:type="xsd:double"&gt;0.5&lt;/D&gt;&lt;/FQL&gt;&lt;FQL&gt;&lt;Q&gt;USDITL^FG_PRICE_CHANGE(0,-3AM)&lt;/Q&gt;&lt;R&gt;1&lt;/R&gt;&lt;C&gt;1&lt;/C&gt;&lt;D xsi:type="xsd:double"&gt;1.1877298&lt;/D&gt;&lt;/FQL&gt;&lt;FQL&gt;&lt;Q&gt;USDANG^FG_PRICE_CHANGE(0,-3AM)&lt;/Q&gt;&lt;R&gt;1&lt;/R&gt;&lt;C&gt;1&lt;/C&gt;&lt;D xsi:type="xsd:double"&gt;0&lt;/D&gt;&lt;/FQL&gt;&lt;FQL&gt;&lt;Q&gt;USDUSD^FG_PRICE_CHANGE(0,-3AM)&lt;/Q&gt;&lt;R&gt;1&lt;/R&gt;&lt;C&gt;1&lt;/C&gt;&lt;D xsi:type="xsd:double"&gt;0&lt;/D&gt;&lt;/FQL&gt;&lt;FQL&gt;&lt;Q&gt;USDGBP^FG_PRICE_CHANGE(0,-3AM)&lt;/Q&gt;&lt;R&gt;1&lt;/R&gt;&lt;C&gt;1&lt;/C&gt;&lt;D xsi:type="xsd:double"&gt;-0.10262728&lt;/D&gt;&lt;/FQL&gt;&lt;FQL&gt;&lt;Q&gt;USDJPY^FG_PRICE_CHANGE(0,-3AM)&lt;/Q&gt;&lt;R&gt;1&lt;/R&gt;&lt;C&gt;1&lt;/C&gt;&lt;D xsi:type="xsd:double"&gt;6.618607&lt;/D&gt;&lt;/FQL&gt;&lt;FQL&gt;&lt;Q&gt;USDCAD^FG_PRICE_CHANGE(0,-3AM)&lt;/Q&gt;&lt;R&gt;1&lt;/R&gt;&lt;C&gt;1&lt;/C&gt;&lt;D xsi:type="xsd:double"&gt;1.7130613&lt;/D&gt;&lt;/FQL&gt;&lt;FQL&gt;&lt;Q&gt;USDNZD^FG_PRICE_CHANGE(0,-3AM)&lt;/Q&gt;&lt;R&gt;1&lt;/R&gt;&lt;C&gt;1&lt;/C&gt;&lt;D xsi:type="xsd:double"&gt;3.928864&lt;/D&gt;&lt;/FQL&gt;&lt;FQL&gt;&lt;Q&gt;EWA^FMA_EPS(NTMA,-20AY,0,CY,,"PORTAGG","MEANR")&lt;/Q&gt;&lt;R&gt;20&lt;/R&gt;&lt;C&gt;1&lt;/C&gt;&lt;D xsi:type="xsd:double"&gt;1.18421421757289&lt;/D&gt;&lt;D xsi:type="xsd:double"&gt;1.35622936034371&lt;/D&gt;&lt;D xsi:type="xsd:double"&gt;1.68223219538503&lt;/D&gt;&lt;D xsi:type="xsd:double"&gt;2.01218211762237&lt;/D&gt;&lt;D xsi:type="xsd:double"&gt;1.47822239950882&lt;/D&gt;&lt;D xsi:type="xsd:double"&gt;1.49861477471222&lt;/D&gt;&lt;D xsi:type="xsd:double"&gt;2.04832230944667&lt;/D&gt;&lt;D xsi:type="xsd:double"&gt;2.08841813329258&lt;/D&gt;&lt;D xsi:type="xsd:double"&gt;1.8915836506348&lt;/D&gt;&lt;D xsi:type="xsd:double"&gt;1.71909344341549&lt;/D&gt;&lt;D xsi:type="xsd:double"&gt;1.51920222936301&lt;/D&gt;&lt;D xsi:type="xsd:double"&gt;1.20321447580294&lt;/D&gt;&lt;D xsi:type="xsd:double"&gt;1.28201594869045&lt;/D&gt;&lt;D xsi:type="xsd:double"&gt;1.44580701527009&lt;/D&gt;&lt;D xsi:type="xsd:double"&gt;1.37894957605166&lt;/D&gt;&lt;D xsi:type="xsd:double"&gt;1.3179970851092&lt;/D&gt;&lt;D xsi:type="xsd:double"&gt;1.26256164176903&lt;/D&gt;&lt;D xsi:type="xsd:double"&gt;1.41909398824033&lt;/D&gt;&lt;D xsi:type="xsd:double"&gt;1.56850336770513&lt;/D&gt;&lt;D xsi:type="xsd:double"&gt;1.47892717787447&lt;/D&gt;&lt;/FQL&gt;&lt;FQL&gt;&lt;Q&gt;ENZL^JULIAN(P_PRICE_RETURNS_PR('52W',2,-10AY,0,AM).DATES)&lt;/Q&gt;&lt;R&gt;121&lt;/R&gt;&lt;C&gt;1&lt;/C&gt;&lt;D xsi:type="xsd:long"&gt;41719&lt;/D&gt;&lt;D xsi:type="xsd:long"&gt;41750&lt;/D&gt;&lt;D xsi:type="xsd:long"&gt;41780&lt;/D&gt;&lt;D xsi:type="xsd:long"&gt;41810&lt;/D&gt;&lt;D xsi:type="xsd:long"&gt;41841&lt;/D&gt;&lt;D xsi:type="xsd:long"&gt;41872&lt;/D&gt;&lt;D xsi:type="xsd:long"&gt;41901&lt;/D&gt;&lt;D xsi:type="xsd:long"&gt;41933&lt;/D&gt;&lt;D xsi:type="xsd:long"&gt;41964&lt;/D&gt;&lt;D xsi:type="xsd:long"&gt;41992&lt;/D&gt;&lt;D xsi:type="xsd:long"&gt;42025&lt;/D&gt;&lt;D xsi:type="xsd:long"&gt;42055&lt;/D&gt;&lt;D xsi:type="xsd:long"&gt;42083&lt;/D&gt;&lt;D xsi:type="xsd:long"&gt;42115&lt;/D&gt;&lt;D xsi:type="xsd:long"&gt;42145&lt;/D&gt;&lt;D xsi:type="xsd:long"&gt;42174&lt;/D&gt;&lt;D xsi:type="xsd:long"&gt;42206&lt;/D&gt;&lt;D xsi:type="xsd:long"&gt;42237&lt;/D&gt;&lt;D xsi:type="xsd:long"&gt;42268&lt;/D&gt;&lt;D xsi:type="xsd:long"&gt;42298&lt;/D&gt;&lt;D xsi:type="xsd:long"&gt;42328&lt;/D&gt;&lt;D xsi:type="xsd:long"&gt;42359&lt;/D&gt;&lt;D xsi:type="xsd:long"&gt;42390&lt;/D&gt;&lt;D xsi:type="xsd:long"&gt;42419&lt;/D&gt;&lt;D xsi:type="xsd:long"&gt;42450&lt;/D&gt;&lt;D xsi:type="xsd:long"&gt;42481&lt;/D&gt;&lt;D xsi:type="xsd:long"&gt;42510&lt;/D&gt;&lt;D xsi:type="xsd:long"&gt;42542&lt;/D&gt;&lt;D xsi:type="xsd:long"&gt;42572&lt;/D&gt;&lt;D xsi:type="xsd:long"&gt;42601&lt;/D&gt;&lt;D xsi:type="xsd:long"&gt;42634&lt;/D&gt;&lt;D xsi:type="xsd:long"&gt;42664&lt;/D&gt;&lt;D xsi:type="xsd:long"&gt;42695&lt;/D&gt;&lt;D xsi:type="xsd:long"&gt;42725&lt;/D&gt;&lt;D xsi:type="xsd:long"&gt;42755&lt;/D&gt;&lt;D xsi:type="xsd:long"&gt;42787&lt;/D&gt;&lt;D xsi:type="xsd:long"&gt;42815&lt;/D&gt;&lt;D xsi:type="xsd:long"&gt;42846&lt;/D&gt;&lt;D xsi:type="xsd:long"&gt;42874&lt;/D&gt;&lt;D xsi:type="xsd:long"&gt;42907&lt;/D&gt;&lt;D xsi:type="xsd:long"&gt;42937&lt;/D&gt;&lt;D xsi:type="xsd:long"&gt;42968&lt;/D&gt;&lt;D xsi:type="xsd:long"&gt;42999&lt;/D&gt;&lt;D xsi:type="xsd:long"&gt;43028&lt;/D&gt;&lt;D xsi:type="xsd:long"&gt;43060&lt;/D&gt;&lt;D xsi:type="xsd:long"&gt;43090&lt;/D&gt;&lt;D xsi:type="xsd:long"&gt;43119&lt;/D&gt;&lt;D xsi:type="xsd:long"&gt;43152&lt;/D&gt;&lt;D xsi:type="xsd:long"&gt;43180&lt;/D&gt;&lt;D xsi:type="xsd:long"&gt;43210&lt;/D&gt;&lt;D xsi:type="xsd:long"&gt;43241&lt;/D&gt;&lt;D xsi:type="xsd:long"&gt;43272&lt;/D&gt;&lt;D xsi:type="xsd:long"&gt;43301&lt;/D&gt;&lt;D xsi:type="xsd:long"&gt;43333&lt;/D&gt;&lt;D xsi:type="xsd:long"&gt;43364&lt;/D&gt;&lt;D xsi:type="xsd:long"&gt;43392&lt;/D&gt;&lt;D xsi:type="xsd:long"&gt;43425&lt;/D&gt;&lt;D xsi:type="xsd:long"&gt;43455&lt;/D&gt;&lt;D xsi:type="xsd:long"&gt;43483&lt;/D&gt;&lt;D xsi:type="xsd:long"&gt;43517&lt;/D&gt;&lt;D xsi:type="xsd:long"&gt;43545&lt;/D&gt;&lt;D xsi:type="xsd:long"&gt;43573&lt;/D&gt;&lt;D xsi:type="xsd:long"&gt;43606&lt;/D&gt;&lt;D xsi:type="xsd:long"&gt;43637&lt;/D&gt;&lt;D xsi:type="xsd:long"&gt;43665&lt;/D&gt;&lt;D xsi:type="xsd:long"&gt;43698&lt;/D&gt;&lt;D xsi:type="xsd:long"&gt;43728&lt;/D&gt;&lt;D xsi:type="xsd:long"&gt;43759&lt;/D&gt;&lt;D xsi:type="xsd:long"&gt;43790&lt;/D&gt;&lt;D xsi:type="xsd:long"&gt;43819&lt;/D&gt;&lt;D xsi:type="xsd:long"&gt;43851&lt;/D&gt;&lt;D xsi:type="xsd:long"&gt;43882&lt;/D&gt;&lt;D xsi:type="xsd:long"&gt;43910&lt;/D&gt;&lt;D xsi:type="xsd:long"&gt;43942&lt;/D&gt;&lt;D xsi:type="xsd:long"&gt;43972&lt;/D&gt;&lt;D xsi:type="xsd:long"&gt;44001&lt;/D&gt;&lt;D xsi:type="xsd:long"&gt;44033&lt;/D&gt;&lt;D xsi:type="xsd:long"&gt;44064&lt;/D&gt;&lt;D xsi:type="xsd:long"&gt;44095&lt;/D&gt;&lt;D xsi:type="xsd:long"&gt;44125&lt;/D&gt;&lt;D xsi:type="xsd:long"&gt;44155&lt;/D&gt;&lt;D xsi:type="xsd:long"&gt;44186&lt;/D&gt;&lt;D xsi:type="xsd:long"&gt;44217&lt;/D&gt;&lt;D xsi:type="xsd:long"&gt;44246&lt;/D&gt;&lt;D xsi:type="xsd:long"&gt;44274&lt;/D&gt;&lt;D xsi:type="xsd:long"&gt;44307&lt;/D&gt;&lt;D xsi:type="xsd:long"&gt;44337&lt;/D&gt;&lt;D xsi:type="xsd:long"&gt;44368&lt;/D&gt;&lt;D xsi:type="xsd:long"&gt;44398&lt;/D&gt;&lt;D xsi:type="xsd:long"&gt;44428&lt;/D&gt;&lt;D xsi:type="xsd:long"&gt;44460&lt;/D&gt;&lt;D xsi:type="xsd:long"&gt;44490&lt;/D&gt;&lt;D xsi:type="xsd:long"&gt;44519&lt;/D&gt;&lt;D xsi:type="xsd:long"&gt;44551&lt;/D&gt;&lt;D xsi:type="xsd:long"&gt;44582&lt;/D&gt;&lt;D xsi:type="xsd:long"&gt;44610&lt;/D&gt;&lt;D xsi:type="xsd:long"&gt;44641&lt;/D&gt;&lt;D xsi:type="xsd:long"&gt;44672&lt;/D&gt;&lt;D xsi:type="xsd:long"&gt;44701&lt;/D&gt;&lt;D xsi:type="xsd:long"&gt;44733&lt;/D&gt;&lt;D xsi:type="xsd:long"&gt;44763&lt;/D&gt;&lt;D xsi:type="xsd:long"&gt;44792&lt;/D&gt;&lt;D xsi:type="xsd:long"&gt;44825&lt;/D&gt;&lt;D xsi:type="xsd:long"&gt;44855&lt;/D&gt;&lt;D xsi:type="xsd:long"&gt;44886&lt;/D&gt;&lt;D xsi:type="xsd:long"&gt;44916&lt;/D&gt;&lt;D xsi:type="xsd:long"&gt;44946&lt;/D&gt;&lt;D xsi:type="xsd:long"&gt;44978&lt;/D&gt;&lt;D xsi:type="xsd:long"&gt;45006&lt;/D&gt;&lt;D xsi:type="xsd:long"&gt;45037&lt;/D&gt;&lt;D xsi:type="xsd:long"&gt;45065&lt;/D&gt;&lt;D xsi:type="xsd:long"&gt;45098&lt;/D&gt;&lt;D xsi:type="xsd:long"&gt;45128&lt;/D&gt;&lt;D xsi:type="xsd:long"&gt;45159&lt;/D&gt;&lt;D xsi:type="xsd:long"&gt;45190&lt;/D&gt;&lt;D xsi:type="xsd:long"&gt;45219&lt;/D&gt;&lt;D xsi:type="xsd:long"&gt;45251&lt;/D&gt;&lt;D xsi:type="xsd:long"&gt;45281&lt;/D&gt;&lt;D xsi:type="xsd:long"&gt;45310&lt;/D&gt;&lt;D xsi:type="xsd:long"&gt;45343&lt;/D&gt;&lt;D xsi:type="xsd:long"&gt;45372&lt;/D&gt;&lt;/FQL&gt;&lt;FQL&gt;&lt;Q&gt;EWD^FMA_DIV_YLD(NTMA,-10AY,0,AM,"PORTAGG","MEANR")&lt;/Q&gt;&lt;R&gt;121&lt;/R&gt;&lt;C&gt;1&lt;/C&gt;&lt;D xsi:type="xsd:double"&gt;4.03895018917224&lt;/D&gt;&lt;D xsi:type="xsd:double"&gt;4.11067493604394&lt;/D&gt;&lt;D xsi:type="xsd:double"&gt;4.04681544094392&lt;/D&gt;&lt;D xsi:type="xsd:double"&gt;4.12561640026357&lt;/D&gt;&lt;D xsi:type="xsd:double"&gt;4.20448074025725&lt;/D&gt;&lt;D xsi:type="xsd:double"&gt;4.21536874737777&lt;/D&gt;&lt;D xsi:type="xsd:double"&gt;4.13296030501115&lt;/D&gt;&lt;D xsi:type="xsd:double"&gt;4.41940443793696&lt;/D&gt;&lt;D xsi:type="xsd:double"&gt;4.10698091641928&lt;/D&gt;&lt;D xsi:type="xsd:double"&gt;4.1271971590944&lt;/D&gt;&lt;D xsi:type="xsd:double"&gt;4.0118574059923&lt;/D&gt;&lt;D xsi:type="xsd:double"&gt;3.64212667931462&lt;/D&gt;&lt;D xsi:type="xsd:double"&gt;3.57646620920988&lt;/D&gt;&lt;D xsi:type="xsd:double"&gt;3.6216267529843&lt;/D&gt;&lt;D xsi:type="xsd:double"&gt;3.79289490145474&lt;/D&gt;&lt;D xsi:type="xsd:double"&gt;4.02157266098301&lt;/D&gt;&lt;D xsi:type="xsd:double"&gt;3.87706796077296&lt;/D&gt;&lt;D xsi:type="xsd:double"&gt;4.30288861454703&lt;/D&gt;&lt;D xsi:type="xsd:double"&gt;4.42648626895664&lt;/D&gt;&lt;D xsi:type="xsd:double"&gt;4.36650266715028&lt;/D&gt;&lt;D xsi:type="xsd:double"&gt;4.14049212256735&lt;/D&gt;&lt;D xsi:type="xsd:double"&gt;4.39910514974692&lt;/D&gt;&lt;D xsi:type="xsd:double"&gt;4.75170139397666&lt;/D&gt;&lt;D xsi:type="xsd:double"&gt;4.42216187987735&lt;/D&gt;&lt;D xsi:type="xsd:double"&gt;4.35873319072017&lt;/D&gt;&lt;D xsi:type="xsd:double"&gt;4.21543164161834&lt;/D&gt;&lt;D xsi:type="xsd:double"&gt;4.45066247677464&lt;/D&gt;&lt;D xsi:type="xsd:double"&gt;4.45499602379656&lt;/D&gt;&lt;D xsi:type="xsd:double"&gt;4.32307478243613&lt;/D&gt;&lt;D xsi:type="xsd:double"&gt;4.28488263342802&lt;/D&gt;&lt;D xsi:type="xsd:double"&gt;4.23105224792203&lt;/D&gt;&lt;D xsi:type="xsd:double"&gt;4.04733041716732&lt;/D&gt;&lt;D xsi:type="xsd:double"&gt;4.03778999055434&lt;/D&gt;&lt;D xsi:type="xsd:double"&gt;3.88631982087701&lt;/D&gt;&lt;D xsi:type="xsd:double"&gt;3.85300595209781&lt;/D&gt;&lt;D xsi:type="xsd:double"&gt;3.59704792859515&lt;/D&gt;&lt;D xsi:type="xsd:double"&gt;3.67061941089791&lt;/D&gt;&lt;D xsi:type="xsd:double"&gt;3.66934319959309&lt;/D&gt;&lt;D xsi:type="xsd:double"&gt;3.3990980841924&lt;/D&gt;&lt;D xsi:type="xsd:double"&gt;3.51846371020346&lt;/D&gt;&lt;D xsi:type="xsd:double"&gt;3.66471922284054&lt;/D&gt;&lt;D xsi:type="xsd:double"&gt;3.81227098455724&lt;/D&gt;&lt;D xsi:type="xsd:double"&gt;3.6678215806102&lt;/D&gt;&lt;D xsi:type="xsd:double"&gt;3.52428679217086&lt;/D&gt;&lt;D xsi:type="xsd:double"&gt;3.59860122663137&lt;/D&gt;&lt;D xsi:type="xsd:double"&gt;3.68102998472304&lt;/D&gt;&lt;D xsi:type="xsd:double"&gt;3.64284631308151&lt;/D&gt;&lt;D xsi:type="xsd:double"&gt;3.8508260324411&lt;/D&gt;&lt;D xsi:type="xsd:double"&gt;3.99230279466308&lt;/D&gt;&lt;D xsi:type="xsd:double"&gt;4.00333951726754&lt;/D&gt;&lt;D xsi:type="xsd:double"&gt;3.93780500777533&lt;/D&gt;&lt;D xsi:type="xsd:double"&gt;4.16096767778341&lt;/D&gt;&lt;D xsi:type="xsd:double"&gt;4.15042987309791&lt;/D&gt;&lt;D xsi:type="xsd:double"&gt;4.06065768219955&lt;/D&gt;&lt;D xsi:type="xsd:double"&gt;4.03304405264279&lt;/D&gt;&lt;D xsi:type="xsd:double"&gt;4.35365325564515&lt;/D&gt;&lt;D xsi:type="xsd:double"&gt;4.56051410849199&lt;/D&gt;&lt;D xsi:type="xsd:double"&gt;4.76207528826481&lt;/D&gt;&lt;D xsi:type="xsd:double"&gt;4.37893456688104&lt;/D&gt;&lt;D xsi:type="xsd:double"&gt;4.15771922163262&lt;/D&gt;&lt;D xsi:type="xsd:double"&gt;4.08362156275325&lt;/D&gt;&lt;D xsi:type="xsd:double"&gt;3.96434697251158&lt;/D&gt;&lt;D xsi:type="xsd:double"&gt;4.20247668432257&lt;/D&gt;&lt;D xsi:type="xsd:double"&gt;4.12410119913455&lt;/D&gt;&lt;D xsi:type="xsd:double"&gt;4.02490162872686&lt;/D&gt;&lt;D xsi:type="xsd:double"&gt;4.25244598308504&lt;/D&gt;&lt;D xsi:type="xsd:double"&gt;3.87266759039419&lt;/D&gt;&lt;D xsi:type="xsd:double"&gt;3.77855746291497&lt;/D&gt;&lt;D xsi:type="xsd:double"&gt;3.72445672118462&lt;/D&gt;&lt;D xsi:type="xsd:double"&gt;3.55710680387255&lt;/D&gt;&lt;D xsi:type="xsd:double"&gt;3.49796597110734&lt;/D&gt;&lt;D xsi:type="xsd:double"&gt;3.41272438968347&lt;/D&gt;&lt;D xsi:type="xsd:double"&gt;4.69871731480975&lt;/D&gt;&lt;D xsi:type="xsd:double"&gt;3.54293770520755&lt;/D&gt;&lt;D xsi:type="xsd:double"&gt;3.30936456399157&lt;/D&gt;&lt;D xsi:type="xsd:double"&gt;3.03002322714436&lt;/D&gt;&lt;D xsi:type="xsd:double"&gt;2.93561145489401&lt;/D&gt;&lt;D xsi:type="xsd:double"&gt;3.02634501160321&lt;/D&gt;&lt;D xsi:type="xsd:double"&gt;3.07857520144629&lt;/D&gt;&lt;D xsi:type="xsd:double"&gt;3.08319927530828&lt;/D&gt;&lt;D xsi:type="xsd:double"&gt;3.00524018269873&lt;/D&gt;&lt;D xsi:type="xsd:double"&gt;3.15200568643428&lt;/D&gt;&lt;D xsi:type="xsd:double"&gt;2.98167721227374&lt;/D&gt;&lt;D xsi:type="xsd:double"&gt;2.95367340411606&lt;/D&gt;&lt;D xsi:type="xsd:double"&gt;2.79209168918268&lt;/D&gt;&lt;D xsi:type="xsd:double"&gt;2.74844465378018&lt;/D&gt;&lt;D xsi:type="xsd:double"&gt;2.84990963271531&lt;/D&gt;&lt;D xsi:type="xsd:double"&gt;2.69085233410121&lt;/D&gt;&lt;D xsi:type="xsd:double"&gt;2.72306366705061&lt;/D&gt;&lt;D xsi:type="xsd:double"&gt;2.75858777949015&lt;/D&gt;&lt;D xsi:type="xsd:double"&gt;2.86376153946138&lt;/D&gt;&lt;D xsi:type="xsd:double"&gt;3.00463405494252&lt;/D&gt;&lt;D xsi:type="xsd:double"&gt;2.9364174351677&lt;/D&gt;&lt;D xsi:type="xsd:double"&gt;2.95634026951203&lt;/D&gt;&lt;D xsi:type="xsd:double"&gt;2.83776871841927&lt;/D&gt;&lt;D xsi:type="xsd:double"&gt;3.06800296860699&lt;/D&gt;&lt;D xsi:type="xsd:double"&gt;3.02721221007839&lt;/D&gt;&lt;D xsi:type="xsd:double"&gt;3.10640728003168&lt;/D&gt;&lt;D xsi:type="xsd:double"&gt;3.44084411579844&lt;/D&gt;&lt;D xsi:type="xsd:double"&gt;3.58384277028395&lt;/D&gt;&lt;D xsi:type="xsd:double"&gt;3.57150831438991&lt;/D&gt;&lt;D xsi:type="xsd:double"&gt;3.50705320671866&lt;/D&gt;&lt;D xsi:type="xsd:double"&gt;3.82883227335905&lt;/D&gt;&lt;D xsi:type="xsd:double"&gt;3.86803880323673&lt;/D&gt;&lt;D xsi:type="xsd:double"&gt;3.63604525501011&lt;/D&gt;&lt;D xsi:type="xsd:double"&gt;3.71440016624399&lt;/D&gt;&lt;D xsi:type="xsd:double"&gt;3.51550802421612&lt;/D&gt;&lt;D xsi:type="xsd:double"&gt;3.55978582095058&lt;/D&gt;&lt;D xsi:type="xsd:double"&gt;3.71864197485579&lt;/D&gt;&lt;D xsi:type="xsd:double"&gt;3.6464224395508&lt;/D&gt;&lt;D xsi:type="xsd:double"&gt;3.67839471710078&lt;/D&gt;&lt;D xsi:type="xsd:double"&gt;3.77975496736253&lt;/D&gt;&lt;D xsi:type="xsd:double"&gt;3.81370400578835&lt;/D&gt;&lt;D xsi:type="xsd:double"&gt;4.02976115448192&lt;/D&gt;&lt;D xsi:type="xsd:double"&gt;3.98116981522055&lt;/D&gt;&lt;D xsi:type="xsd:double"&gt;3.9626534944249&lt;/D&gt;&lt;D xsi:type="xsd:double"&gt;3.69184557289651&lt;/D&gt;&lt;D xsi:type="xsd:double"&gt;2.94808411755525&lt;/D&gt;&lt;D xsi:type="xsd:double"&gt;3.08931631462257&lt;/D&gt;&lt;D xsi:type="xsd:double"&gt;3.34583415041722&lt;/D&gt;&lt;D xsi:type="xsd:double"&gt;3.21991021852319&lt;/D&gt;&lt;/FQL&gt;&lt;FQL&gt;&lt;Q&gt;EWQ^FMA_PE(NTMA,-10AY,0,AM,"PORTAGG","MEANR")&lt;/Q&gt;&lt;R&gt;121&lt;/R&gt;&lt;C&gt;1&lt;/C&gt;&lt;D xsi:type="xsd:double"&gt;13.6401377819133&lt;/D&gt;&lt;D xsi:type="xsd:double"&gt;13.8602080003916&lt;/D&gt;&lt;D xsi:type="xsd:double"&gt;14.0693230257037&lt;/D&gt;&lt;D xsi:type="xsd:double"&gt;14.290250275768&lt;/D&gt;&lt;D xsi:type="xsd:double"&gt;13.5208791820795&lt;/D&gt;&lt;D xsi:type="xsd:double"&gt;13.4343350292593&lt;/D&gt;&lt;D xsi:type="xsd:double"&gt;13.7865235770641&lt;/D&gt;&lt;D xsi:type="xsd:double"&gt;12.6982599924719&lt;/D&gt;&lt;D xsi:type="xsd:double"&gt;13.6123740708953&lt;/D&gt;&lt;D xsi:type="xsd:double"&gt;13.6559339151833&lt;/D&gt;&lt;D xsi:type="xsd:double"&gt;14.7914253307442&lt;/D&gt;&lt;D xsi:type="xsd:double"&gt;16.0494245144803&lt;/D&gt;&lt;D xsi:type="xsd:double"&gt;16.7303242076645&lt;/D&gt;&lt;D xsi:type="xsd:double"&gt;16.8171292430136&lt;/D&gt;&lt;D xsi:type="xsd:double"&gt;16.5964837943275&lt;/D&gt;&lt;D xsi:type="xsd:double"&gt;15.4038279099465&lt;/D&gt;&lt;D xsi:type="xsd:double"&gt;16.0314507803135&lt;/D&gt;&lt;D xsi:type="xsd:double"&gt;14.3249231520638&lt;/D&gt;&lt;D xsi:type="xsd:double"&gt;14.2510137445853&lt;/D&gt;&lt;D xsi:type="xsd:double"&gt;14.5802184577632&lt;/D&gt;&lt;D xsi:type="xsd:double"&gt;15.2761696805265&lt;/D&gt;&lt;D xsi:type="xsd:double"&gt;14.3353594339771&lt;/D&gt;&lt;D xsi:type="xsd:double"&gt;13.4960212533908&lt;/D&gt;&lt;D xsi:type="xsd:double"&gt;13.8138795838406&lt;/D&gt;&lt;D xsi:type="xsd:double"&gt;14.4707541096506&lt;/D&gt;&lt;D xsi:type="xsd:double"&gt;14.9421266307688&lt;/D&gt;&lt;D xsi:type="xsd:double"&gt;14.2041785901635&lt;/D&gt;&lt;D xsi:type="xsd:double"&gt;13.996200621996&lt;/D&gt;&lt;D xsi:type="xsd:double"&gt;14.0004127629197&lt;/D&gt;&lt;D xsi:type="xsd:double"&gt;13.8788919741811&lt;/D&gt;&lt;D xsi:type="xsd:double"&gt;13.7730295978273&lt;/D&gt;&lt;D xsi:type="xsd:double"&gt;14.0374820914391&lt;/D&gt;&lt;D xsi:type="xsd:double"&gt;13.7707879852306&lt;/D&gt;&lt;D xsi:type="xsd:double"&gt;14.5001694001512&lt;/D&gt;&lt;D xsi:type="xsd:double"&gt;14.48767477885&lt;/D&gt;&lt;D xsi:type="xsd:double"&gt;14.2891179888837&lt;/D&gt;&lt;D xsi:type="xsd:double"&gt;14.5624574751805&lt;/D&gt;&lt;D xsi:type="xsd:double"&gt;14.6306345947838&lt;/D&gt;&lt;D xsi:type="xsd:double"&gt;15.2365644457238&lt;/D&gt;&lt;D xsi:type="xsd:double"&gt;14.9856866986947&lt;/D&gt;&lt;D xsi:type="xsd:double"&gt;14.6650664360809&lt;/D&gt;&lt;D xsi:type="xsd:double"&gt;14.4276676716521&lt;/D&gt;&lt;D xsi:type="xsd:double"&gt;14.9559036611703&lt;/D&gt;&lt;D xsi:type="xsd:double"&gt;15.1618918107644&lt;/D&gt;&lt;D xsi:type="xsd:double"&gt;14.9228976039987&lt;/D&gt;&lt;D xsi:type="xsd:double"&gt;14.9915115079551&lt;/D&gt;&lt;D xsi:type="xsd:double"&gt;15.3002442314099&lt;/D&gt;&lt;D xsi:type="xsd:double"&gt;14.6445061082916&lt;/D&gt;&lt;D xsi:type="xsd:double"&gt;14.3868487860929&lt;/D&gt;&lt;D xsi:type="xsd:double"&gt;14.6843161603252&lt;/D&gt;&lt;D xsi:type="xsd:double"&gt;14.9694067882064&lt;/D&gt;&lt;D xsi:type="xsd:double"&gt;14.0187582387878&lt;/D&gt;&lt;D xsi:type="xsd:double"&gt;14.0413616127931&lt;/D&gt;&lt;D xsi:type="xsd:double"&gt;13.8069860019309&lt;/D&gt;&lt;D xsi:type="xsd:double"&gt;13.9100023952768&lt;/D&gt;&lt;D xsi:type="xsd:double"&gt;12.77542185793&lt;/D&gt;&lt;D xsi:type="xsd:double"&gt;12.4506939424065&lt;/D&gt;&lt;D xsi:type="xsd:double"&gt;11.8034389106372&lt;/D&gt;&lt;D xsi:type="xsd:double"&gt;12.5377028865311&lt;/D&gt;&lt;D xsi:type="xsd:double"&gt;13.3087995400118&lt;/D&gt;&lt;D xsi:type="xsd:double"&gt;13.7359217170143&lt;/D&gt;&lt;D xsi:type="xsd:double"&gt;14.1174344043869&lt;/D&gt;&lt;D xsi:type="xsd:double"&gt;13.6051455192446&lt;/D&gt;&lt;D xsi:type="xsd:double"&gt;13.8736101744115&lt;/D&gt;&lt;D xsi:type="xsd:double"&gt;14.0076630496496&lt;/D&gt;&lt;D xsi:type="xsd:double"&gt;13.7172393462494&lt;/D&gt;&lt;D xsi:type="xsd:double"&gt;14.2597603300087&lt;/D&gt;&lt;D xsi:type="xsd:double"&gt;14.2578593353811&lt;/D&gt;&lt;D xsi:type="xsd:double"&gt;14.7070831876899&lt;/D&gt;&lt;D xsi:type="xsd:double"&gt;14.9647250298945&lt;/D&gt;&lt;D xsi:type="xsd:double"&gt;15.0577096917176&lt;/D&gt;&lt;D xsi:type="xsd:double"&gt;15.1653896301816&lt;/D&gt;&lt;D xsi:type="xsd:double"&gt;10.9569264585363&lt;/D&gt;&lt;D xsi:type="xsd:double"&gt;14.9856958741954&lt;/D&gt;&lt;D xsi:type="xsd:double"&gt;16.5118704375903&lt;/D&gt;&lt;D xsi:type="xsd:double"&gt;18.8911848801879&lt;/D&gt;&lt;D xsi:type="xsd:double"&gt;19.9121140428504&lt;/D&gt;&lt;D xsi:type="xsd:double"&gt;19.2858517990076&lt;/D&gt;&lt;D xsi:type="xsd:double"&gt;18.0727221231429&lt;/D&gt;&lt;D xsi:type="xsd:double"&gt;17.8546368966472&lt;/D&gt;&lt;D xsi:type="xsd:double"&gt;19.1074525426543&lt;/D&gt;&lt;D xsi:type="xsd:double"&gt;17.7489524709663&lt;/D&gt;&lt;D xsi:type="xsd:double"&gt;17.9921083784036&lt;/D&gt;&lt;D xsi:type="xsd:double"&gt;18.0276154418043&lt;/D&gt;&lt;D xsi:type="xsd:double"&gt;18.23921976931&lt;/D&gt;&lt;D xsi:type="xsd:double"&gt;18.0543783620648&lt;/D&gt;&lt;D xsi:type="xsd:double"&gt;17.7178376513699&lt;/D&gt;&lt;D xsi:type="xsd:double"&gt;17.8282858512272&lt;/D&gt;&lt;D xsi:type="xsd:double"&gt;16.8208811006403&lt;/D&gt;&lt;D xsi:type="xsd:double"&gt;16.1990348598876&lt;/D&gt;&lt;D xsi:type="xsd:double"&gt;15.8850611153455&lt;/D&gt;&lt;D xsi:type="xsd:double"&gt;15.5654178167045&lt;/D&gt;&lt;D xsi:type="xsd:double"&gt;15.9378425770741&lt;/D&gt;&lt;D xsi:type="xsd:double"&gt;15.4356059183846&lt;/D&gt;&lt;D xsi:type="xsd:double"&gt;15.3297152976266&lt;/D&gt;&lt;D xsi:type="xsd:double"&gt;14.5086923022308&lt;/D&gt;&lt;D xsi:type="xsd:double"&gt;13.6679340154892&lt;/D&gt;&lt;D xsi:type="xsd:double"&gt;13.4116578859128&lt;/D&gt;&lt;D xsi:type="xsd:double"&gt;12.0158623659605&lt;/D&gt;&lt;D xsi:type="xsd:double"&gt;11.3365193003593&lt;/D&gt;&lt;D xsi:type="xsd:double"&gt;11.5357869953098&lt;/D&gt;&lt;D xsi:type="xsd:double"&gt;11.6772974209192&lt;/D&gt;&lt;D xsi:type="xsd:double"&gt;10.7378094867274&lt;/D&gt;&lt;D xsi:type="xsd:double"&gt;10.7631364751874&lt;/D&gt;&lt;D xsi:type="xsd:double"&gt;11.8762144926154&lt;/D&gt;&lt;D xsi:type="xsd:double"&gt;11.9822970846351&lt;/D&gt;&lt;D xsi:type="xsd:double"&gt;12.9909004580945&lt;/D&gt;&lt;D xsi:type="xsd:double"&gt;13.3312184788836&lt;/D&gt;&lt;D xsi:type="xsd:double"&gt;12.9438672774806&lt;/D&gt;&lt;D xsi:type="xsd:double"&gt;13.8221201314247&lt;/D&gt;&lt;D xsi:type="xsd:double"&gt;13.4845909072721&lt;/D&gt;&lt;D xsi:type="xsd:double"&gt;13.1077498639611&lt;/D&gt;&lt;D xsi:type="xsd:double"&gt;13.3737305490905&lt;/D&gt;&lt;D xsi:type="xsd:double"&gt;12.7627452281496&lt;/D&gt;&lt;D xsi:type="xsd:double"&gt;12.6918631408016&lt;/D&gt;&lt;D xsi:type="xsd:double"&gt;11.9131500183983&lt;/D&gt;&lt;D xsi:type="xsd:double"&gt;12.8112571132362&lt;/D&gt;&lt;D xsi:type="xsd:double"&gt;13.4553684766042&lt;/D&gt;&lt;D xsi:type="xsd:double"&gt;13.1966633773049&lt;/D&gt;&lt;D xsi:type="xsd:double"&gt;14.075790156752&lt;/D&gt;&lt;D xsi:type="xsd:double"&gt;14.6152923130056&lt;/D&gt;&lt;/FQL&gt;&lt;FQL&gt;&lt;Q&gt;QQQ^FMA_PE(LTMA,-10AY,0,AM,"PORTAGG","MEANR")&lt;/Q&gt;&lt;R&gt;121&lt;/R&gt;&lt;C&gt;1&lt;/C&gt;&lt;D xsi:type="xsd:double"&gt;19.1480004617205&lt;/D&gt;&lt;D xsi:type="xsd:double"&gt;18.8966330259002&lt;/D&gt;&lt;D xsi:type="xsd:double"&gt;18.76144482625&lt;/D&gt;&lt;D xsi:type="xsd:double"&gt;18.9413246351585&lt;/D&gt;&lt;D xsi:type="xsd:double"&gt;19.1857610364628&lt;/D&gt;&lt;D xsi:type="xsd:double"&gt;19.3598580633188&lt;/D&gt;&lt;D xsi:type="xsd:double"&gt;19.5014517471446&lt;/D&gt;&lt;D xsi:type="xsd:double"&gt;18.9615111055313&lt;/D&gt;&lt;D xsi:type="xsd:double"&gt;20.1544623531315&lt;/D&gt;&lt;D xsi:type="xsd:double"&gt;20.3206258931439&lt;/D&gt;&lt;D xsi:type="xsd:double"&gt;19.7302263990001&lt;/D&gt;&lt;D xsi:type="xsd:double"&gt;20.7528251697717&lt;/D&gt;&lt;D xsi:type="xsd:double"&gt;20.6658229139575&lt;/D&gt;&lt;D xsi:type="xsd:double"&gt;20.465437213563&lt;/D&gt;&lt;D xsi:type="xsd:double"&gt;20.359877391911&lt;/D&gt;&lt;D xsi:type="xsd:double"&gt;20.1702177267211&lt;/D&gt;&lt;D xsi:type="xsd:double"&gt;20.5252710355032&lt;/D&gt;&lt;D xsi:type="xsd:double"&gt;19.2889004349243&lt;/D&gt;&lt;D xsi:type="xsd:double"&gt;19.5072585171072&lt;/D&gt;&lt;D xsi:type="xsd:double"&gt;19.6312831763279&lt;/D&gt;&lt;D xsi:type="xsd:double"&gt;20.4794948528959&lt;/D&gt;&lt;D xsi:type="xsd:double"&gt;19.955779616762&lt;/D&gt;&lt;D xsi:type="xsd:double"&gt;18.2437678426699&lt;/D&gt;&lt;D xsi:type="xsd:double"&gt;18.2367579054922&lt;/D&gt;&lt;D xsi:type="xsd:double"&gt;18.3294016110838&lt;/D&gt;&lt;D xsi:type="xsd:double"&gt;18.4688854150404&lt;/D&gt;&lt;D xsi:type="xsd:double"&gt;18.352794107619&lt;/D&gt;&lt;D xsi:type="xsd:double"&gt;18.5730983584548&lt;/D&gt;&lt;D xsi:type="xsd:double"&gt;19.1560628476632&lt;/D&gt;&lt;D xsi:type="xsd:double"&gt;19.5669384085546&lt;/D&gt;&lt;D xsi:type="xsd:double"&gt;19.8552998485782&lt;/D&gt;&lt;D xsi:type="xsd:double"&gt;19.9389042555318&lt;/D&gt;&lt;D xsi:type="xsd:double"&gt;20.0411313748178&lt;/D&gt;&lt;D xsi:type="xsd:double"&gt;20.6139526114399&lt;/D&gt;&lt;D xsi:type="xsd:double"&gt;20.9989556418916&lt;/D&gt;&lt;D xsi:type="xsd:double"&gt;21.8515653298677&lt;/D&gt;&lt;D xsi:type="xsd:double"&gt;21.6261635689662&lt;/D&gt;&lt;D xsi:type="xsd:double"&gt;21.5929763080648&lt;/D&gt;&lt;D xsi:type="xsd:double"&gt;21.7648772987585&lt;/D&gt;&lt;D xsi:type="xsd:double"&gt;21.9173807717191&lt;/D&gt;&lt;D xsi:type="xsd:double"&gt;22.2415341053391&lt;/D&gt;&lt;D xsi:type="xsd:double"&gt;21.8171590093659&lt;/D&gt;&lt;D xsi:type="xsd:double"&gt;22.2035368010018&lt;/D&gt;&lt;D xsi:type="xsd:double"&gt;22.6887261572578&lt;/D&gt;&lt;D xsi:type="xsd:double"&gt;23.2080803873955&lt;/D&gt;&lt;D xsi:type="xsd:double"&gt;23.7726570354223&lt;/D&gt;&lt;D xsi:type="xsd:double"&gt;24.9881788870298&lt;/D&gt;&lt;D xsi:type="xsd:double"&gt;23.8668852457621&lt;/D&gt;&lt;D xsi:type="xsd:double"&gt;23.9241064468553&lt;/D&gt;&lt;D xsi:type="xsd:double"&gt;23.4575497645617&lt;/D&gt;&lt;D xsi:type="xsd:double"&gt;23.1912771017958&lt;/D&gt;&lt;D xsi:type="xsd:double"&gt;23.3135172655156&lt;/D&gt;&lt;D xsi:type="xsd:double"&gt;23.2616145065175&lt;/D&gt;&lt;D xsi:type="xsd:double"&gt;23.0253892244022&lt;/D&gt;&lt;D xsi:type="xsd:double"&gt;23.0710697448946&lt;/D&gt;&lt;D xsi:type="xsd:double"&gt;21.9275579672216&lt;/D&gt;&lt;D xsi:type="xsd:double"&gt;19.8820423040838&lt;/D&gt;&lt;D xsi:type="xsd:double"&gt;18.0747651525871&lt;/D&gt;&lt;D xsi:type="xsd:double"&gt;20.0599763864504&lt;/D&gt;&lt;D xsi:type="xsd:double"&gt;20.6702634701107&lt;/D&gt;&lt;D xsi:type="xsd:double"&gt;21.1084231008977&lt;/D&gt;&lt;D xsi:type="xsd:double"&gt;21.3003007033449&lt;/D&gt;&lt;D xsi:type="xsd:double"&gt;21.1635602590183&lt;/D&gt;&lt;D xsi:type="xsd:double"&gt;21.6204382751772&lt;/D&gt;&lt;D xsi:type="xsd:double"&gt;21.8978347192843&lt;/D&gt;&lt;D xsi:type="xsd:double"&gt;21.882632248967&lt;/D&gt;&lt;D xsi:type="xsd:double"&gt;22.1857867560035&lt;/D&gt;&lt;D xsi:type="xsd:double"&gt;22.6282323203046&lt;/D&gt;&lt;D xsi:type="xsd:double"&gt;23.7262213733545&lt;/D&gt;&lt;D xsi:type="xsd:double"&gt;25.1219042528671&lt;/D&gt;&lt;D xsi:type="xsd:double"&gt;26.5532388217048&lt;/D&gt;&lt;D xsi:type="xsd:double"&gt;26.6641109680966&lt;/D&gt;&lt;D xsi:type="xsd:double"&gt;22.9689709302158&lt;/D&gt;&lt;D xsi:type="xsd:double"&gt;24.2817317251548&lt;/D&gt;&lt;D xsi:type="xsd:double"&gt;26.1114828449592&lt;/D&gt;&lt;D xsi:type="xsd:double"&gt;27.4748981412859&lt;/D&gt;&lt;D xsi:type="xsd:double"&gt;29.1895263619458&lt;/D&gt;&lt;D xsi:type="xsd:double"&gt;30.1212571374677&lt;/D&gt;&lt;D xsi:type="xsd:double"&gt;29.7499762100442&lt;/D&gt;&lt;D xsi:type="xsd:double"&gt;31.8235750198168&lt;/D&gt;&lt;D xsi:type="xsd:double"&gt;32.0086816931466&lt;/D&gt;&lt;D xsi:type="xsd:double"&gt;34.4285150062032&lt;/D&gt;&lt;D xsi:type="xsd:double"&gt;36.2287939759672&lt;/D&gt;&lt;D xsi:type="xsd:double"&gt;34.8594534110671&lt;/D&gt;&lt;D xsi:type="xsd:double"&gt;32.6088201863675&lt;/D&gt;&lt;D xsi:type="xsd:double"&gt;32.8135107090644&lt;/D&gt;&lt;D xsi:type="xsd:double"&gt;31.4472431317674&lt;/D&gt;&lt;D xsi:type="xsd:double"&gt;31.5741501347519&lt;/D&gt;&lt;D xsi:type="xsd:double"&gt;31.9741778587494&lt;/D&gt;&lt;D xsi:type="xsd:double"&gt;31.1675872547638&lt;/D&gt;&lt;D xsi:type="xsd:double"&gt;30.8027091878473&lt;/D&gt;&lt;D xsi:type="xsd:double"&gt;31.1287997390687&lt;/D&gt;&lt;D xsi:type="xsd:double"&gt;32.4661717263775&lt;/D&gt;&lt;D xsi:type="xsd:double"&gt;31.3362604180178&lt;/D&gt;&lt;D xsi:type="xsd:double"&gt;28.0156537032072&lt;/D&gt;&lt;D xsi:type="xsd:double"&gt;26.3630434404004&lt;/D&gt;&lt;D xsi:type="xsd:double"&gt;26.6676907263491&lt;/D&gt;&lt;D xsi:type="xsd:double"&gt;26.2030669003587&lt;/D&gt;&lt;D xsi:type="xsd:double"&gt;24.9005841354115&lt;/D&gt;&lt;D xsi:type="xsd:double"&gt;24.2037066238133&lt;/D&gt;&lt;D xsi:type="xsd:double"&gt;25.0396282510089&lt;/D&gt;&lt;D xsi:type="xsd:double"&gt;26.0366697807062&lt;/D&gt;&lt;D xsi:type="xsd:double"&gt;23.7050766770198&lt;/D&gt;&lt;D xsi:type="xsd:double"&gt;23.0295275452263&lt;/D&gt;&lt;D xsi:type="xsd:double"&gt;23.3756847468203&lt;/D&gt;&lt;D xsi:type="xsd:double"&gt;23.4078721321051&lt;/D&gt;&lt;D xsi:type="xsd:double"&gt;24.0827495510306&lt;/D&gt;&lt;D xsi:type="xsd:double"&gt;25.0897437681229&lt;/D&gt;&lt;D xsi:type="xsd:double"&gt;25.4524713759294&lt;/D&gt;&lt;D xsi:type="xsd:double"&gt;25.644978764985&lt;/D&gt;&lt;D xsi:type="xsd:double"&gt;26.0899494341424&lt;/D&gt;&lt;D xsi:type="xsd:double"&gt;26.895562944241&lt;/D&gt;&lt;D xsi:type="xsd:double"&gt;27.7514160640425&lt;/D&gt;&lt;D xsi:type="xsd:double"&gt;26.2481422788296&lt;/D&gt;&lt;D xsi:type="xsd:double"&gt;25.8917979221161&lt;/D&gt;&lt;D xsi:type="xsd:double"&gt;25.7864625580251&lt;/D&gt;&lt;D xsi:type="xsd:double"&gt;27.6739601565551&lt;/D&gt;&lt;D xsi:type="xsd:double"&gt;28.9876419007017&lt;/D&gt;&lt;D xsi:type="xsd:double"&gt;29.8138622575296&lt;/D&gt;&lt;D xsi:type="xsd:double"&gt;29.5268056373639&lt;/D&gt;&lt;D xsi:type="xsd:double"&gt;30.1702079875871&lt;/D&gt;&lt;/FQL&gt;&lt;FQL&gt;&lt;Q&gt;DDR3512M-FDS^FG_PRICE(0)&lt;/Q&gt;&lt;R&gt;1&lt;/R&gt;&lt;C&gt;1&lt;/C&gt;&lt;D xsi:type="xsd:double"&gt;0.9630008&lt;/D&gt;&lt;/FQL&gt;&lt;FQL&gt;&lt;Q&gt;PASP-FDS^FG_PRICE(0)&lt;/Q&gt;&lt;R&gt;1&lt;/R&gt;&lt;C&gt;1&lt;/C&gt;&lt;D xsi:type="xsd:double"&gt;1050&lt;/D&gt;&lt;/FQL&gt;&lt;FQL&gt;&lt;Q&gt;PLATI-FDS^FG_PRICE(0)&lt;/Q&gt;&lt;R&gt;1&lt;/R&gt;&lt;C&gt;1&lt;/C&gt;&lt;D xsi:type="xsd:double"&gt;925&lt;/D&gt;&lt;/FQL&gt;&lt;FQL&gt;&lt;Q&gt;W-FDS^FG_PRICE(0)&lt;/Q&gt;&lt;R&gt;1&lt;/R&gt;&lt;C&gt;1&lt;/C&gt;&lt;D xsi:type="xsd:double"&gt;5.4675&lt;/D&gt;&lt;/FQL&gt;&lt;FQL&gt;&lt;Q&gt;COPP-FDS^FG_PRICE(0)&lt;/Q&gt;&lt;R&gt;1&lt;/R&gt;&lt;C&gt;1&lt;/C&gt;&lt;D xsi:type="xsd:double"&gt;4.0465&lt;/D&gt;&lt;/FQL&gt;&lt;FQL&gt;&lt;Q&gt;FC0000US^FG_PRICE(0)&lt;/Q&gt;&lt;R&gt;1&lt;/R&gt;&lt;C&gt;1&lt;/C&gt;&lt;D xsi:type="xsd:double"&gt;394.45752&lt;/D&gt;&lt;/FQL&gt;&lt;FQL&gt;&lt;Q&gt;FC0000GR^FG_PRICE(0)&lt;/Q&gt;&lt;R&gt;1&lt;/R&gt;&lt;C&gt;1&lt;/C&gt;&lt;D xsi:type="xsd:double"&gt;9.71851&lt;/D&gt;&lt;/FQL&gt;&lt;FQL&gt;&lt;Q&gt;EWI^FG_PRICE(0)&lt;/Q&gt;&lt;R&gt;1&lt;/R&gt;&lt;C&gt;1&lt;/C&gt;&lt;D xsi:type="xsd:double"&gt;37.47&lt;/D&gt;&lt;/FQL&gt;&lt;FQL&gt;&lt;Q&gt;SPY^FG_PRICE(0)&lt;/Q&gt;&lt;R&gt;1&lt;/R&gt;&lt;C&gt;1&lt;/C&gt;&lt;D xsi:type="xsd:double"&gt;522.2&lt;/D&gt;&lt;/FQL&gt;&lt;FQL&gt;&lt;Q&gt;EWJ^FG_PRICE(0)&lt;/Q&gt;&lt;R&gt;1&lt;/R&gt;&lt;C&gt;1&lt;/C&gt;&lt;D xsi:type="xsd:double"&gt;71.83&lt;/D&gt;&lt;/FQL&gt;&lt;FQL&gt;&lt;Q&gt;ENZL^FG_PRICE(0)&lt;/Q&gt;&lt;R&gt;1&lt;/R&gt;&lt;C&gt;1&lt;/C&gt;&lt;D xsi:type="xsd:double"&gt;45.1&lt;/D&gt;&lt;/FQL&gt;&lt;FQL&gt;&lt;Q&gt;EWA^FG_COMPANY_NAME&lt;/Q&gt;&lt;R&gt;1&lt;/R&gt;&lt;C&gt;1&lt;/C&gt;&lt;D xsi:type="xsd:string"&gt;iShares MSCI Australia ETF&lt;/D&gt;&lt;/FQL&gt;&lt;FQL&gt;&lt;Q&gt;FXI^P_PRICE(0)/P_PRICE_LOW_PR(0,,,USD,,,"PRICE","INTRA","52W")-1&lt;/Q&gt;&lt;R&gt;1&lt;/R&gt;&lt;C&gt;1&lt;/C&gt;&lt;D xsi:type="xsd:double"&gt;0.15148604&lt;/D&gt;&lt;/FQL&gt;&lt;FQL&gt;&lt;Q&gt;DUMMY^ECON_EXPR_DATA('FDS_ECON[NTCPMIMFGSA@EME]',,,M)&lt;/Q&gt;&lt;R&gt;1&lt;/R&gt;&lt;C&gt;1&lt;/C&gt;&lt;D xsi:type="xsd:double"&gt;51.4475&lt;/D&gt;&lt;/FQL&gt;&lt;FQL&gt;&lt;Q&gt;EWD^FMA_ROE(NTMA,-20AY,NOW,FY,"PORTAGG","MEANR")&lt;/Q&gt;&lt;R&gt;20&lt;/R&gt;&lt;C&gt;1&lt;/C&gt;&lt;D xsi:type="xsd:double"&gt;16.2261090864793&lt;/D&gt;&lt;D xsi:type="xsd:double"&gt;17.2247287220762&lt;/D&gt;&lt;D xsi:type="xsd:double"&gt;18.2100106841597&lt;/D&gt;&lt;D xsi:type="xsd:double"&gt;18.8871757625538&lt;/D&gt;&lt;D xsi:type="xsd:double"&gt;13.942889841066&lt;/D&gt;&lt;D xsi:type="xsd:double"&gt;10.3461745032911&lt;/D&gt;&lt;D xsi:type="xsd:double"&gt;15.8182159921786&lt;/D&gt;&lt;D xsi:type="xsd:double"&gt;15.7255547384444&lt;/D&gt;&lt;D xsi:type="xsd:double"&gt;14.800794930169&lt;/D&gt;&lt;D xsi:type="xsd:double"&gt;14.1943515647563&lt;/D&gt;&lt;D xsi:type="xsd:double"&gt;13.790896513923&lt;/D&gt;&lt;D xsi:type="xsd:double"&gt;13.0367586478869&lt;/D&gt;&lt;D xsi:type="xsd:double"&gt;12.3225531542011&lt;/D&gt;&lt;D xsi:type="xsd:double"&gt;13.8549633296522&lt;/D&gt;&lt;D xsi:type="xsd:double"&gt;13.3193557094803&lt;/D&gt;&lt;D xsi:type="xsd:double"&gt;13.4117968278463&lt;/D&gt;&lt;D xsi:type="xsd:double"&gt;11.9070326859664&lt;/D&gt;&lt;D xsi:type="xsd:double"&gt;15.3602779404436&lt;/D&gt;&lt;D xsi:type="xsd:double"&gt;14.6912945348088&lt;/D&gt;&lt;D xsi:type="xsd:double"&gt;15.3680506035552&lt;/D&gt;&lt;/FQL&gt;&lt;FQL&gt;&lt;Q&gt;^FG_YIELD(-10AY,0,Y,,"YTM")&lt;/Q&gt;&lt;R&gt;10&lt;/R&gt;&lt;C&gt;1&lt;/C&gt;&lt;D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xsi:type="xsd:double"&gt;2.004&lt;/D&gt;&lt;/FQL&gt;&lt;FQL&gt;&lt;Q&gt;ENZL^FMA_EPS(NTMA,-20AY,0,CY,,"PORTAGG","MEANR")&lt;/Q&gt;&lt;R&gt;20&lt;/R&gt;&lt;C&gt;1&lt;/C&gt;&lt;D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xsi:type="xsd:double"&gt;2.40890596176463&lt;/D&gt;&lt;D xsi:type="xsd:double"&gt;2.24117429803946&lt;/D&gt;&lt;D xsi:type="xsd:double"&gt;2.40285148565594&lt;/D&gt;&lt;D xsi:type="xsd:double"&gt;2.31210808961864&lt;/D&gt;&lt;D xsi:type="xsd:double"&gt;2.19492193820354&lt;/D&gt;&lt;D xsi:type="xsd:double"&gt;2.04943671601749&lt;/D&gt;&lt;D xsi:type="xsd:double"&gt;2.14962845087329&lt;/D&gt;&lt;D xsi:type="xsd:double"&gt;2.26706810161072&lt;/D&gt;&lt;D xsi:type="xsd:double"&gt;2.29721148308571&lt;/D&gt;&lt;D xsi:type="xsd:double"&gt;2.24732564412744&lt;/D&gt;&lt;D xsi:type="xsd:double"&gt;1.98522618259249&lt;/D&gt;&lt;D xsi:type="xsd:double"&gt;1.82093688879477&lt;/D&gt;&lt;D xsi:type="xsd:double"&gt;2.11037846476333&lt;/D&gt;&lt;D xsi:type="xsd:double"&gt;2.11106621771878&lt;/D&gt;&lt;/FQL&gt;&lt;FQL&gt;&lt;Q&gt;EWI^FG_TOTAL_RETURNC(-10AY,0,AM)&lt;/Q&gt;&lt;R&gt;121&lt;/R&gt;&lt;C&gt;1&lt;/C&gt;&lt;D xsi:type="xsd:double"&gt;1.8685937&lt;/D&gt;&lt;D xsi:type="xsd:double"&gt;5.739653&lt;/D&gt;&lt;D xsi:type="xsd:double"&gt;-5.540019&lt;/D&gt;&lt;D xsi:type="xsd:double"&gt;6.812811&lt;/D&gt;&lt;D xsi:type="xsd:double"&gt;-7.147747&lt;/D&gt;&lt;D xsi:type="xsd:double"&gt;-4.482132&lt;/D&gt;&lt;D xsi:type="xsd:double"&gt;1.0145783&lt;/D&gt;&lt;D xsi:type="xsd:double"&gt;-8.788454&lt;/D&gt;&lt;D xsi:type="xsd:double"&gt;1.789403&lt;/D&gt;&lt;D xsi:type="xsd:double"&gt;-5.5686655&lt;/D&gt;&lt;D xsi:type="xsd:double"&gt;-0.43258667&lt;/D&gt;&lt;D xsi:type="xsd:double"&gt;8.978998&lt;/D&gt;&lt;D xsi:type="xsd:double"&gt;-1.461798&lt;/D&gt;&lt;D xsi:type="xsd:double"&gt;0.5394459&lt;/D&gt;&lt;D xsi:type="xsd:double"&gt;6.7739844&lt;/D&gt;&lt;D xsi:type="xsd:double"&gt;-2.5753736&lt;/D&gt;&lt;D xsi:type="xsd:double"&gt;1.827395&lt;/D&gt;&lt;D xsi:type="xsd:double"&gt;-5.7989717&lt;/D&gt;&lt;D xsi:type="xsd:double"&gt;-0.20519495&lt;/D&gt;&lt;D xsi:type="xsd:double"&gt;3.289926&lt;/D&gt;&lt;D xsi:type="xsd:double"&gt;-6.7020535&lt;/D&gt;&lt;D xsi:type="xsd:double"&gt;-1.5526354&lt;/D&gt;&lt;D xsi:type="xsd:double"&gt;-12.173915&lt;/D&gt;&lt;D xsi:type="xsd:double"&gt;-7.9207897&lt;/D&gt;&lt;D xsi:type="xsd:double"&gt;12.186384&lt;/D&gt;&lt;D xsi:type="xsd:double"&gt;0.079870224&lt;/D&gt;&lt;D xsi:type="xsd:double"&gt;-5.50677</t>
        </r>
      </text>
    </comment>
    <comment ref="A2" authorId="0" shapeId="0" xr:uid="{DE058EE5-3F9F-4D79-86A1-9A954B48D60B}">
      <text>
        <r>
          <rPr>
            <b/>
            <sz val="9"/>
            <color indexed="81"/>
            <rFont val="Tahoma"/>
            <charset val="1"/>
          </rPr>
          <t>8&lt;/D&gt;&lt;D xsi:type="xsd:double"&gt;1.3513446&lt;/D&gt;&lt;D xsi:type="xsd:double"&gt;-6.0644207&lt;/D&gt;&lt;D xsi:type="xsd:double"&gt;0.912416&lt;/D&gt;&lt;D xsi:type="xsd:double"&gt;-0.090420246&lt;/D&gt;&lt;D xsi:type="xsd:double"&gt;1.4479637&lt;/D&gt;&lt;D xsi:type="xsd:double"&gt;-5.932206&lt;/D&gt;&lt;D xsi:type="xsd:double"&gt;14.656628&lt;/D&gt;&lt;D xsi:type="xsd:double"&gt;3.046751&lt;/D&gt;&lt;D xsi:type="xsd:double"&gt;-3.8882196&lt;/D&gt;&lt;D xsi:type="xsd:double"&gt;6.3211083&lt;/D&gt;&lt;D xsi:type="xsd:double"&gt;-0.9908855&lt;/D&gt;&lt;D xsi:type="xsd:double"&gt;14.171338&lt;/D&gt;&lt;D xsi:type="xsd:double"&gt;-1.3573408&lt;/D&gt;&lt;D xsi:type="xsd:double"&gt;5.3203106&lt;/D&gt;&lt;D xsi:type="xsd:double"&gt;3.1615138&lt;/D&gt;&lt;D xsi:type="xsd:double"&gt;4.69687&lt;/D&gt;&lt;D xsi:type="xsd:double"&gt;-2.1317244&lt;/D&gt;&lt;D xsi:type="xsd:double"&gt;-0.58517456&lt;/D&gt;&lt;D xsi:type="xsd:double"&gt;0.7818818&lt;/D&gt;&lt;D xsi:type="xsd:double"&gt;9.951067&lt;/D&gt;&lt;D xsi:type="xsd:double"&gt;-5.0741854&lt;/D&gt;&lt;D xsi:type="xsd:double"&gt;1.3754368&lt;/D&gt;&lt;D xsi:type="xsd:double"&gt;4.810369&lt;/D&gt;&lt;D xsi:type="xsd:double"&gt;-6.0017705&lt;/D&gt;&lt;D xsi:type="xsd:double"&gt;-7.461953&lt;/D&gt;&lt;D xsi:type="xsd:double"&gt;1.7385244&lt;/D&gt;&lt;D xsi:type="xsd:double"&gt;-5.399865&lt;/D&gt;&lt;D xsi:type="xsd:double"&gt;5.0216794&lt;/D&gt;&lt;D xsi:type="xsd:double"&gt;-12.246299&lt;/D&gt;&lt;D xsi:type="xsd:double"&gt;-2.704823&lt;/D&gt;&lt;D xsi:type="xsd:double"&gt;-2.6802301&lt;/D&gt;&lt;D xsi:type="xsd:double"&gt;8.301889&lt;/D&gt;&lt;D xsi:type="xsd:double"&gt;2.5938869&lt;/D&gt;&lt;D xsi:type="xsd:double"&gt;6.6037774&lt;/D&gt;&lt;D xsi:type="xsd:double"&gt;0.38938522&lt;/D&gt;&lt;D xsi:type="xsd:double"&gt;-4.1255293&lt;/D&gt;&lt;D xsi:type="xsd:double"&gt;5.116415&lt;/D&gt;&lt;D xsi:type="xsd:double"&gt;-0.03620386&lt;/D&gt;&lt;D xsi:type="xsd:double"&gt;-4.8533144&lt;/D&gt;&lt;D xsi:type="xsd:double"&gt;5.2150726&lt;/D&gt;&lt;D xsi:type="xsd:double"&gt;3.292334&lt;/D&gt;&lt;D xsi:type="xsd:double"&gt;2.3817897&lt;/D&gt;&lt;D xsi:type="xsd:double"&gt;2.4531603&lt;/D&gt;&lt;D xsi:type="xsd:double"&gt;-0.80699325&lt;/D&gt;&lt;D xsi:type="xsd:double"&gt;0.7457614&lt;/D&gt;&lt;D xsi:type="xsd:double"&gt;-37.58412&lt;/D&gt;&lt;D xsi:type="xsd:double"&gt;6.6307306&lt;/D&gt;&lt;D xsi:type="xsd:double"&gt;4.5500517&lt;/D&gt;&lt;D xsi:type="xsd:double"&gt;16.730833&lt;/D&gt;&lt;D xsi:type="xsd:double"&gt;9.292591&lt;/D&gt;&lt;D xsi:type="xsd:double"&gt;-1.8766761&lt;/D&gt;&lt;D xsi:type="xsd:double"&gt;-4.410619&lt;/D&gt;&lt;D xsi:type="xsd:double"&gt;0.5716562&lt;/D&gt;&lt;D xsi:type="xsd:double"&gt;14.088511&lt;/D&gt;&lt;D xsi:type="xsd:double"&gt;3.5170317&lt;/D&gt;&lt;D xsi:type="xsd:double"&gt;3.2235742&lt;/D&gt;&lt;D xsi:type="xsd:double"&gt;1.6453981&lt;/D&gt;&lt;D xsi:type="xsd:double"&gt;3.40271&lt;/D&gt;&lt;D xsi:type="xsd:double"&gt;2.0127773&lt;/D&gt;&lt;D xsi:type="xsd:double"&gt;3.7582278&lt;/D&gt;&lt;D xsi:type="xsd:double"&gt;0.6693244&lt;/D&gt;&lt;D xsi:type="xsd:double"&gt;-3.9453745&lt;/D&gt;&lt;D xsi:type="xsd:double"&gt;3.3491254&lt;/D&gt;&lt;D xsi:type="xsd:double"&gt;-3.0265987&lt;/D&gt;&lt;D xsi:type="xsd:double"&gt;5.0441384&lt;/D&gt;&lt;D xsi:type="xsd:double"&gt;-1.2304902&lt;/D&gt;&lt;D xsi:type="xsd:double"&gt;-1.2572944&lt;/D&gt;&lt;D xsi:type="xsd:double"&gt;1.1548042&lt;/D&gt;&lt;D xsi:type="xsd:double"&gt;-0.8639276&lt;/D&gt;&lt;D xsi:type="xsd:double"&gt;-10.831004&lt;/D&gt;&lt;D xsi:type="xsd:double"&gt;0.8376956&lt;/D&gt;&lt;D xsi:type="xsd:double"&gt;-4.6036663&lt;/D&gt;&lt;D xsi:type="xsd:double"&gt;-7.4394464&lt;/D&gt;&lt;D xsi:type="xsd:double"&gt;-6.424242&lt;/D&gt;&lt;D xsi:type="xsd:double"&gt;4.79275&lt;/D&gt;&lt;D xsi:type="xsd:double"&gt;-5.4800153&lt;/D&gt;&lt;D xsi:type="xsd:double"&gt;0.34873486&lt;/D&gt;&lt;D xsi:type="xsd:double"&gt;16.941786&lt;/D&gt;&lt;D xsi:type="xsd:double"&gt;2.0692825&lt;/D&gt;&lt;D xsi:type="xsd:double"&gt;9.087551&lt;/D&gt;&lt;D xsi:type="xsd:double"&gt;2.2350192&lt;/D&gt;&lt;D xsi:type="xsd:double"&gt;-1.9542873&lt;/D&gt;&lt;D xsi:type="xsd:double"&gt;7.060814&lt;/D&gt;&lt;D xsi:type="xsd:double"&gt;-1.4515638&lt;/D&gt;&lt;D xsi:type="xsd:double"&gt;2.6833653&lt;/D&gt;&lt;D xsi:type="xsd:double"&gt;5.303514&lt;/D&gt;&lt;D xsi:type="xsd:double"&gt;-4.702669&lt;/D&gt;&lt;D xsi:type="xsd:double"&gt;-0.6685734&lt;/D&gt;&lt;D xsi:type="xsd:double"&gt;-5.16026&lt;/D&gt;&lt;D xsi:type="xsd:double"&gt;9.733021&lt;/D&gt;&lt;D xsi:type="xsd:double"&gt;5.1286936&lt;/D&gt;&lt;D xsi:type="xsd:double"&gt;-0.6822884&lt;/D&gt;&lt;D xsi:type="xsd:double"&gt;4.868579&lt;/D&gt;&lt;D xsi:type="xsd:double"&gt;6.721735&lt;/D&gt;&lt;/FQL&gt;&lt;FQL&gt;&lt;Q&gt;EWN^FMA_DIV_YLD(NTMA,-10AY,0,AM,"PORTAGG","MEANR")&lt;/Q&gt;&lt;R&gt;121&lt;/R&gt;&lt;C&gt;1&lt;/C&gt;&lt;D xsi:type="xsd:double"&gt;2.77188004052036&lt;/D&gt;&lt;D xsi:type="xsd:double"&gt;2.8013134470639&lt;/D&gt;&lt;D xsi:type="xsd:double"&gt;2.82673248316208&lt;/D&gt;&lt;D xsi:type="xsd:double"&gt;2.79611048185019&lt;/D&gt;&lt;D xsi:type="xsd:double"&gt;2.91745834273457&lt;/D&gt;&lt;D xsi:type="xsd:double"&gt;3.01046558305969&lt;/D&gt;&lt;D xsi:type="xsd:double"&gt;2.97198489790297&lt;/D&gt;&lt;D xsi:type="xsd:double"&gt;3.22105362827655&lt;/D&gt;&lt;D xsi:type="xsd:double"&gt;3.05939955908107&lt;/D&gt;&lt;D xsi:type="xsd:double"&gt;3.10730093578022&lt;/D&gt;&lt;D xsi:type="xsd:double"&gt;2.98130463937812&lt;/D&gt;&lt;D xsi:type="xsd:double"&gt;2.79271494943916&lt;/D&gt;&lt;D xsi:type="xsd:double"&gt;2.61932106643917&lt;/D&gt;&lt;D xsi:type="xsd:double"&gt;2.63614729510457&lt;/D&gt;&lt;D xsi:type="xsd:double"&gt;2.76708805192023&lt;/D&gt;&lt;D xsi:type="xsd:double"&gt;2.94354293413669&lt;/D&gt;&lt;D xsi:type="xsd:double"&gt;2.83387151850262&lt;/D&gt;&lt;D xsi:type="xsd:double"&gt;3.42600704101446&lt;/D&gt;&lt;D xsi:type="xsd:double"&gt;3.47337303458928&lt;/D&gt;&lt;D xsi:type="xsd:double"&gt;3.37680628187334&lt;/D&gt;&lt;D xsi:type="xsd:double"&gt;3.14828177718017&lt;/D&gt;&lt;D xsi:type="xsd:double"&gt;3.37420595391961&lt;/D&gt;&lt;D xsi:type="xsd:double"&gt;3.3797821788287&lt;/D&gt;&lt;D xsi:type="xsd:double"&gt;3.4852841056704&lt;/D&gt;&lt;D xsi:type="xsd:double"&gt;3.2797914404654&lt;/D&gt;&lt;D xsi:type="xsd:double"&gt;3.2536909058288&lt;/D&gt;&lt;D xsi:type="xsd:double"&gt;3.37796560871084&lt;/D&gt;&lt;D xsi:type="xsd:double"&gt;3.26159499682047&lt;/D&gt;&lt;D xsi:type="xsd:double"&gt;3.20591773244892&lt;/D&gt;&lt;D xsi:type="xsd:double"&gt;3.17336157774064&lt;/D&gt;&lt;D xsi:type="xsd:double"&gt;3.17937370751237&lt;/D&gt;&lt;D xsi:type="xsd:double"&gt;3.09048665623354&lt;/D&gt;&lt;D xsi:type="xsd:double"&gt;3.13854121088809&lt;/D&gt;&lt;D xsi:type="xsd:double"&gt;2.96811326399555&lt;/D&gt;&lt;D xsi:type="xsd:double"&gt;2.95119201261152&lt;/D&gt;&lt;D xsi:type="xsd:double"&gt;2.84952565190358&lt;/D&gt;&lt;D xsi:type="xsd:double"&gt;2.7757860397457&lt;/D&gt;&lt;D xsi:type="xsd:double"&gt;2.77553333889155&lt;/D&gt;&lt;D xsi:type="xsd:double"&gt;2.74064834245585&lt;/D&gt;&lt;D xsi:type="xsd:double"&gt;2.73531306982109&lt;/D&gt;&lt;D xsi:type="xsd:double"&gt;2.76895855549758&lt;/D&gt;&lt;D xsi:type="xsd:double"&gt;2.82632942381347&lt;/D&gt;&lt;D xsi:type="xsd:double"&gt;2.82764874177609&lt;/D&gt;&lt;D xsi:type="xsd:double"&gt;2.76963449167653&lt;/D&gt;&lt;D xsi:type="xsd:double"&gt;2.80853123051115&lt;/D&gt;&lt;D xsi:type="xsd:double"&gt;2.82790612115412&lt;/D&gt;&lt;D xsi:type="xsd:double"&gt;2.75499592877274&lt;/D&gt;&lt;D xsi:type="xsd:double"&gt;2.92775750328158&lt;/D&gt;&lt;D xsi:type="xsd:double"&gt;2.93354088921087&lt;/D&gt;&lt;D xsi:type="xsd:double"&gt;2.9500123052093&lt;/D&gt;&lt;D xsi:type="xsd:double"&gt;2.85906814562111&lt;/D&gt;&lt;D xsi:type="xsd:double"&gt;2.90845097361303&lt;/D&gt;&lt;D xsi:type="xsd:double"&gt;2.87631897461256&lt;/D&gt;&lt;D xsi:type="xsd:double"&gt;2.91848534445553&lt;/D&gt;&lt;D xsi:type="xsd:double"&gt;2.98420730710646&lt;/D&gt;&lt;D xsi:type="xsd:double"&gt;3.1705795548324&lt;/D&gt;&lt;D xsi:type="xsd:double"&gt;3.2516401615476&lt;/D&gt;&lt;D xsi:type="xsd:double"&gt;3.50698316385185&lt;/D&gt;&lt;D xsi:type="xsd:double"&gt;3.32413661648342&lt;/D&gt;&lt;D xsi:type="xsd:double"&gt;3.13248027628968&lt;/D&gt;&lt;D xsi:type="xsd:double"&gt;3.04458920894128&lt;/D&gt;&lt;D xsi:type="xsd:double"&gt;2.95777907764433&lt;/D&gt;&lt;D xsi:type="xsd:double"&gt;3.06464242648327&lt;/D&gt;&lt;D xsi:type="xsd:double"&gt;3.02670732210742&lt;/D&gt;&lt;D xsi:type="xsd:double"&gt;2.94761677321525&lt;/D&gt;&lt;D xsi:type="xsd:double"&gt;2.99054253666786&lt;/D&gt;&lt;D xsi:type="xsd:double"&gt;2.74226337527127&lt;/D&gt;&lt;D xsi:type="xsd:double"&gt;2.73456292340494&lt;/D&gt;&lt;D xsi:type="xsd:double"&gt;2.68122318349162&lt;/D&gt;&lt;D xsi:type="xsd:double"&gt;2.57856768086489&lt;/D&gt;&lt;D xsi:type="xsd:double"&gt;2.5879044957021&lt;/D&gt;&lt;D xsi:type="xsd:double"&gt;2.51684986679227&lt;/D&gt;&lt;D xsi:type="xsd:double"&gt;3.60898001191992&lt;/D&gt;&lt;D xsi:type="xsd:double"&gt;2.90338722530588&lt;/D&gt;&lt;D xsi:type="xsd:double"&gt;2.55002261883148&lt;/D&gt;&lt;D xsi:type="xsd:double"&gt;2.36165148480603&lt;/D&gt;&lt;D xsi:type="xsd:double"&gt;2.27886270960732&lt;/D&gt;&lt;D xsi:type="xsd:double"&gt;2.34839326647271&lt;/D&gt;&lt;D xsi:type="xsd:double"&gt;2.3963888353205&lt;/D&gt;&lt;D xsi:type="xsd:double"&gt;2.30443188516052&lt;/D&gt;&lt;D xsi:type="xsd:double"&gt;2.17249616090619&lt;/D&gt;&lt;D xsi:type="xsd:double"&gt;2.06933450861175&lt;/D&gt;&lt;D xsi:type="xsd:double"&gt;1.92523271184957&lt;/D&gt;&lt;D xsi:type="xsd:double"&gt;1.89834575331505&lt;/D&gt;&lt;D xsi:type="xsd:double"&gt;2.0057053557453&lt;/D&gt;&lt;D xsi:type="xsd:double"&gt;1.93608176072849&lt;/D&gt;&lt;D xsi:type="xsd:double"&gt;1.99333410391254&lt;/D&gt;&lt;D xsi:type="xsd:double"&gt;2.0079465923679&lt;/D&gt;&lt;D xsi:type="xsd:double"&gt;2.01720393340433&lt;/D&gt;&lt;D xsi:type="xsd:double"&gt;1.87074302948739&lt;/D&gt;&lt;D xsi:type="xsd:double"&gt;1.87460262661843&lt;/D&gt;&lt;D xsi:type="xsd:double"&gt;1.91448578389384&lt;/D&gt;&lt;D xsi:type="xsd:double"&gt;1.85021602486634&lt;/D&gt;&lt;D xsi:type="xsd:double"&gt;1.99023008488166&lt;/D&gt;&lt;D xsi:type="xsd:double"&gt;2.13331775078227&lt;/D&gt;&lt;D xsi:type="xsd:double"&gt;2.25422524696023&lt;/D&gt;&lt;D xsi:type="xsd:double"&gt;2.25660504458303&lt;/D&gt;&lt;D xsi:type="xsd:double"&gt;2.28239167005702&lt;/D&gt;&lt;D xsi:type="xsd:double"&gt;2.59006766313932&lt;/D&gt;&lt;D xsi:type="xsd:double"&gt;3.48769603051129&lt;/D&gt;&lt;D xsi:type="xsd:double"&gt;3.13826545460852&lt;/D&gt;&lt;D xsi:type="xsd:double"&gt;3.09580244368586&lt;/D&gt;&lt;D xsi:type="xsd:double"&gt;3.75400424388815&lt;/D&gt;&lt;D xsi:type="xsd:double"&gt;3.01010466491238&lt;/D&gt;&lt;D xsi:type="xsd:double"&gt;2.69551435168961&lt;/D&gt;&lt;D xsi:type="xsd:double"&gt;2.7210796454797&lt;/D&gt;&lt;D xsi:type="xsd:double"&gt;2.58664663596462&lt;/D&gt;&lt;D xsi:type="xsd:double"&gt;2.60061983897319&lt;/D&gt;&lt;D xsi:type="xsd:double"&gt;2.71895530213715&lt;/D&gt;&lt;D xsi:type="xsd:double"&gt;2.66049267631101&lt;/D&gt;&lt;D xsi:type="xsd:double"&gt;2.6554037056562&lt;/D&gt;&lt;D xsi:type="xsd:double"&gt;2.7171840821898&lt;/D&gt;&lt;D xsi:type="xsd:double"&gt;2.69725690446727&lt;/D&gt;&lt;D xsi:type="xsd:double"&gt;2.89833464370431&lt;/D&gt;&lt;D xsi:type="xsd:double"&gt;3.02580953213497&lt;/D&gt;&lt;D xsi:type="xsd:double"&gt;3.14844635567651&lt;/D&gt;&lt;D xsi:type="xsd:double"&gt;2.82928339566768&lt;/D&gt;&lt;D xsi:type="xsd:double"&gt;2.66749277969236&lt;/D&gt;&lt;D xsi:type="xsd:double"&gt;2.74594204577588&lt;/D&gt;&lt;D xsi:type="xsd:double"&gt;2.51645759875411&lt;/D&gt;&lt;D xsi:type="xsd:double"&gt;2.58993033554319&lt;/D&gt;&lt;/FQL&gt;&lt;FQL&gt;&lt;Q&gt;SPY^FMA_PE(NTMA,-10AY,0,AM,"PORTAGG","MEANR")&lt;/Q&gt;&lt;R&gt;121&lt;/R&gt;&lt;C&gt;1&lt;/C&gt;&lt;D xsi:type="xsd:double"&gt;15.0243756402002&lt;/D&gt;&lt;D xsi:type="xsd:double"&gt;15.0261040737205&lt;/D&gt;&lt;D xsi:type="xsd:double"&gt;14.9490490458548&lt;/D&gt;&lt;D xsi:type="xsd:double"&gt;15.4028120018778&lt;/D&gt;&lt;D xsi:type="xsd:double"&gt;15.3071085700014&lt;/D&gt;&lt;D xsi:type="xsd:double"&gt;15.3078564750066&lt;/D&gt;&lt;D xsi:type="xsd:double"&gt;15.3396976600733&lt;/D&gt;&lt;D xsi:type="xsd:double"&gt;14.8827328304633&lt;/D&gt;&lt;D xsi:type="xsd:double"&gt;15.8157826492897&lt;/D&gt;&lt;D xsi:type="xsd:double"&gt;16.0866586669478&lt;/D&gt;&lt;D xsi:type="xsd:double"&gt;16.1369415551458&lt;/D&gt;&lt;D xsi:type="xsd:double"&gt;16.9576298928243&lt;/D&gt;&lt;D xsi:type="xsd:double"&gt;16.8757370675569&lt;/D&gt;&lt;D xsi:type="xsd:double"&gt;16.7221631938445&lt;/D&gt;&lt;D xsi:type="xsd:double"&gt;16.7701469437503&lt;/D&gt;&lt;D xsi:type="xsd:double"&gt;16.4924315551726&lt;/D&gt;&lt;D xsi:type="xsd:double"&gt;16.5363374665003&lt;/D&gt;&lt;D xsi:type="xsd:double"&gt;15.3550638974136&lt;/D&gt;&lt;D xsi:type="xsd:double"&gt;15.3019324915478&lt;/D&gt;&lt;D xsi:type="xsd:double"&gt;15.8246772567257&lt;/D&gt;&lt;D xsi:type="xsd:double"&gt;16.3583929196527&lt;/D&gt;&lt;D xsi:type="xsd:double"&gt;15.7984991739068&lt;/D&gt;&lt;D xsi:type="xsd:double"&gt;14.8270626747405&lt;/D&gt;&lt;D xsi:type="xsd:double"&gt;15.5099438140132&lt;/D&gt;&lt;D xsi:type="xsd:double"&gt;15.5167363536305&lt;/D&gt;&lt;D xsi:type="xsd:double"&gt;16.5004635460184&lt;/D&gt;&lt;D xsi:type="xsd:double"&gt;16.5226770167304&lt;/D&gt;&lt;D xsi:type="xsd:double"&gt;16.4433613840525&lt;/D&gt;&lt;D xsi:type="xsd:double"&gt;16.9366531005869&lt;/D&gt;&lt;D xsi:type="xsd:double"&gt;16.9392945223387&lt;/D&gt;&lt;D xsi:type="xsd:double"&gt;16.6594530560154&lt;/D&gt;&lt;D xsi:type="xsd:double"&gt;16.3417711479852&lt;/D&gt;&lt;D xsi:type="xsd:double"&gt;16.7298476641338&lt;/D&gt;&lt;D xsi:type="xsd:double"&gt;17.0681155434573&lt;/D&gt;&lt;D xsi:type="xsd:double"&gt;16.9274509103616&lt;/D&gt;&lt;D xsi:type="xsd:double"&gt;17.6767669390586&lt;/D&gt;&lt;D xsi:type="xsd:double"&gt;17.4317900031863&lt;/D&gt;&lt;D xsi:type="xsd:double"&gt;17.2710355638307&lt;/D&gt;&lt;D xsi:type="xsd:double"&gt;17.3146624055505&lt;/D&gt;&lt;D xsi:type="xsd:double"&gt;17.5499751051374&lt;/D&gt;&lt;D xsi:type="xsd:double"&gt;17.750108667157&lt;/D&gt;&lt;D xsi:type="xsd:double"&gt;17.2372973481469&lt;/D&gt;&lt;D xsi:type="xsd:double"&gt;17.6527437848492&lt;/D&gt;&lt;D xsi:type="xsd:double"&gt;18.0351448575749&lt;/D&gt;&lt;D xsi:type="xsd:double"&gt;17.967964933125&lt;/D&gt;&lt;D xsi:type="xsd:double"&gt;18.2823770836473&lt;/D&gt;&lt;D xsi:type="xsd:double"&gt;18.3338199694308&lt;/D&gt;&lt;D xsi:type="xsd:double"&gt;16.855064564246&lt;/D&gt;&lt;D xsi:type="xsd:double"&gt;16.8138868291484&lt;/D&gt;&lt;D xsi:type="xsd:double"&gt;16.3692818301704&lt;/D&gt;&lt;D xsi:type="xsd:double"&gt;16.3821063360191&lt;/D&gt;&lt;D xsi:type="xsd:double"&gt;16.348746239565&lt;/D&gt;&lt;D xsi:type="xsd:double"&gt;16.4757315950051&lt;/D&gt;&lt;D xsi:type="xsd:double"&gt;16.6309086296945&lt;/D&gt;&lt;D xsi:type="xsd:double"&gt;16.8753622361642&lt;/D&gt;&lt;D xsi:type="xsd:double"&gt;15.8392590513925&lt;/D&gt;&lt;D xsi:type="xsd:double"&gt;15.1394028079227&lt;/D&gt;&lt;D xsi:type="xsd:double"&gt;13.891829899582&lt;/D&gt;&lt;D xsi:type="xsd:double"&gt;15.5176222702284&lt;/D&gt;&lt;D xsi:type="xsd:double"&gt;16.1660416751669&lt;/D&gt;&lt;D xsi:type="xsd:double"&gt;16.5756754193356&lt;/D&gt;&lt;D xsi:type="xsd:double"&gt;16.7520894149808&lt;/D&gt;&lt;D xsi:type="xsd:double"&gt;16.3610102645702&lt;/D&gt;&lt;D xsi:type="xsd:double"&gt;16.7768959913178&lt;/D&gt;&lt;D xsi:type="xsd:double"&gt;16.950449143246&lt;/D&gt;&lt;D xsi:type="xsd:double"&gt;16.5902961094507&lt;/D&gt;&lt;D xsi:type="xsd:double"&gt;16.866287696708&lt;/D&gt;&lt;D xsi:type="xsd:double"&gt;16.9954952940323&lt;/D&gt;&lt;D xsi:type="xsd:double"&gt;17.5306032148774&lt;/D&gt;&lt;D xsi:type="xsd:double"&gt;18.115284370616&lt;/D&gt;&lt;D xsi:type="xsd:double"&gt;18.5893304743797&lt;/D&gt;&lt;D xsi:type="xsd:double"&gt;18.7097807041689&lt;/D&gt;&lt;D xsi:type="xsd:double"&gt;13.4068357184758&lt;/D&gt;&lt;D xsi:type="xsd:double"&gt;18.5635069703855&lt;/D&gt;&lt;D xsi:type="xsd:double"&gt;21.0304253019077&lt;/D&gt;&lt;D xsi:type="xsd:double"&gt;21.735687313508&lt;/D&gt;&lt;D xsi:type="xsd:double"&gt;22.4131559688899&lt;/D&gt;&lt;D xsi:type="xsd:double"&gt;22.3438545420948&lt;/D&gt;&lt;D xsi:type="xsd:double"&gt;21.1326012717679&lt;/D&gt;&lt;D xsi:type="xsd:double"&gt;21.5749427137524&lt;/D&gt;&lt;D xsi:type="xsd:double"&gt;21.5485902980876&lt;/D&gt;&lt;D xsi:type="xsd:double"&gt;22.2199543503944&lt;/D&gt;&lt;D xsi:type="xsd:double"&gt;22.5198387390851&lt;/D&gt;&lt;D xsi:type="xsd:double"&gt;22.0193601783554&lt;/D&gt;&lt;D xsi:type="xsd:double"&gt;21.6366274675189&lt;/D&gt;&lt;D xsi:type="xsd:double"&gt;22.3255326968512&lt;/D&gt;&lt;D xsi:type="xsd:double"&gt;21.1118927102508&lt;/D&gt;&lt;D xsi:type="xsd:double"&gt;21.1042996958654&lt;/D&gt;&lt;D xsi:type="xsd:double"&gt;21.2528937768957&lt;/D&gt;&lt;D xsi:type="xsd:double"&gt;20.919533357891&lt;/D&gt;&lt;D xsi:type="xsd:double"&gt;20.3604413924889&lt;/D&gt;&lt;D xsi:type="xsd:double"&gt;20.9631211768453&lt;/D&gt;&lt;D xsi:type="xsd:double"&gt;21.3487005936896&lt;/D&gt;&lt;D xsi:type="xsd:double"&gt;20.8993152726411&lt;/D&gt;&lt;D xsi:type="xsd:double"&gt;19.5573681265886&lt;/D&gt;&lt;D xsi:type="xsd:double"&gt;19.0485066369356&lt;/D&gt;&lt;D xsi:type="xsd:double"&gt;19.2497527458941&lt;/D&gt;&lt;D xsi:type="xsd:double"&gt;18.5919038154923&lt;/D&gt;&lt;D xsi:type="xsd:double"&gt;16.450827546029&lt;/D&gt;&lt;D xsi:type="xsd:double"&gt;15.7098615272314&lt;/D&gt;&lt;D xsi:type="xsd:double"&gt;16.7390146902415&lt;/D&gt;&lt;D xsi:type="xsd:double"&gt;17.8271219869376&lt;/D&gt;&lt;D xsi:type="xsd:double"&gt;15.9843906758392&lt;/D&gt;&lt;D xsi:type="xsd:double"&gt;15.9800842000671&lt;/D&gt;&lt;D xsi:type="xsd:double"&gt;17.0949441534005&lt;/D&gt;&lt;D xsi:type="xsd:double"&gt;16.8163706103379&lt;/D&gt;&lt;D xsi:type="xsd:double"&gt;17.3825222715087&lt;/D&gt;&lt;D xsi:type="xsd:double"&gt;17.6137171800324&lt;/D&gt;&lt;D xsi:type="xsd:double"&gt;17.5520114614287&lt;/D&gt;&lt;D xsi:type="xsd:double"&gt;18.1593314640864&lt;/D&gt;&lt;D xsi:type="xsd:double"&gt;18.2065945292617&lt;/D&gt;&lt;D xsi:type="xsd:double"&gt;18.7735612345422&lt;/D&gt;&lt;D xsi:type="xsd:double"&gt;19.4905434090951&lt;/D&gt;&lt;D xsi:type="xsd:double"&gt;18.5525666390002&lt;/D&gt;&lt;D xsi:type="xsd:double"&gt;18.0464070858181&lt;/D&gt;&lt;D xsi:type="xsd:double"&gt;17.5308272045488&lt;/D&gt;&lt;D xsi:type="xsd:double"&gt;18.7241561155524&lt;/D&gt;&lt;D xsi:type="xsd:double"&gt;19.4623325242106&lt;/D&gt;&lt;D xsi:type="xsd:double"&gt;19.7711172782085&lt;/D&gt;&lt;D xsi:type="xsd:double"&gt;20.1321178934457&lt;/D&gt;&lt;D xsi:type="xsd:double"&gt;20.899401057473&lt;/D&gt;&lt;/FQL&gt;&lt;FQL&gt;&lt;Q&gt;CAGDPY@FR^EE_ACTUAL_ANNUAL(MED,0)&lt;/Q&gt;&lt;R&gt;1&lt;/R&gt;&lt;C&gt;1&lt;/C&gt;&lt;D xsi:type="xsd:double"&gt;-1.20455654888099&lt;/D&gt;&lt;/FQL&gt;&lt;FQL&gt;&lt;Q&gt;CAGDPY@AU^EE_ACTUAL_ANNUAL(MED,0)&lt;/Q&gt;&lt;R&gt;1&lt;/R&gt;&lt;C&gt;1&lt;/C&gt;&lt;D xsi:type="xsd:double"&gt;1.21871580460395&lt;/D&gt;&lt;/FQL&gt;&lt;FQL&gt;&lt;Q&gt;USDITL^FG_PRICE_CHANGE(0,-1AM)&lt;/Q&gt;&lt;R&gt;1&lt;/R&gt;&lt;C&gt;1&lt;/C&gt;&lt;D xsi:type="xsd:double"&gt;-0.51100254&lt;/D&gt;&lt;/FQL&gt;&lt;FQL&gt;&lt;Q&gt;USDANG^FG_PRICE_CHANGE(0,-1AM)&lt;/Q&gt;&lt;R&gt;1&lt;/R&gt;&lt;C&gt;1&lt;/C&gt;&lt;D xsi:type="xsd:double"&gt;0&lt;/D&gt;&lt;/FQL&gt;&lt;FQL&gt;&lt;Q&gt;USDUSD^FG_PRICE_CHANGE(0,-1AM)&lt;/Q&gt;&lt;R&gt;1&lt;/R&gt;&lt;C&gt;1&lt;/C&gt;&lt;D xsi:type="xsd:double"&gt;0&lt;/D&gt;&lt;/FQL&gt;&lt;FQL&gt;&lt;Q&gt;USDGBP^FG_PRICE_CHANGE(0,-1AM)&lt;/Q&gt;&lt;R&gt;1&lt;/R&gt;&lt;C&gt;1&lt;/C&gt;&lt;D xsi:type="xsd:double"&gt;-0.42629242&lt;/D&gt;&lt;/FQL&gt;&lt;FQL&gt;&lt;Q&gt;USDJPY^FG_PRICE_CHANGE(0,-1AM)&lt;/Q&gt;&lt;R&gt;1&lt;/R&gt;&lt;C&gt;1&lt;/C&gt;&lt;D xsi:type="xsd:double"&gt;0.88852644&lt;/D&gt;&lt;/FQL&gt;&lt;FQL&gt;&lt;Q&gt;USDCAD^FG_PRICE_CHANGE(0,-1AM)&lt;/Q&gt;&lt;R&gt;1&lt;/R&gt;&lt;C&gt;1&lt;/C&gt;&lt;D xsi:type="xsd:double"&gt;0.18501282&lt;/D&gt;&lt;/FQL&gt;&lt;FQL&gt;&lt;Q&gt;USDNZD^FG_PRICE_CHANGE(0,-1AM)&lt;/Q&gt;&lt;R&gt;1&lt;/R&gt;&lt;C&gt;1&lt;/C&gt;&lt;D xsi:type="xsd:double"&gt;2.0761013&lt;/D&gt;&lt;/FQL&gt;&lt;FQL&gt;&lt;Q&gt;DUMMY^ECON_EXPR_DATA('FDS_ECON[PMIDMMANHE]',,,M)&lt;/Q&gt;&lt;R&gt;1&lt;/R&gt;&lt;C&gt;1&lt;/C&gt;&lt;D xsi:type="xsd:double"&gt;49.253857&lt;/D&gt;&lt;/FQL&gt;&lt;FQL&gt;&lt;Q&gt;EWN^FMA_ROE(NTMA,-20AY,NOW,FY,"PORTAGG","MEANR")&lt;/Q&gt;&lt;R&gt;20&lt;/R&gt;&lt;C&gt;1&lt;/C&gt;&lt;D xsi:type="xsd:double"&gt;20.5027022731768&lt;/D&gt;&lt;D xsi:type="xsd:double"&gt;18.4388432839057&lt;/D&gt;&lt;D xsi:type="xsd:double"&gt;17.2963282197402&lt;/D&gt;&lt;D xsi:type="xsd:double"&gt;16.6220124304454&lt;/D&gt;&lt;D xsi:type="xsd:double"&gt;13.9821831035128&lt;/D&gt;&lt;D xsi:type="xsd:double"&gt;13.3304023919735&lt;/D&gt;&lt;D xsi:type="xsd:double"&gt;14.6594809949092&lt;/D&gt;&lt;D xsi:type="xsd:double"&gt;13.0989988533626&lt;/D&gt;&lt;D xsi:type="xsd:double"&gt;12.0023835077373&lt;/D&gt;&lt;D xsi:type="xsd:double"&gt;12.1486145572934&lt;/D&gt;&lt;D xsi:type="xsd:double"&gt;12.2197829564797&lt;/D&gt;&lt;D xsi:type="xsd:double"&gt;12.4442703427853&lt;/D&gt;&lt;D xsi:type="xsd:double"&gt;11.8415876112609&lt;/D&gt;&lt;D xsi:type="xsd:double"&gt;13.007558022755&lt;/D&gt;&lt;D xsi:type="xsd:double"&gt;13.2228677711132&lt;/D&gt;&lt;D xsi:type="xsd:double"&gt;13.091763606586&lt;/D&gt;&lt;D xsi:type="xsd:double"&gt;9.77856565542044&lt;/D&gt;&lt;D xsi:type="xsd:double"&gt;10.8991459502058&lt;/D&gt;&lt;D xsi:type="xsd:double"&gt;12.0158891729577&lt;/D&gt;&lt;D xsi:type="xsd:double"&gt;12.7459856653599&lt;/D&gt;&lt;/FQL&gt;&lt;FQL&gt;&lt;Q&gt;TRYSA10Y-FDS^FG_YIELD(-10AY,0,Y,,"YTM")&lt;/Q&gt;&lt;R&gt;10&lt;/R&gt;&lt;C&gt;1&lt;/C&gt;&lt;D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xsi:type="xsd:double"&gt;3.1928&lt;/D&gt;&lt;/FQL&gt;&lt;FQL&gt;&lt;Q&gt;TIOS-FDS^FG_PRICE(0)/MAX(FG_PRICE(0,-1AY))&lt;/Q&gt;&lt;R&gt;1&lt;/R&gt;&lt;C&gt;1&lt;/C&gt;&lt;D xsi:type="xsd:double"&gt;0.769561598224195&lt;/D&gt;&lt;/FQL&gt;&lt;FQL&gt;&lt;Q&gt;FC0000GB^FG_PRICE(0)&lt;/Q&gt;&lt;R&gt;1&lt;/R&gt;&lt;C&gt;1&lt;/C&gt;&lt;D xsi:type="xsd:double"&gt;121.991745&lt;/D&gt;&lt;/FQL&gt;&lt;FQL&gt;&lt;Q&gt;QQQ^FG_PRICE_MAVG(0,,,,60)&lt;/Q&gt;&lt;R&gt;1&lt;/R&gt;&lt;C&gt;1&lt;/C&gt;&lt;D xsi:type="xsd:double"&gt;426.232&lt;/D&gt;&lt;/FQL&gt;&lt;FQL&gt;&lt;Q&gt;EWG^FG_PRICE_MAVG(0,,,,60)&lt;/Q&gt;&lt;R&gt;1&lt;/R&gt;&lt;C&gt;1&lt;/C&gt;&lt;D xsi:type="xsd:double"&gt;29.817833&lt;/D&gt;&lt;/FQL&gt;&lt;FQL&gt;&lt;Q&gt;EWD^FG_COMPANY_NAME&lt;/Q&gt;&lt;R&gt;1&lt;/R&gt;&lt;C&gt;1&lt;/C&gt;&lt;D xsi:type="xsd:string"&gt;iShares MSCI Sweden ETF&lt;/D&gt;&lt;/FQL&gt;&lt;FQL&gt;&lt;Q&gt;EWI^FG_COMPANY_NAME&lt;/Q&gt;&lt;R&gt;1&lt;/R&gt;&lt;C&gt;1&lt;/C&gt;&lt;D xsi:type="xsd:string"&gt;iShares MSCI Italy ETF&lt;/D&gt;&lt;/FQL&gt;&lt;FQL&gt;&lt;Q&gt;FXI^FG_TOTAL_RETURNC(0,-6AM)&lt;/Q&gt;&lt;R&gt;1&lt;/R&gt;&lt;C&gt;1&lt;/C&gt;&lt;D xsi:type="xsd:double"&gt;-5.925703&lt;/D&gt;&lt;/FQL&gt;&lt;FQL&gt;&lt;Q&gt;EWJ^P_PRICE(0)/P_PRICE_LOW_PR(0,,,USD,,,"PRICE","INTRA","52W")-1&lt;/Q&gt;&lt;R&gt;1&lt;/R&gt;&lt;C&gt;1&lt;/C&gt;&lt;D xsi:type="xsd:double"&gt;0.2675115&lt;/D&gt;&lt;/FQL&gt;&lt;FQL&gt;&lt;Q&gt;URTH^FMA_PCT_ABOVE_MAVG(200,0,,,,"PORTAGG")&lt;/Q&gt;&lt;R&gt;1&lt;/R&gt;&lt;C&gt;1&lt;/C&gt;&lt;D xsi:type="xsd:double"&gt;70.6083390293917&lt;/D&gt;&lt;/FQL&gt;&lt;FQL&gt;&lt;Q&gt;EWD^FG_TOTAL_RETURNC(0,-3AM)&lt;/Q&gt;&lt;R&gt;1&lt;/R&gt;&lt;C&gt;1&lt;/C&gt;&lt;D xsi:type="xsd:double"&gt;5.225408&lt;/D&gt;&lt;/FQL&gt;&lt;FQL&gt;&lt;Q&gt;EWQ^P_PRICE(0)/P_PRICE_HIGH_PR(0,,,USD,,,"PRICE","INTRA","52W")&lt;/Q&gt;&lt;R&gt;1&lt;/R&gt;&lt;C&gt;1&lt;/C&gt;&lt;D xsi:type="xsd:double"&gt;0.98770154&lt;/D&gt;&lt;/FQL&gt;&lt;FQL&gt;&lt;Q&gt;QQQ^FG_TOTAL_RETURNC(0,-12AM)&lt;/Q&gt;&lt;R&gt;1&lt;/R&gt;&lt;C&gt;1&lt;/C&gt;&lt;D xsi:type="xsd:double"&gt;44.627773&lt;/D&gt;&lt;/FQL&gt;&lt;FQL&gt;&lt;Q&gt;ENZL^P_PRICE(0)/P_PRICE_LOW_PR(0,,,USD,,,"PRICE","INTRA","52W")-1&lt;/Q&gt;&lt;R&gt;1&lt;/R&gt;&lt;C&gt;1&lt;/C&gt;&lt;D xsi:type="xsd:double"&gt;0.09919298&lt;/D&gt;&lt;/FQL&gt;&lt;FQL&gt;&lt;Q&gt;ENZL^FMA_COS_UP("EPS","1M",+1,0,,,"PORTAGG","MEANR")&lt;/Q&gt;&lt;R&gt;1&lt;/R&gt;&lt;C&gt;1&lt;/C&gt;&lt;D xsi:type="xsd:double"&gt;5&lt;/D&gt;&lt;/FQL&gt;&lt;FQL&gt;&lt;Q&gt;QQQ^FG_ROE(0)&lt;/Q&gt;&lt;R&gt;1&lt;/R&gt;&lt;C&gt;1&lt;/C&gt;&lt;D xsi:type="xsd:double"&gt;21.5516410399392&lt;/D&gt;&lt;/FQL&gt;&lt;FQL&gt;&lt;Q&gt;CAGDPY@US^EE_ACTUAL_ANNUAL(MED,+1)&lt;/Q&gt;&lt;R&gt;1&lt;/R&gt;&lt;C&gt;1&lt;/C&gt;&lt;D xsi:type="xsd:double"&gt;-3.05&lt;/D&gt;&lt;/FQL&gt;&lt;FQL&gt;&lt;Q&gt;CAGDPY@NZ^EE_ACTUAL_ANNUAL(MED,+1)&lt;/Q&gt;&lt;R&gt;1&lt;/R&gt;&lt;C&gt;1&lt;/C&gt;&lt;D xsi:type="xsd:double"&gt;-6.1&lt;/D&gt;&lt;/FQL&gt;&lt;FQL&gt;&lt;Q&gt;USDITL^FG_PRICE_CHANGE(0,-1AY)&lt;/Q&gt;&lt;R&gt;1&lt;/R&gt;&lt;C&gt;1&lt;/C&gt;&lt;D xsi:type="xsd:double"&gt;-0.833261&lt;/D&gt;&lt;/FQL&gt;&lt;FQL&gt;&lt;Q&gt;USDANG^FG_PRICE_CHANGE(0,-1AY)&lt;/Q&gt;&lt;R&gt;1&lt;/R&gt;&lt;C&gt;1&lt;/C&gt;&lt;D xsi:type="xsd:double"&gt;0&lt;/D&gt;&lt;/FQL&gt;&lt;FQL&gt;&lt;Q&gt;USDUSD^FG_PRICE_CHANGE(0,-1AY)&lt;/Q&gt;&lt;R&gt;1&lt;/R&gt;&lt;C&gt;1&lt;/C&gt;&lt;D xsi:type="xsd:double"&gt;0&lt;/D&gt;&lt;/FQL&gt;&lt;FQL&gt;&lt;Q&gt;USDGBP^FG_PRICE_CHANGE(0,-1AY)&lt;/Q&gt;&lt;R&gt;1&lt;/R&gt;&lt;C&gt;1&lt;/C&gt;&lt;D xsi:type="xsd:double"&gt;-3.726077&lt;/D&gt;&lt;/FQL&gt;&lt;FQL&gt;&lt;Q&gt;USDJPY^FG_PRICE_CHANGE(0,-1AY)&lt;/Q&gt;&lt;R&gt;1&lt;/R&gt;&lt;C&gt;1&lt;/C&gt;&lt;D xsi:type="xsd:double"&gt;14.598381&lt;/D&gt;&lt;/FQL&gt;&lt;FQL&gt;&lt;Q&gt;USDCAD^FG_PRICE_CHANGE(0,-1AY)&lt;/Q&gt;&lt;R&gt;1&lt;/R&gt;&lt;C&gt;1&lt;/C&gt;&lt;D xsi:type="xsd:double"&gt;-1.4092267&lt;/D&gt;&lt;/FQL&gt;&lt;FQL&gt;&lt;Q&gt;USDNZD^FG_PRICE_CHANGE(0,-1AY)&lt;/Q&gt;&lt;R&gt;1&lt;/R&gt;&lt;C&gt;1&lt;/C&gt;&lt;D xsi:type="xsd:double"&gt;2.0926356&lt;/D&gt;&lt;/FQL&gt;&lt;FQL&gt;&lt;Q&gt;EWA^JULIAN(FMA_EPS(NTMA,-20AY,0,CY,,"PORTAGG","MEANR").DATES)&lt;/Q&gt;&lt;R&gt;20&lt;/R&gt;&lt;C&gt;1&lt;/C&gt;&lt;D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xsi:type="xsd:long"&gt;45289&lt;/D&gt;&lt;/FQL&gt;&lt;FQL&gt;&lt;Q&gt;EWD^FG_TOTAL_RETURNC(-10AY,0,AM)&lt;/Q&gt;&lt;R&gt;121&lt;/R&gt;&lt;C&gt;1&lt;/C&gt;&lt;D xsi:type="xsd:double"&gt;1.0967374&lt;/D&gt;&lt;D xsi:type="xsd:double"&gt;-0.055634975&lt;/D&gt;&lt;D xsi:type="xsd:double"&gt;3.8129687&lt;/D&gt;&lt;D xsi:type="xsd:double"&gt;-2.7613938&lt;/D&gt;&lt;D xsi:type="xsd:double"&gt;-1.9013166&lt;/D&gt;&lt;D xsi:type="xsd:double"&gt;-0.3758371&lt;/D&gt;&lt;D xsi:type="xsd:double"&gt;-1.5380144&lt;/D&gt;&lt;D xsi:type="xsd:double"&gt;-6.483942&lt;/D&gt;&lt;D xsi:type="xsd:double"&gt;4.443741&lt;/D&gt;&lt;D xsi:type="xsd:double"&gt;-2.6093006&lt;/D&gt;&lt;D xsi:type="xsd:double"&gt;-2.4656713&lt;/D&gt;&lt;D xsi:type="xsd:double"&gt;10.016001&lt;/D&gt;&lt;D xsi:type="xsd:double"&gt;-1.3961613&lt;/D&gt;&lt;D xsi:type="xsd:double"&gt;0.85544586&lt;/D&gt;&lt;D xsi:type="xsd:double"&gt;1.3746738&lt;/D&gt;&lt;D xsi:type="xsd:double"&gt;-1.702249&lt;/D&gt;&lt;D xsi:type="xsd:double"&gt;-0.3099501&lt;/D&gt;&lt;D xsi:type="xsd:double"&gt;-7.893938&lt;/D&gt;&lt;D xsi:type="xsd:double"&gt;-1.1912584&lt;/D&gt;&lt;D xsi:type="xsd:double"&gt;-0.16745329&lt;/D&gt;&lt;D xsi:type="xsd:double"&gt;0.46964884&lt;/D&gt;&lt;D xsi:type="xsd:double"&gt;-3.6541402&lt;/D&gt;&lt;D xsi:type="xsd:double"&gt;-8.567465&lt;/D&gt;&lt;D xsi:type="xsd:double"&gt;5.0455213&lt;/D&gt;&lt;D xsi:type="xsd:double"&gt;5.7421446&lt;/D&gt;&lt;D xsi:type="xsd:double"&gt;4.8155785&lt;/D&gt;&lt;D xsi:type="xsd:double"&gt;-5.7021856&lt;/D&gt;&lt;D xsi:type="xsd:double"&gt;1.5203834&lt;/D&gt;&lt;D xsi:type="xsd:double"&gt;-1.8793344&lt;/D&gt;&lt;D xsi:type="xsd:double"&gt;3.822577&lt;/D&gt;&lt;D xsi:type="xsd:double"&gt;0.3820777&lt;/D&gt;&lt;D xsi:type="xsd:double"&gt;-1.8685102&lt;/D&gt;&lt;D xsi:type="xsd:double"&gt;-2.715093&lt;/D&gt;&lt;D xsi:type="xsd:double"&gt;3.1708956&lt;/D&gt;&lt;D xsi:type="xsd:double"&gt;4.462409&lt;/D&gt;&lt;D xsi:type="xsd:double"&gt;4.2381406&lt;/D&gt;&lt;D xsi:type="xsd:double"&gt;1.0003209&lt;/D&gt;&lt;D xsi:type="xsd:double"&gt;0.06389618&lt;/D&gt;&lt;D xsi:type="xsd:double"&gt;7.982123&lt;/D&gt;&lt;D xsi:type="xsd:double"&gt;0.69869757&lt;/D&gt;&lt;D xsi:type="xsd:double"&gt;2.882886&lt;/D&gt;&lt;D xsi:type="xsd:double"&gt;-1.8388689&lt;/D&gt;&lt;D xsi:type="xsd:double"&gt;5.9173346&lt;/D&gt;&lt;D xsi:type="xsd:double"&gt;1.8528938&lt;/D&gt;&lt;D xsi:type="xsd:double"&gt;-4.4928255&lt;/D&gt;&lt;D xsi:type="xsd:double"&gt;-1.156044&lt;/D&gt;&lt;D xsi:type="xsd:double"&gt;6.6941977&lt;/D&gt;&lt;D xsi:type="xsd:double"&gt;-4.6987295&lt;/D&gt;&lt;D xsi:type="xsd:double"&gt;-1.5371203&lt;/D&gt;&lt;D xsi:type="xsd:double"&gt;0.11782646&lt;/D&gt;&lt;D xsi:type="xsd:double"&gt;1.1473894&lt;/D&gt;&lt;D xsi:type="xsd:double"&gt;-6.8169174&lt;/D&gt;&lt;D xsi:type="xsd:double"&gt;2.5808573&lt;/D&gt;&lt;D xsi:type="xsd:double"&gt;0.41401386&lt;/D&gt;&lt;D xsi:type="xsd:double"&gt;5.2965403&lt;/D&gt;&lt;D xsi:type="xsd:double"&gt;-9.969884&lt;/D&gt;&lt;D xsi:type="xsd:double"&gt;-4.516554&lt;/D&gt;&lt;D xsi:type="xsd:double"&gt;-4.673296&lt;/D&gt;&lt;D xsi:type="xsd:double"&gt;8.753216&lt;/D&gt;&lt;D xsi:type="xsd:double"&gt;0.91308355&lt;/D&gt;&lt;D xsi:type="xsd:double"&gt;4.8927546&lt;/D&gt;&lt;D xsi:type="xsd:double"&gt;4.4408917&lt;/D&gt;&lt;D xsi:type="xsd:double"&gt;-6.9440126&lt;/D&gt;&lt;D xsi:type="xsd:double"&gt;3.9818406&lt;/D&gt;&lt;D xsi:type="xsd:double"&gt;-1.0766745&lt;/D&gt;&lt;D xsi:type="xsd:double"&gt;-6.9261255&lt;/D&gt;&lt;D xsi:type="xsd:double"&gt;6.5910697&lt;/D&gt;&lt;D xsi:type="xsd:double"&gt;4.2553186&lt;/D&gt;&lt;D xsi:type="xsd:double"&gt;0.19131899&lt;/D&gt;&lt;D xsi:type="xsd:double"&gt;6.8608046&lt;/D&gt;&lt;D xsi:type="xsd:double"&gt;0.78407526&lt;/D&gt;&lt;D xsi:type="xsd:double"&gt;0.50867796&lt;/D&gt;&lt;D xsi:type="xsd:double"&gt;-34.772255&lt;/D&gt;&lt;D xsi:type="xsd:double"&gt;16.339577&lt;/D&gt;&lt;D xsi:type="xsd:double"&gt;10.513926&lt;/D&gt;&lt;D xsi:type="xsd:double"&gt;8.576023&lt;/D&gt;&lt;D xsi:type="xsd:double"&gt;13.643826&lt;/D&gt;&lt;D xsi:type="xsd:double"&gt;0.75035095&lt;/D&gt;&lt;D xsi:type="xsd:double"&gt;0.286448&lt;/D&gt;&lt;D xsi:type="xsd:double"&gt;3.541851&lt;/D&gt;&lt;D xsi:type="xsd:double"&gt;7.806897&lt;/D&gt;&lt;D xsi:type="xsd:double"&gt;2.088964&lt;/D&gt;&lt;D xsi:type="xsd:double"&gt;6.7171693&lt;/D&gt;&lt;D xsi:type="xsd:double"&gt;2.177&lt;/D&gt;&lt;D xsi:type="xsd:double"&gt;3.3117175&lt;/D&gt;&lt;D xsi:type="xsd:double"&gt;6.3887&lt;/D&gt;&lt;D xsi:type="xsd:double"&gt;1.3063669&lt;/D&gt;&lt;D xsi:type="xsd:double"&gt;-0.9914398&lt;/D&gt;&lt;D xsi:type="xsd:double"&gt;1.4832258&lt;/D&gt;&lt;D xsi:type="xsd:double"&gt;-0.06354451&lt;/D&gt;&lt;D xsi:type="xsd:double"&gt;-3.3276796&lt;/D&gt;&lt;D xsi:type="xsd:double"&gt;5.3496957&lt;/D&gt;&lt;D xsi:type="xsd:double"&gt;-0.6659746&lt;/D&gt;&lt;D xsi:type="xsd:double"&gt;-4.1907015&lt;/D&gt;&lt;D xsi:type="xsd:double"&gt;-4.411334&lt;/D&gt;&lt;D xsi:type="xsd:double"&gt;-6.606889&lt;/D&gt;&lt;D xsi:type="xsd:double"&gt;-0.27791858&lt;/D&gt;&lt;D xsi:type="xsd:double"&gt;-2.533567&lt;/D&gt;&lt;D xsi:type="xsd:double"&gt;-9.331947&lt;/D&gt;&lt;D xsi:type="xsd:double"&gt;-7.223809&lt;/D&gt;&lt;D xsi:type="xsd:double"&gt;3.65659&lt;/D&gt;&lt;D xsi:type="xsd:double"&gt;-1.0736167&lt;/D&gt;&lt;D xsi:type="xsd:double"&gt;-12.961239&lt;/D&gt;&lt;D xsi:type="xsd:double"&gt;0.89063644&lt;/D&gt;&lt;D xsi:type="xsd:double"&gt;14.194918&lt;/D&gt;&lt;D xsi:type="xsd:double"&gt;1.7845273&lt;/D&gt;&lt;D xsi:type="xsd:double"&gt;8.402073&lt;/D&gt;&lt;D xsi:type="xsd:double"&gt;0&lt;/D&gt;&lt;D xsi:type="xsd:double"&gt;-3.0721545&lt;/D&gt;&lt;D xsi:type="xsd:double"&gt;6.222737&lt;/D&gt;&lt;D xsi:type="xsd:double"&gt;-0.65698624&lt;/D&gt;&lt;D xsi:type="xsd:double"&gt;-3.5271466&lt;/D&gt;&lt;D xsi:type="xsd:double"&gt;2.2279382&lt;/D&gt;&lt;D xsi:type="xsd:double"&gt;-8.563852&lt;/D&gt;&lt;D xsi:type="xsd:double"&gt;-0.7180929&lt;/D&gt;&lt;D xsi:type="xsd:double"&gt;-2.2468507&lt;/D&gt;&lt;D xsi:type="xsd:double"&gt;12.027717&lt;/D&gt;&lt;D xsi:type="xsd:double"&gt;12.434137&lt;/D&gt;&lt;D xsi:type="xsd:double"&gt;-6.736684&lt;/D&gt;&lt;D xsi:type="xsd:double"&gt;6.8937063&lt;/D&gt;&lt;D xsi:type="xsd:double"&gt;5.54986&lt;/D&gt;&lt;/FQL&gt;&lt;FQL&gt;&lt;Q&gt;EWQ^FMA_DIV_YLD(NTMA,-10AY,0,AM,"PORTAGG","MEANR")&lt;/Q&gt;&lt;R&gt;121&lt;/R&gt;&lt;C&gt;1&lt;/C&gt;&lt;D xsi:type="xsd:double"&gt;3.54090244378025&lt;/D&gt;&lt;D xsi:type="xsd:double"&gt;3.50065620895338&lt;/D&gt;&lt;D xsi:type="xsd:double"&gt;3.43055658538399&lt;/D&gt;&lt;D xsi:type="xsd:double"&gt;3.38253829740774&lt;/D&gt;&lt;D xsi:type="xsd:double"&gt;3.54862796516568&lt;/D&gt;&lt;D xsi:type="xsd:double"&gt;3.59177201815972&lt;/D&gt;&lt;D xsi:type="xsd:double"&gt;3.50978785211718&lt;/D&gt;&lt;D xsi:type="xsd:double"&gt;3.82499065028402&lt;/D&gt;&lt;D xsi:type="xsd:double"&gt;3.60223451557205&lt;/D&gt;&lt;D xsi:type="xsd:double"&gt;3.66709863142702&lt;/D&gt;&lt;D xsi:type="xsd:double"&gt;3.45473282680793&lt;/D&gt;&lt;D xsi:type="xsd:double"&gt;3.18789868879496&lt;/D&gt;&lt;D xsi:type="xsd:double"&gt;3.15504170162021&lt;/D&gt;&lt;D xsi:type="xsd:double"&gt;3.11357476432391&lt;/D&gt;&lt;D xsi:type="xsd:double"&gt;3.20330061002544&lt;/D&gt;&lt;D xsi:type="xsd:double"&gt;3.42223873931302&lt;/D&gt;&lt;D xsi:type="xsd:double"&gt;3.25857697440016&lt;/D&gt;&lt;D xsi:type="xsd:double"&gt;3.6143775886129&lt;/D&gt;&lt;D xsi:type="xsd:double"&gt;3.6709743713769&lt;/D&gt;&lt;D xsi:type="xsd:double"&gt;3.56345052696627&lt;/D&gt;&lt;D xsi:type="xsd:double"&gt;3.42470906689869&lt;/D&gt;&lt;D xsi:type="xsd:double"&gt;3.65975639321242&lt;/D&gt;&lt;D xsi:type="xsd:double"&gt;3.97312088174412&lt;/D&gt;&lt;D xsi:type="xsd:double"&gt;3.92184832672414&lt;/D&gt;&lt;D xsi:type="xsd:double"&gt;3.73866213084018&lt;/D&gt;&lt;D xsi:type="xsd:double"&gt;3.62321141860433&lt;/D&gt;&lt;D xsi:type="xsd:double"&gt;3.79252905904078&lt;/D&gt;&lt;D xsi:type="xsd:double"&gt;3.80478874899127&lt;/D&gt;&lt;D xsi:type="xsd:double"&gt;3.78661089930115&lt;/D&gt;&lt;D xsi:type="xsd:double"&gt;3.75831811037188&lt;/D&gt;&lt;D xsi:type="xsd:double"&gt;3.74598111510013&lt;/D&gt;&lt;D xsi:type="xsd:double"&gt;3.69334230497807&lt;/D&gt;&lt;D xsi:type="xsd:double"&gt;3.70848001987701&lt;/D&gt;&lt;D xsi:type="xsd:double"&gt;3.49354513693423&lt;/D&gt;&lt;D xsi:type="xsd:double"&gt;3.46238078177765&lt;/D&gt;&lt;D xsi:type="xsd:double"&gt;3.48542239040778&lt;/D&gt;&lt;D xsi:type="xsd:double"&gt;3.42407783196952&lt;/D&gt;&lt;D xsi:type="xsd:double"&gt;3.39792668134091&lt;/D&gt;&lt;D xsi:type="xsd:double"&gt;3.23593822059639&lt;/D&gt;&lt;D xsi:type="xsd:double"&gt;3.28415133043162&lt;/D&gt;&lt;D xsi:type="xsd:double"&gt;3.38066010877144&lt;/D&gt;&lt;D xsi:type="xsd:double"&gt;3.42849761922494&lt;/D&gt;&lt;D xsi:type="xsd:double"&gt;3.32072078466748&lt;/D&gt;&lt;D xsi:type="xsd:double"&gt;3.28745862911677&lt;/D&gt;&lt;D xsi:type="xsd:double"&gt;3.31918224704741&lt;/D&gt;&lt;D xsi:type="xsd:double"&gt;3.27748071868228&lt;/D&gt;&lt;D xsi:type="xsd:double"&gt;3.20002794101294&lt;/D&gt;&lt;D xsi:type="xsd:double"&gt;3.37250002766007&lt;/D&gt;&lt;D xsi:type="xsd:double"&gt;3.41948701578905&lt;/D&gt;&lt;D xsi:type="xsd:double"&gt;3.34368379074199&lt;/D&gt;&lt;D xsi:type="xsd:double"&gt;3.25198747902079&lt;/D&gt;&lt;D xsi:type="xsd:double"&gt;3.46316391574722&lt;/D&gt;&lt;D xsi:type="xsd:double"&gt;3.4169397213231&lt;/D&gt;&lt;D xsi:type="xsd:double"&gt;3.45137275300191&lt;/D&gt;&lt;D xsi:type="xsd:double"&gt;3.41690221216904&lt;/D&gt;&lt;D xsi:type="xsd:double"&gt;3.70757477951823&lt;/D&gt;&lt;D xsi:type="xsd:double"&gt;3.81097172670817&lt;/D&gt;&lt;D xsi:type="xsd:double"&gt;4.03616894065281&lt;/D&gt;&lt;D xsi:type="xsd:double"&gt;3.87909392732283&lt;/D&gt;&lt;D xsi:type="xsd:double"&gt;3.67257105508971&lt;/D&gt;&lt;D xsi:type="xsd:double"&gt;3.5662073738392&lt;/D&gt;&lt;D xsi:type="xsd:double"&gt;3.47231922740722&lt;/D&gt;&lt;D xsi:type="xsd:double"&gt;3.60716873167474&lt;/D&gt;&lt;D xsi:type="xsd:double"&gt;3.53341304322143&lt;/D&gt;&lt;D xsi:type="xsd:double"&gt;3.53037840943875&lt;/D&gt;&lt;D xsi:type="xsd:double"&gt;3.62423476913944&lt;/D&gt;&lt;D xsi:type="xsd:double"&gt;3.47533545593088&lt;/D&gt;&lt;D xsi:type="xsd:double"&gt;3.50609182640134&lt;/D&gt;&lt;D xsi:type="xsd:double"&gt;3.39017076517891&lt;/D&gt;&lt;D xsi:type="xsd:double"&gt;3.33174429966803&lt;/D&gt;&lt;D xsi:type="xsd:double"&gt;3.31594789215537&lt;/D&gt;&lt;D xsi:type="xsd:double"&gt;3.2998665682461&lt;/D&gt;&lt;D xsi:type="xsd:double"&gt;4.83813992087345&lt;/D&gt;&lt;D xsi:type="xsd:double"&gt;3.87351247073265&lt;/D&gt;&lt;D xsi:type="xsd:double"&gt;3.557971720306&lt;/D&gt;&lt;D xsi:type="xsd:double"&gt;3.13951969817689&lt;/D&gt;&lt;D xsi:type="xsd:double"&gt;3.03652857007589&lt;/D&gt;&lt;D xsi:type="xsd:double"&gt;3.1780658508332&lt;/D&gt;&lt;D xsi:type="xsd:double"&gt;3.29662991453713&lt;/D&gt;&lt;D xsi:type="xsd:double"&gt;3.25213167168991&lt;/D&gt;&lt;D xsi:type="xsd:double"&gt;2.91975225523806&lt;/D&gt;&lt;D xsi:type="xsd:double"&gt;3.0082756502459&lt;/D&gt;&lt;D xsi:type="xsd:double"&gt;2.91796964890464&lt;/D&gt;&lt;D xsi:type="xsd:double"&gt;2.8342143061361&lt;/D&gt;&lt;D xsi:type="xsd:double"&gt;2.76498773668046&lt;/D&gt;&lt;D xsi:type="xsd:double"&gt;2.71453216513351&lt;/D&gt;&lt;D xsi:type="xsd:double"&gt;2.70291322288216&lt;/D&gt;&lt;D xsi:type="xsd:double"&gt;2.66557026785056&lt;/D&gt;&lt;D xsi:type="xsd:double"&gt;2.74447210414605&lt;/D&gt;&lt;D xsi:type="xsd:double"&gt;2.77810683401284&lt;/D&gt;&lt;D xsi:type="xsd:double"&gt;2.8241121856971&lt;/D&gt;&lt;D xsi:type="xsd:double"&gt;2.83837664809369&lt;/D&gt;&lt;D xsi:type="xsd:double"&gt;2.73269094315296&lt;/D&gt;&lt;D xsi:type="xsd:double"&gt;2.81146756316345&lt;/D&gt;&lt;D xsi:type="xsd:double"&gt;2.79771722082935&lt;/D&gt;&lt;D xsi:type="xsd:double"&gt;2.9508587886408&lt;/D&gt;&lt;D xsi:type="xsd:double"&gt;3.13273496670172&lt;/D&gt;&lt;D xsi:type="xsd:double"&gt;3.06511076254196&lt;/D&gt;&lt;D xsi:type="xsd:double"&gt;3.30053533856268&lt;/D&gt;&lt;D xsi:type="xsd:double"&gt;3.50947857395994&lt;/D&gt;&lt;D xsi:type="xsd:double"&gt;3.38460914586415&lt;/D&gt;&lt;D xsi:type="xsd:double"&gt;3.30614121920825&lt;/D&gt;&lt;D xsi:type="xsd:double"&gt;3.58877290575064&lt;/D&gt;&lt;D xsi:type="xsd:double"&gt;3.61955495420856&lt;/D&gt;&lt;D xsi:type="xsd:double"&gt;3.30878819471231&lt;/D&gt;&lt;D xsi:type="xsd:double"&gt;3.33169232252854&lt;/D&gt;&lt;D xsi:type="xsd:double"&gt;3.14231403968655&lt;/D&gt;&lt;D xsi:type="xsd:double"&gt;3.12361968401664&lt;/D&gt;&lt;D xsi:type="xsd:double"&gt;3.24638779194026&lt;/D&gt;&lt;D xsi:type="xsd:double"&gt;3.08586862038868&lt;/D&gt;&lt;D xsi:type="xsd:double"&gt;3.16558173709526&lt;/D&gt;&lt;D xsi:type="xsd:double"&gt;3.27419847075638&lt;/D&gt;&lt;D xsi:type="xsd:double"&gt;3.23109002766289&lt;/D&gt;&lt;D xsi:type="xsd:double"&gt;3.38005476815369&lt;/D&gt;&lt;D xsi:type="xsd:double"&gt;3.38040471605899&lt;/D&gt;&lt;D xsi:type="xsd:double"&gt;3.58413518555992&lt;/D&gt;&lt;D xsi:type="xsd:double"&gt;3.36886086602894&lt;/D&gt;&lt;D xsi:type="xsd:double"&gt;3.21579882917917&lt;/D&gt;&lt;D xsi:type="xsd:double"&gt;3.29840272059284&lt;/D&gt;&lt;D xsi:type="xsd:double"&gt;3.15668207306907&lt;/D&gt;&lt;D xsi:type="xsd:double"&gt;3.06524797283677&lt;/D&gt;&lt;/FQL&gt;&lt;FQL&gt;&lt;Q&gt;QQQ^FMA_PE(NTMA,-10AY,0,AM,"PORTAGG","MEANR")&lt;/Q&gt;&lt;R&gt;121&lt;/R&gt;&lt;C&gt;1&lt;/C&gt;&lt;D xsi:type="xsd:double"&gt;17.4425962924979&lt;/D&gt;&lt;D xsi:type="xsd:double"&gt;16.8667915793589&lt;/D&gt;&lt;D xsi:type="xsd:double"&gt;16.7979687592436&lt;/D&gt;&lt;D xsi:type="xsd:double"&gt;17.2907634075581&lt;/D&gt;&lt;D xsi:type="xsd:double"&gt;17.6371267786694&lt;/D&gt;&lt;D xsi:type="xsd:double"&gt;17.7781887728299&lt;/D&gt;&lt;D xsi:type="xsd:double"&gt;17.7503170996277&lt;/D&gt;&lt;D xsi:type="xsd:double"&gt;16.8891978987527&lt;/D&gt;&lt;D xsi:type="xsd:double"&gt;18.0093373925932&lt;/D&gt;&lt;D xsi:type="xsd:double"&gt;17.8968394435803&lt;/D&gt;&lt;D xsi:type="xsd:double"&gt;17.1179151082182&lt;/D&gt;&lt;D xsi:type="xsd:double"&gt;18.1371936936251&lt;/D&gt;&lt;D xsi:type="xsd:double"&gt;18.1213480079662&lt;/D&gt;&lt;D xsi:type="xsd:double"&gt;18.0248163368675&lt;/D&gt;&lt;D xsi:type="xsd:double"&gt;18.1525605050413&lt;/D&gt;&lt;D xsi:type="xsd:double"&gt;17.9650763237793&lt;/D&gt;&lt;D xsi:type="xsd:double"&gt;18.7228477392167&lt;/D&gt;&lt;D xsi:type="xsd:double"&gt;16.9805030200074&lt;/D&gt;&lt;D xsi:type="xsd:double"&gt;17.4167259303803&lt;/D&gt;&lt;D xsi:type="xsd:double"&gt;17.6872233520056&lt;/D&gt;&lt;D xsi:type="xsd:double"&gt;18.7716145870564&lt;/D&gt;&lt;D xsi:type="xsd:double"&gt;18.1840404683795&lt;/D&gt;&lt;D xsi:type="xsd:double"&gt;16.6515429594747&lt;/D&gt;&lt;D xsi:type="xsd:double"&gt;16.7782898991021&lt;/D&gt;&lt;D xsi:type="xsd:double"&gt;17.6943960662212&lt;/D&gt;&lt;D xsi:type="xsd:double"&gt;17.9810421742245&lt;/D&gt;&lt;D xsi:type="xsd:double"&gt;17.444818303897&lt;/D&gt;&lt;D xsi:type="xsd:double"&gt;17.65666</t>
        </r>
      </text>
    </comment>
    <comment ref="A3" authorId="0" shapeId="0" xr:uid="{EFA51C21-ADC5-4DB3-A663-ACC694976794}">
      <text>
        <r>
          <rPr>
            <b/>
            <sz val="9"/>
            <color indexed="81"/>
            <rFont val="Tahoma"/>
            <charset val="1"/>
          </rPr>
          <t>7411649&lt;/D&gt;&lt;D xsi:type="xsd:double"&gt;18.4463044380627&lt;/D&gt;&lt;D xsi:type="xsd:double"&gt;18.7284568906121&lt;/D&gt;&lt;D xsi:type="xsd:double"&gt;18.651217273306&lt;/D&gt;&lt;D xsi:type="xsd:double"&gt;18.3932915116151&lt;/D&gt;&lt;D xsi:type="xsd:double"&gt;18.2854297446129&lt;/D&gt;&lt;D xsi:type="xsd:double"&gt;18.4684090619855&lt;/D&gt;&lt;D xsi:type="xsd:double"&gt;18.6646727479557&lt;/D&gt;&lt;D xsi:type="xsd:double"&gt;20.1591828068879&lt;/D&gt;&lt;D xsi:type="xsd:double"&gt;19.9034833135415&lt;/D&gt;&lt;D xsi:type="xsd:double"&gt;20.0020333707438&lt;/D&gt;&lt;D xsi:type="xsd:double"&gt;20.489185589062&lt;/D&gt;&lt;D xsi:type="xsd:double"&gt;20.64498732867&lt;/D&gt;&lt;D xsi:type="xsd:double"&gt;20.9557804001479&lt;/D&gt;&lt;D xsi:type="xsd:double"&gt;20.1024073808679&lt;/D&gt;&lt;D xsi:type="xsd:double"&gt;20.369717954294&lt;/D&gt;&lt;D xsi:type="xsd:double"&gt;20.6086292544543&lt;/D&gt;&lt;D xsi:type="xsd:double"&gt;21.0097382720225&lt;/D&gt;&lt;D xsi:type="xsd:double"&gt;21.1075192464872&lt;/D&gt;&lt;D xsi:type="xsd:double"&gt;21.8269085103591&lt;/D&gt;&lt;D xsi:type="xsd:double"&gt;20.5531468928337&lt;/D&gt;&lt;D xsi:type="xsd:double"&gt;20.6647512279788&lt;/D&gt;&lt;D xsi:type="xsd:double"&gt;19.8861918896028&lt;/D&gt;&lt;D xsi:type="xsd:double"&gt;19.9464744074641&lt;/D&gt;&lt;D xsi:type="xsd:double"&gt;20.6592924274206&lt;/D&gt;&lt;D xsi:type="xsd:double"&gt;20.7555757448965&lt;/D&gt;&lt;D xsi:type="xsd:double"&gt;20.4972854863472&lt;/D&gt;&lt;D xsi:type="xsd:double"&gt;20.6416214398386&lt;/D&gt;&lt;D xsi:type="xsd:double"&gt;19.3531414997353&lt;/D&gt;&lt;D xsi:type="xsd:double"&gt;17.8299057363666&lt;/D&gt;&lt;D xsi:type="xsd:double"&gt;16.4997173843911&lt;/D&gt;&lt;D xsi:type="xsd:double"&gt;18.6123192003185&lt;/D&gt;&lt;D xsi:type="xsd:double"&gt;19.4346793135088&lt;/D&gt;&lt;D xsi:type="xsd:double"&gt;20.7081300564368&lt;/D&gt;&lt;D xsi:type="xsd:double"&gt;21.0711143290508&lt;/D&gt;&lt;D xsi:type="xsd:double"&gt;20.2815839155112&lt;/D&gt;&lt;D xsi:type="xsd:double"&gt;20.9373378804326&lt;/D&gt;&lt;D xsi:type="xsd:double"&gt;21.06053449196&lt;/D&gt;&lt;D xsi:type="xsd:double"&gt;20.6326316173702&lt;/D&gt;&lt;D xsi:type="xsd:double"&gt;20.6638850365627&lt;/D&gt;&lt;D xsi:type="xsd:double"&gt;20.7803174014312&lt;/D&gt;&lt;D xsi:type="xsd:double"&gt;21.6864889991031&lt;/D&gt;&lt;D xsi:type="xsd:double"&gt;22.5772068331411&lt;/D&gt;&lt;D xsi:type="xsd:double"&gt;23.6919675851478&lt;/D&gt;&lt;D xsi:type="xsd:double"&gt;23.8626997959027&lt;/D&gt;&lt;D xsi:type="xsd:double"&gt;18.038494909665&lt;/D&gt;&lt;D xsi:type="xsd:double"&gt;23.197599472163&lt;/D&gt;&lt;D xsi:type="xsd:double"&gt;26.9400892084094&lt;/D&gt;&lt;D xsi:type="xsd:double"&gt;28.2973767197006&lt;/D&gt;&lt;D xsi:type="xsd:double"&gt;29.8039480748462&lt;/D&gt;&lt;D xsi:type="xsd:double"&gt;30.1504638755263&lt;/D&gt;&lt;D xsi:type="xsd:double"&gt;28.2347566859046&lt;/D&gt;&lt;D xsi:type="xsd:double"&gt;29.4877231199116&lt;/D&gt;&lt;D xsi:type="xsd:double"&gt;28.9387351672219&lt;/D&gt;&lt;D xsi:type="xsd:double"&gt;29.805817800957&lt;/D&gt;&lt;D xsi:type="xsd:double"&gt;30.8828655294185&lt;/D&gt;&lt;D xsi:type="xsd:double"&gt;29.6685596590547&lt;/D&gt;&lt;D xsi:type="xsd:double"&gt;27.5395164184518&lt;/D&gt;&lt;D xsi:type="xsd:double"&gt;29.4417349050811&lt;/D&gt;&lt;D xsi:type="xsd:double"&gt;26.5666599071031&lt;/D&gt;&lt;D xsi:type="xsd:double"&gt;27.6289244888738&lt;/D&gt;&lt;D xsi:type="xsd:double"&gt;28.6774417350442&lt;/D&gt;&lt;D xsi:type="xsd:double"&gt;27.7932014826605&lt;/D&gt;&lt;D xsi:type="xsd:double"&gt;27.4566474138315&lt;/D&gt;&lt;D xsi:type="xsd:double"&gt;28.1341197673101&lt;/D&gt;&lt;D xsi:type="xsd:double"&gt;29.9299641914341&lt;/D&gt;&lt;D xsi:type="xsd:double"&gt;28.662440917969&lt;/D&gt;&lt;D xsi:type="xsd:double"&gt;25.6563748647302&lt;/D&gt;&lt;D xsi:type="xsd:double"&gt;24.4590805053909&lt;/D&gt;&lt;D xsi:type="xsd:double"&gt;24.892308386277&lt;/D&gt;&lt;D xsi:type="xsd:double"&gt;23.5436020856998&lt;/D&gt;&lt;D xsi:type="xsd:double"&gt;20.5131450982681&lt;/D&gt;&lt;D xsi:type="xsd:double"&gt;19.854945144523&lt;/D&gt;&lt;D xsi:type="xsd:double"&gt;21.9674197287571&lt;/D&gt;&lt;D xsi:type="xsd:double"&gt;23.5964737929472&lt;/D&gt;&lt;D xsi:type="xsd:double"&gt;20.6324068560966&lt;/D&gt;&lt;D xsi:type="xsd:double"&gt;20.2908365311154&lt;/D&gt;&lt;D xsi:type="xsd:double"&gt;21.5033997589007&lt;/D&gt;&lt;D xsi:type="xsd:double"&gt;21.4041485457325&lt;/D&gt;&lt;D xsi:type="xsd:double"&gt;22.2236460365379&lt;/D&gt;&lt;D xsi:type="xsd:double"&gt;23.1656292730773&lt;/D&gt;&lt;D xsi:type="xsd:double"&gt;24.2591206272551&lt;/D&gt;&lt;D xsi:type="xsd:double"&gt;24.5982028186384&lt;/D&gt;&lt;D xsi:type="xsd:double"&gt;25.3588531253205&lt;/D&gt;&lt;D xsi:type="xsd:double"&gt;26.3120751285839&lt;/D&gt;&lt;D xsi:type="xsd:double"&gt;26.9242648870512&lt;/D&gt;&lt;D xsi:type="xsd:double"&gt;24.1446806690181&lt;/D&gt;&lt;D xsi:type="xsd:double"&gt;23.1927210598894&lt;/D&gt;&lt;D xsi:type="xsd:double"&gt;22.7536595554537&lt;/D&gt;&lt;D xsi:type="xsd:double"&gt;24.5162785667223&lt;/D&gt;&lt;D xsi:type="xsd:double"&gt;25.0978044179303&lt;/D&gt;&lt;D xsi:type="xsd:double"&gt;25.6163249939719&lt;/D&gt;&lt;D xsi:type="xsd:double"&gt;25.5905618020655&lt;/D&gt;&lt;D xsi:type="xsd:double"&gt;26.3214581194614&lt;/D&gt;&lt;/FQL&gt;&lt;FQL&gt;&lt;Q&gt;EWL^FMA_PE(LTMA,-10AY,0,AM,"PORTAGG","MEANR")&lt;/Q&gt;&lt;R&gt;121&lt;/R&gt;&lt;C&gt;1&lt;/C&gt;&lt;D xsi:type="xsd:double"&gt;17.0473406872035&lt;/D&gt;&lt;D xsi:type="xsd:double"&gt;17.0694156316443&lt;/D&gt;&lt;D xsi:type="xsd:double"&gt;17.2221208991108&lt;/D&gt;&lt;D xsi:type="xsd:double"&gt;17.2412525193776&lt;/D&gt;&lt;D xsi:type="xsd:double"&gt;17.1028481898125&lt;/D&gt;&lt;D xsi:type="xsd:double"&gt;17.3073015120382&lt;/D&gt;&lt;D xsi:type="xsd:double"&gt;17.4492078644436&lt;/D&gt;&lt;D xsi:type="xsd:double"&gt;16.7043364195842&lt;/D&gt;&lt;D xsi:type="xsd:double"&gt;17.7146325569223&lt;/D&gt;&lt;D xsi:type="xsd:double"&gt;17.3110541002433&lt;/D&gt;&lt;D xsi:type="xsd:double"&gt;16.2182036837931&lt;/D&gt;&lt;D xsi:type="xsd:double"&gt;17.7952264413756&lt;/D&gt;&lt;D xsi:type="xsd:double"&gt;18.1111366042478&lt;/D&gt;&lt;D xsi:type="xsd:double"&gt;18.183605616047&lt;/D&gt;&lt;D xsi:type="xsd:double"&gt;18.1956727152324&lt;/D&gt;&lt;D xsi:type="xsd:double"&gt;17.8232865619443&lt;/D&gt;&lt;D xsi:type="xsd:double"&gt;18.2109146335271&lt;/D&gt;&lt;D xsi:type="xsd:double"&gt;17.4562018374396&lt;/D&gt;&lt;D xsi:type="xsd:double"&gt;17.3332225362559&lt;/D&gt;&lt;D xsi:type="xsd:double"&gt;17.3957307233521&lt;/D&gt;&lt;D xsi:type="xsd:double"&gt;17.6577621327194&lt;/D&gt;&lt;D xsi:type="xsd:double"&gt;16.9975040388581&lt;/D&gt;&lt;D xsi:type="xsd:double"&gt;15.9801836048172&lt;/D&gt;&lt;D xsi:type="xsd:double"&gt;16.583446995771&lt;/D&gt;&lt;D xsi:type="xsd:double"&gt;16.6439127168779&lt;/D&gt;&lt;D xsi:type="xsd:double"&gt;16.8984504562075&lt;/D&gt;&lt;D xsi:type="xsd:double"&gt;16.9196918474653&lt;/D&gt;&lt;D xsi:type="xsd:double"&gt;17.0381076607903&lt;/D&gt;&lt;D xsi:type="xsd:double"&gt;17.4172159709136&lt;/D&gt;&lt;D xsi:type="xsd:double"&gt;17.7878173190546&lt;/D&gt;&lt;D xsi:type="xsd:double"&gt;18.0180867311732&lt;/D&gt;&lt;D xsi:type="xsd:double"&gt;17.8424162090338&lt;/D&gt;&lt;D xsi:type="xsd:double"&gt;17.5169978844222&lt;/D&gt;&lt;D xsi:type="xsd:double"&gt;18.1245241087898&lt;/D&gt;&lt;D xsi:type="xsd:double"&gt;18.3866484404005&lt;/D&gt;&lt;D xsi:type="xsd:double"&gt;19.7337491005124&lt;/D&gt;&lt;D xsi:type="xsd:double"&gt;19.5865851918938&lt;/D&gt;&lt;D xsi:type="xsd:double"&gt;19.3266187132155&lt;/D&gt;&lt;D xsi:type="xsd:double"&gt;19.540532291383&lt;/D&gt;&lt;D xsi:type="xsd:double"&gt;19.4454076423059&lt;/D&gt;&lt;D xsi:type="xsd:double"&gt;19.3587444553294&lt;/D&gt;&lt;D xsi:type="xsd:double"&gt;19.1129096262126&lt;/D&gt;&lt;D xsi:type="xsd:double"&gt;19.350630596475&lt;/D&gt;&lt;D xsi:type="xsd:double"&gt;19.9096164809685&lt;/D&gt;&lt;D xsi:type="xsd:double"&gt;20.4091991107496&lt;/D&gt;&lt;D xsi:type="xsd:double"&gt;20.670719868611&lt;/D&gt;&lt;D xsi:type="xsd:double"&gt;21.0976164032064&lt;/D&gt;&lt;D xsi:type="xsd:double"&gt;21.6515592721196&lt;/D&gt;&lt;D xsi:type="xsd:double"&gt;20.853909741948&lt;/D&gt;&lt;D xsi:type="xsd:double"&gt;20.413967318847&lt;/D&gt;&lt;D xsi:type="xsd:double"&gt;20.0802180982019&lt;/D&gt;&lt;D xsi:type="xsd:double"&gt;19.2622314148166&lt;/D&gt;&lt;D xsi:type="xsd:double"&gt;19.3627019154532&lt;/D&gt;&lt;D xsi:type="xsd:double"&gt;18.92640323465&lt;/D&gt;&lt;D xsi:type="xsd:double"&gt;18.6228279071752&lt;/D&gt;&lt;D xsi:type="xsd:double"&gt;17.8418797036795&lt;/D&gt;&lt;D xsi:type="xsd:double"&gt;17.4970321955636&lt;/D&gt;&lt;D xsi:type="xsd:double"&gt;16.3196747627285&lt;/D&gt;&lt;D xsi:type="xsd:double"&gt;17.4263598849173&lt;/D&gt;&lt;D xsi:type="xsd:double"&gt;18.2126625997354&lt;/D&gt;&lt;D xsi:type="xsd:double"&gt;18.3033835441917&lt;/D&gt;&lt;D xsi:type="xsd:double"&gt;18.2983741790456&lt;/D&gt;&lt;D xsi:type="xsd:double"&gt;18.1595523263259&lt;/D&gt;&lt;D xsi:type="xsd:double"&gt;18.3609518973544&lt;/D&gt;&lt;D xsi:type="xsd:double"&gt;18.3985886724698&lt;/D&gt;&lt;D xsi:type="xsd:double"&gt;18.2543692742437&lt;/D&gt;&lt;D xsi:type="xsd:double"&gt;18.4201407842283&lt;/D&gt;&lt;D xsi:type="xsd:double"&gt;18.382324689635&lt;/D&gt;&lt;D xsi:type="xsd:double"&gt;18.8644630793382&lt;/D&gt;&lt;D xsi:type="xsd:double"&gt;19.6124407607534&lt;/D&gt;&lt;D xsi:type="xsd:double"&gt;20.2072183583599&lt;/D&gt;&lt;D xsi:type="xsd:double"&gt;20.185225194572&lt;/D&gt;&lt;D xsi:type="xsd:double"&gt;17.421508929355&lt;/D&gt;&lt;D xsi:type="xsd:double"&gt;18.2554268021574&lt;/D&gt;&lt;D xsi:type="xsd:double"&gt;18.9702176423229&lt;/D&gt;&lt;D xsi:type="xsd:double"&gt;19.5361982303586&lt;/D&gt;&lt;D xsi:type="xsd:double"&gt;20.2253428985076&lt;/D&gt;&lt;D xsi:type="xsd:double"&gt;20.4349424716153&lt;/D&gt;&lt;D xsi:type="xsd:double"&gt;20.7010181387468&lt;/D&gt;&lt;D xsi:type="xsd:double"&gt;20.5498453782835&lt;/D&gt;&lt;D xsi:type="xsd:double"&gt;21.2507347465395&lt;/D&gt;&lt;D xsi:type="xsd:double"&gt;21.1291856304061&lt;/D&gt;&lt;D xsi:type="xsd:double"&gt;21.9552809144814&lt;/D&gt;&lt;D xsi:type="xsd:double"&gt;20.9910030946766&lt;/D&gt;&lt;D xsi:type="xsd:double"&gt;20.4645784234184&lt;/D&gt;&lt;D xsi:type="xsd:double"&gt;20.5927081279424&lt;/D&gt;&lt;D xsi:type="xsd:double"&gt;20.4961917302033&lt;/D&gt;&lt;D xsi:type="xsd:double"&gt;20.9269041027421&lt;/D&gt;&lt;D xsi:type="xsd:double"&gt;20.847923373077&lt;/D&gt;&lt;D xsi:type="xsd:double"&gt;21.1444491336879&lt;/D&gt;&lt;D xsi:type="xsd:double"&gt;20.4128548292684&lt;/D&gt;&lt;D xsi:type="xsd:double"&gt;20.6183880071909&lt;/D&gt;&lt;D xsi:type="xsd:double"&gt;20.9835592054767&lt;/D&gt;&lt;D xsi:type="xsd:double"&gt;21.173628126835&lt;/D&gt;&lt;D xsi:type="xsd:double"&gt;20.4695887318542&lt;/D&gt;&lt;D xsi:type="xsd:double"&gt;18.3973275737439&lt;/D&gt;&lt;D xsi:type="xsd:double"&gt;18.5676149851954&lt;/D&gt;&lt;D xsi:type="xsd:double"&gt;18.6238353265753&lt;/D&gt;&lt;D xsi:type="xsd:double"&gt;18.0086192480088&lt;/D&gt;&lt;D xsi:type="xsd:double"&gt;17.3826040763158&lt;/D&gt;&lt;D xsi:type="xsd:double"&gt;17.8928681709572&lt;/D&gt;&lt;D xsi:type="xsd:double"&gt;18.262038779766&lt;/D&gt;&lt;D xsi:type="xsd:double"&gt;17.3487744890655&lt;/D&gt;&lt;D xsi:type="xsd:double"&gt;17.2248937182246&lt;/D&gt;&lt;D xsi:type="xsd:double"&gt;19.5512906973954&lt;/D&gt;&lt;D xsi:type="xsd:double"&gt;20.2395428688919&lt;/D&gt;&lt;D xsi:type="xsd:double"&gt;21.1579603165368&lt;/D&gt;&lt;D xsi:type="xsd:double"&gt;21.3388209564687&lt;/D&gt;&lt;D xsi:type="xsd:double"&gt;20.4087512590742&lt;/D&gt;&lt;D xsi:type="xsd:double"&gt;20.4216356332082&lt;/D&gt;&lt;D xsi:type="xsd:double"&gt;20.1154599974214&lt;/D&gt;&lt;D xsi:type="xsd:double"&gt;19.294633300606&lt;/D&gt;&lt;D xsi:type="xsd:double"&gt;19.2051840996844&lt;/D&gt;&lt;D xsi:type="xsd:double"&gt;18.6227346296834&lt;/D&gt;&lt;D xsi:type="xsd:double"&gt;18.6867435529331&lt;/D&gt;&lt;D xsi:type="xsd:double"&gt;17.6759875814715&lt;/D&gt;&lt;D xsi:type="xsd:double"&gt;17.9487890190443&lt;/D&gt;&lt;D xsi:type="xsd:double"&gt;18.3584120906402&lt;/D&gt;&lt;D xsi:type="xsd:double"&gt;18.1743086686335&lt;/D&gt;&lt;D xsi:type="xsd:double"&gt;19.1614542181255&lt;/D&gt;&lt;D xsi:type="xsd:double"&gt;19.1790170314344&lt;/D&gt;&lt;/FQL&gt;&lt;FQL&gt;&lt;Q&gt;WL-FDS^FG_PRICE(0)/MAX(FG_PRICE(0,-1AY))&lt;/Q&gt;&lt;R&gt;1&lt;/R&gt;&lt;C&gt;1&lt;/C&gt;&lt;D xsi:type="xsd:double"&gt;0.838354728844642&lt;/D&gt;&lt;/FQL&gt;&lt;FQL&gt;&lt;Q&gt;NI-FDS^FG_PRICE(0)/MAX(FG_PRICE(0,-1AY))&lt;/Q&gt;&lt;R&gt;1&lt;/R&gt;&lt;C&gt;1&lt;/C&gt;&lt;D xsi:type="xsd:double"&gt;0.682458888018794&lt;/D&gt;&lt;/FQL&gt;&lt;FQL&gt;&lt;Q&gt;CPALM-FDS^FG_PRICE(0)/MAX(FG_PRICE(0,-1AY))&lt;/Q&gt;&lt;R&gt;1&lt;/R&gt;&lt;C&gt;1&lt;/C&gt;&lt;D xsi:type="xsd:double"&gt;0.997250229147571&lt;/D&gt;&lt;/FQL&gt;&lt;FQL&gt;&lt;Q&gt;BRENT-FDS^FG_PRICE(0)/MAX(FG_PRICE(0,-1AY))&lt;/Q&gt;&lt;R&gt;1&lt;/R&gt;&lt;C&gt;1&lt;/C&gt;&lt;D xsi:type="xsd:double"&gt;0.870614479821537&lt;/D&gt;&lt;/FQL&gt;&lt;FQL&gt;&lt;Q&gt;FC0000CA^FG_PRICE(0)&lt;/Q&gt;&lt;R&gt;1&lt;/R&gt;&lt;C&gt;1&lt;/C&gt;&lt;D xsi:type="xsd:double"&gt;292.2259&lt;/D&gt;&lt;/FQL&gt;&lt;FQL&gt;&lt;Q&gt;EWD^FG_PRICE_MAVG(0,,,,60)&lt;/Q&gt;&lt;R&gt;1&lt;/R&gt;&lt;C&gt;1&lt;/C&gt;&lt;D xsi:type="xsd:double"&gt;38.603832&lt;/D&gt;&lt;/FQL&gt;&lt;FQL&gt;&lt;Q&gt;VGK^PERCENT_CHANGE(FMA_EPS(+1,0,,,,"PORTAGG","MEAN"),FMA_EPS(+1,-3AM,,,,"PORTAGG","MEAN"))&lt;/Q&gt;&lt;R&gt;1&lt;/R&gt;&lt;C&gt;1&lt;/C&gt;&lt;D xsi:type="xsd:double"&gt;-8.27294881305303&lt;/D&gt;&lt;/FQL&gt;&lt;FQL&gt;&lt;Q&gt;EWU^PERCENT_CHANGE(FMA_EPS(+1,0,,,,"PORTAGG","MEAN"),FMA_EPS(+1,-1AM,,,,"PORTAGG","MEAN"))&lt;/Q&gt;&lt;R&gt;1&lt;/R&gt;&lt;C&gt;1&lt;/C&gt;&lt;D xsi:type="xsd:double"&gt;0.706773931489645&lt;/D&gt;&lt;/FQL&gt;&lt;FQL&gt;&lt;Q&gt;EWJ^FG_TOTAL_RETURNC(0,-1AM)&lt;/Q&gt;&lt;R&gt;1&lt;/R&gt;&lt;C&gt;1&lt;/C&gt;&lt;D xsi:type="xsd:double"&gt;5.9595823&lt;/D&gt;&lt;/FQL&gt;&lt;FQL&gt;&lt;Q&gt;EWC^FG_TOTAL_RETURNC(0,-6AM)&lt;/Q&gt;&lt;R&gt;1&lt;/R&gt;&lt;C&gt;1&lt;/C&gt;&lt;D xsi:type="xsd:double"&gt;13.850296&lt;/D&gt;&lt;/FQL&gt;&lt;FQL&gt;&lt;Q&gt;EWJ^FMA_COS_UP("EPS","1M",+1,0,,,"PORTAGG","MEANR")&lt;/Q&gt;&lt;R&gt;1&lt;/R&gt;&lt;C&gt;1&lt;/C&gt;&lt;D xsi:type="xsd:double"&gt;120&lt;/D&gt;&lt;/FQL&gt;&lt;FQL&gt;&lt;Q&gt;EWN^SIZE(FG_CONSTITUENTS)&lt;/Q&gt;&lt;R&gt;1&lt;/R&gt;&lt;C&gt;1&lt;/C&gt;&lt;D xsi:type="xsd:long"&gt;54&lt;/D&gt;&lt;/FQL&gt;&lt;FQL&gt;&lt;Q&gt;EWL^FMA_COS_DOWN("EPS","1M",+1,0,,,"PORTAGG","MEANR")&lt;/Q&gt;&lt;R&gt;1&lt;/R&gt;&lt;C&gt;1&lt;/C&gt;&lt;D xsi:type="xsd:double"&gt;28&lt;/D&gt;&lt;/FQL&gt;&lt;FQL&gt;&lt;Q&gt;EWN^FMA_RBICS_REV_CURRENT(30, LOC, "PORTAGG")&lt;/Q&gt;&lt;R&gt;1&lt;/R&gt;&lt;C&gt;1&lt;/C&gt;&lt;D xsi:type="xsd:double"&gt;24.7200394051191&lt;/D&gt;&lt;/FQL&gt;&lt;FQL&gt;&lt;Q&gt;TRYJP10Y-FDS^FG_YIELD_NAME&lt;/Q&gt;&lt;R&gt;1&lt;/R&gt;&lt;C&gt;1&lt;/C&gt;&lt;D xsi:type="xsd:string"&gt;Japan Benchmark Bond - 10 Year&lt;/D&gt;&lt;/FQL&gt;&lt;FQL&gt;&lt;Q&gt;EWQ^FMA_ROE(NTMA,-20AY,NOW,FY,"PORTAGG","MEANR")&lt;/Q&gt;&lt;R&gt;20&lt;/R&gt;&lt;C&gt;1&lt;/C&gt;&lt;D xsi:type="xsd:double"&gt;15.3785109881273&lt;/D&gt;&lt;D xsi:type="xsd:double"&gt;16.6302131420813&lt;/D&gt;&lt;D xsi:type="xsd:double"&gt;15.4089673624266&lt;/D&gt;&lt;D xsi:type="xsd:double"&gt;15.0205314626708&lt;/D&gt;&lt;D xsi:type="xsd:double"&gt;11.8797489821456&lt;/D&gt;&lt;D xsi:type="xsd:double"&gt;10.9934091834566&lt;/D&gt;&lt;D xsi:type="xsd:double"&gt;12.0259375987481&lt;/D&gt;&lt;D xsi:type="xsd:double"&gt;10.8176655066299&lt;/D&gt;&lt;D xsi:type="xsd:double"&gt;10.4079638226552&lt;/D&gt;&lt;D xsi:type="xsd:double"&gt;10.3975296667646&lt;/D&gt;&lt;D xsi:type="xsd:double"&gt;9.87060023176551&lt;/D&gt;&lt;D xsi:type="xsd:double"&gt;9.82548245608185&lt;/D&gt;&lt;D xsi:type="xsd:double"&gt;9.88315391318072&lt;/D&gt;&lt;D xsi:type="xsd:double"&gt;10.4363064842242&lt;/D&gt;&lt;D xsi:type="xsd:double"&gt;11.3283895806005&lt;/D&gt;&lt;D xsi:type="xsd:double"&gt;10.9140096513637&lt;/D&gt;&lt;D xsi:type="xsd:double"&gt;8.94242101240323&lt;/D&gt;&lt;D xsi:type="xsd:double"&gt;12.2539581188642&lt;/D&gt;&lt;D xsi:type="xsd:double"&gt;13.1475852543623&lt;/D&gt;&lt;D xsi:type="xsd:double"&gt;13.2210595032912&lt;/D&gt;&lt;/FQL&gt;&lt;FQL&gt;&lt;Q&gt;TRYID10Y-FDS^FG_YIELD(-10AY,0,Y,,"YTM")&lt;/Q&gt;&lt;R&gt;10&lt;/R&gt;&lt;C&gt;1&lt;/C&gt;&lt;D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xsi:type="xsd:double"&gt;5.1912&lt;/D&gt;&lt;/FQL&gt;&lt;FQL&gt;&lt;Q&gt;EWD^FG_PRICE_MAVG(0,,,,30)&lt;/Q&gt;&lt;R&gt;1&lt;/R&gt;&lt;C&gt;1&lt;/C&gt;&lt;D xsi:type="xsd:double"&gt;39.545666&lt;/D&gt;&lt;/FQL&gt;&lt;FQL&gt;&lt;Q&gt;QQQ^FG_PRICE_MAVG(0,,,,30)&lt;/Q&gt;&lt;R&gt;1&lt;/R&gt;&lt;C&gt;1&lt;/C&gt;&lt;D xsi:type="xsd:double"&gt;437.24066&lt;/D&gt;&lt;/FQL&gt;&lt;FQL&gt;&lt;Q&gt;EWG^FG_PRICE_MAVG(0,,,,30)&lt;/Q&gt;&lt;R&gt;1&lt;/R&gt;&lt;C&gt;1&lt;/C&gt;&lt;D xsi:type="xsd:double"&gt;30.424334&lt;/D&gt;&lt;/FQL&gt;&lt;FQL&gt;&lt;Q&gt;EWN^FG_COMPANY_NAME&lt;/Q&gt;&lt;R&gt;1&lt;/R&gt;&lt;C&gt;1&lt;/C&gt;&lt;D xsi:type="xsd:string"&gt;iShares MSCI Netherlands ETF&lt;/D&gt;&lt;/FQL&gt;&lt;FQL&gt;&lt;Q&gt;FXI^FG_TOTAL_RETURNC(0,-3AM)&lt;/Q&gt;&lt;R&gt;1&lt;/R&gt;&lt;C&gt;1&lt;/C&gt;&lt;D xsi:type="xsd:double"&gt;1.3074756&lt;/D&gt;&lt;/FQL&gt;&lt;FQL&gt;&lt;Q&gt;EWJ^P_PRICE(0)/P_PRICE_HIGH_PR(0,,,USD,,,"PRICE","INTRA","52W")&lt;/Q&gt;&lt;R&gt;1&lt;/R&gt;&lt;C&gt;1&lt;/C&gt;&lt;D xsi:type="xsd:double"&gt;0.9986334&lt;/D&gt;&lt;/FQL&gt;&lt;FQL&gt;&lt;Q&gt;VWO^FG_TOTAL_RETURNC(0,-12AM)&lt;/Q&gt;&lt;R&gt;1&lt;/R&gt;&lt;C&gt;1&lt;/C&gt;&lt;D xsi:type="xsd:double"&gt;10.764969&lt;/D&gt;&lt;/FQL&gt;&lt;FQL&gt;&lt;Q&gt;VGK^PERCENT_CHANGE(FMA_EPS(+1,0,,,,"PORTAGG","MEAN"),FMA_EPS(+1,-1AM,,,,"PORTAGG","MEAN"))&lt;/Q&gt;&lt;R&gt;1&lt;/R&gt;&lt;C&gt;1&lt;/C&gt;&lt;D xsi:type="xsd:double"&gt;-4.750088263898&lt;/D&gt;&lt;/FQL&gt;&lt;FQL&gt;&lt;Q&gt;EWD^FG_TOTAL_RETURNC(0,-1AM)&lt;/Q&gt;&lt;R&gt;1&lt;/R&gt;&lt;C&gt;1&lt;/C&gt;&lt;D xsi:type="xsd:double"&gt;5.54986&lt;/D&gt;&lt;/FQL&gt;&lt;FQL&gt;&lt;Q&gt;EWQ^FG_TOTAL_RETURNC(0,-6AM)&lt;/Q&gt;&lt;R&gt;1&lt;/R&gt;&lt;C&gt;1&lt;/C&gt;&lt;D xsi:type="xsd:double"&gt;15.15733&lt;/D&gt;&lt;/FQL&gt;&lt;FQL&gt;&lt;Q&gt;QQQ^P_PRICE(0)/P_PRICE_LOW_PR(0,,,USD,,,"PRICE","INTRA","52W")-1&lt;/Q&gt;&lt;R&gt;1&lt;/R&gt;&lt;C&gt;1&lt;/C&gt;&lt;D xsi:type="xsd:double"&gt;0.46295297&lt;/D&gt;&lt;/FQL&gt;&lt;FQL&gt;&lt;Q&gt;EWU^FMA_PCT_ABOVE_MAVG(200,0,,,,"PORTAGG")&lt;/Q&gt;&lt;R&gt;1&lt;/R&gt;&lt;C&gt;1&lt;/C&gt;&lt;D xsi:type="xsd:double"&gt;51.1904761904762&lt;/D&gt;&lt;/FQL&gt;&lt;FQL&gt;&lt;Q&gt;CAGDPY@US^EE_ACTUAL_ANNUAL(MED,0)&lt;/Q&gt;&lt;R&gt;1&lt;/R&gt;&lt;C&gt;1&lt;/C&gt;&lt;D xsi:type="xsd:double"&gt;-2.99592521765141&lt;/D&gt;&lt;/FQL&gt;&lt;FQL&gt;&lt;Q&gt;CAGDPY@NZ^EE_ACTUAL_ANNUAL(MED,0)&lt;/Q&gt;&lt;R&gt;1&lt;/R&gt;&lt;C&gt;1&lt;/C&gt;&lt;D xsi:type="xsd:double"&gt;-6.9&lt;/D&gt;&lt;/FQL&gt;&lt;FQL&gt;&lt;Q&gt;USDITL^FG_PRICE(0)&lt;/Q&gt;&lt;R&gt;1&lt;/R&gt;&lt;C&gt;1&lt;/C&gt;&lt;D xsi:type="xsd:double"&gt;1782.7732&lt;/D&gt;&lt;/FQL&gt;&lt;FQL&gt;&lt;Q&gt;USDANG^FG_PRICE(0)&lt;/Q&gt;&lt;R&gt;1&lt;/R&gt;&lt;C&gt;1&lt;/C&gt;&lt;D xsi:type="xsd:double"&gt;1.79&lt;/D&gt;&lt;/FQL&gt;&lt;FQL&gt;&lt;Q&gt;USDUSD^FG_PRICE(0)&lt;/Q&gt;&lt;R&gt;1&lt;/R&gt;&lt;C&gt;1&lt;/C&gt;&lt;D xsi:type="xsd:double"&gt;1&lt;/D&gt;&lt;/FQL&gt;&lt;FQL&gt;&lt;Q&gt;USDGBP^FG_PRICE(0)&lt;/Q&gt;&lt;R&gt;1&lt;/R&gt;&lt;C&gt;1&lt;/C&gt;&lt;D xsi:type="xsd:double"&gt;0.78942174&lt;/D&gt;&lt;/FQL&gt;&lt;FQL&gt;&lt;Q&gt;USDJPY^FG_PRICE(0)&lt;/Q&gt;&lt;R&gt;1&lt;/R&gt;&lt;C&gt;1&lt;/C&gt;&lt;D xsi:type="xsd:double"&gt;151.585&lt;/D&gt;&lt;/FQL&gt;&lt;FQL&gt;&lt;Q&gt;USDCAD^FG_PRICE(0)&lt;/Q&gt;&lt;R&gt;1&lt;/R&gt;&lt;C&gt;1&lt;/C&gt;&lt;D xsi:type="xsd:double"&gt;1.35375&lt;/D&gt;&lt;/FQL&gt;&lt;FQL&gt;&lt;Q&gt;USDNZD^FG_PRICE(0)&lt;/Q&gt;&lt;R&gt;1&lt;/R&gt;&lt;C&gt;1&lt;/C&gt;&lt;D xsi:type="xsd:double"&gt;1.6542597&lt;/D&gt;&lt;/FQL&gt;&lt;FQL&gt;&lt;Q&gt;EWI^P_PRICE_RETURNS_PR('52W',2,-10AY,0,AM)&lt;/Q&gt;&lt;R&gt;121&lt;/R&gt;&lt;C&gt;1&lt;/C&gt;&lt;D xsi:type="xsd:double"&gt;41.124557&lt;/D&gt;&lt;D xsi:type="xsd:double"&gt;50.44776&lt;/D&gt;&lt;D xsi:type="xsd:double"&gt;27.67141&lt;/D&gt;&lt;D xsi:type="xsd:double"&gt;50.805927&lt;/D&gt;&lt;D xsi:type="xsd:double"&gt;34.154736&lt;/D&gt;&lt;D xsi:type="xsd:double"&gt;20.108986&lt;/D&gt;&lt;D xsi:type="xsd:double"&gt;12.902058&lt;/D&gt;&lt;D xsi:type="xsd:double"&gt;-5.3664327&lt;/D&gt;&lt;D xsi:type="xsd:double"&gt;-0.62915087&lt;/D&gt;&lt;D xsi:type="xsd:double"&gt;-5.080247&lt;/D&gt;&lt;D xsi:type="xsd:double"&gt;-12.688762&lt;/D&gt;&lt;D xsi:type="xsd:double"&gt;-7.761872&lt;/D&gt;&lt;D xsi:type="xsd:double"&gt;-11.552345&lt;/D&gt;&lt;D xsi:type="xsd:double"&gt;-14.807373&lt;/D&gt;&lt;D xsi:type="xsd:double"&gt;-3.7014842&lt;/D&gt;&lt;D xsi:type="xsd:double"&gt;-13.03373&lt;/D&gt;&lt;D xsi:type="xsd:double"&gt;-3.6754072&lt;/D&gt;&lt;D xsi:type="xsd:double"&gt;-5.003375&lt;/D&gt;&lt;D xsi:type="xsd:double"&gt;-6.15049&lt;/D&gt;&lt;D xsi:type="xsd:double"&gt;6.2772155&lt;/D&gt;&lt;D xsi:type="xsd:double"&gt;-0.019830465&lt;/D&gt;&lt;D xsi:type="xsd:double"&gt;1.5541434&lt;/D&gt;&lt;D xsi:type="xsd:double"&gt;-10.421467&lt;/D&gt;&lt;D xsi:type="xsd:double"&gt;-22.405111&lt;/D&gt;&lt;D xsi:type="xsd:double"&gt;-13.829583&lt;/D&gt;&lt;D xsi:type="xsd:double"&gt;-14.22348&lt;/D&gt;&lt;D xsi:type="xsd:double"&gt;-23.850018&lt;/D&gt;&lt;D xsi:type="xsd:double"&gt;-21.029573&lt;/D&gt;&lt;D xsi:type="xsd:double"&gt;-27.149933&lt;/D&gt;&lt;D xsi:type="xsd:double"&gt;-25.767786&lt;/D&gt;&lt;D xsi:type="xsd:double"&gt;-21.86994&lt;/D&gt;&lt;D xsi:type="xsd:double"&gt;-23.263227&lt;/D&gt;&lt;D xsi:type="xsd:double"&gt;-22.630035&lt;/D&gt;&lt;D xsi:type="xsd:double"&gt;-9.891147&lt;/D&gt;&lt;D xsi:type="xsd:double"&gt;8.7766285&lt;/D&gt;&lt;D xsi:type="xsd:double"&gt;10.3553295&lt;/D&gt;&lt;D xsi:type="xsd:double"&gt;4.5857787&lt;/D&gt;&lt;D xsi:type="xsd:double"&gt;3.4668326&lt;/D&gt;&lt;D xsi:type="xsd:double"&gt;25.864124&lt;/D&gt;&lt;D xsi:type="xsd:double"&gt;21.672607&lt;/D&gt;&lt;D xsi:type="xsd:double"&gt;36.418987&lt;/D&gt;&lt;D xsi:type="xsd:double"&gt;39.459442&lt;/D&gt;&lt;D xsi:type="xsd:double"&gt;46.141804&lt;/D&gt;&lt;D xsi:type="xsd:double"&gt;40.8594&lt;/D&gt;&lt;D xsi:type="xsd:double"&gt;48.998962&lt;/D&gt;&lt;D xsi:type="xsd:double"&gt;30.968416&lt;/D&gt;&lt;D xsi:type="xsd:double"&gt;40.54046&lt;/D&gt;&lt;D xsi:type="xsd:double"&gt;38.01917&lt;/D&gt;&lt;D xsi:type="xsd:double"&gt;31.599022&lt;/D&gt;&lt;D xsi:type="xsd:double"&gt;38.865078&lt;/D&gt;&lt;D xsi:type="xsd:double"&gt;14.694941&lt;/D&gt;&lt;D xsi:type="xsd:double"&gt;7.596898&lt;/D&gt;&lt;D xsi:type="xsd:double"&gt;3.3340335&lt;/D&gt;&lt;D xsi:type="xsd:double"&gt;-4.6880903&lt;/D&gt;&lt;D xsi:type="xsd:double"&gt;-4.3923974&lt;/D&gt;&lt;D xsi:type="xsd:double"&gt;-14.245462&lt;/D&gt;&lt;D xsi:type="xsd:double"&gt;-16.10114&lt;/D&gt;&lt;D xsi:type="xsd:double"&gt;-18.98328&lt;/D&gt;&lt;D xsi:type="xsd:double"&gt;-19.67408&lt;/D&gt;&lt;D xsi:type="xsd:double"&gt;-13.752121&lt;/D&gt;&lt;D xsi:type="xsd:double"&gt;-9.303969&lt;/D&gt;&lt;D xsi:type="xsd:double"&gt;-13.536608&lt;/D&gt;&lt;D xsi:type="xsd:double"&gt;-11.395645&lt;/D&gt;&lt;D xsi:type="xsd:double"&gt;0.6480336&lt;/D&gt;&lt;D xsi:type="xsd:double"&gt;-0.49554706&lt;/D&gt;&lt;D xsi:type="xsd:double"&gt;-0.53632855&lt;/D&gt;&lt;D xsi:type="xsd:double"&gt;-0.21587014&lt;/D&gt;&lt;D xsi:type="xsd:double"&gt;17.291391&lt;/D&gt;&lt;D xsi:type="xsd:double"&gt;23.423409&lt;/D&gt;&lt;D xsi:type="xsd:double"&gt;26.589823&lt;/D&gt;&lt;D xsi:type="xsd:double"&gt;19.005466&lt;/D&gt;&lt;D xsi:type="xsd:double"&gt;16.861689&lt;/D&gt;&lt;D xsi:type="xsd:double"&gt;-31.481148&lt;/D&gt;&lt;D xsi:type="xsd:double"&gt;-27.32429&lt;/D&gt;&lt;D xsi:type="xsd:double"&gt;-20.747936&lt;/D&gt;&lt;D xsi:type="xsd:double"&gt;-10.368705&lt;/D&gt;&lt;D xsi:type="xsd:double"&gt;-3.7781596&lt;/D&gt;&lt;D xsi:type="xsd:double"&gt;-0.7678807&lt;/D&gt;&lt;D xsi:type="xsd:double"&gt;-9.8462105&lt;/D&gt;&lt;D xsi:type="xsd:double"&gt;-12.22083&lt;/D&gt;&lt;D xsi:type="xsd:double"&gt;-2.0162165&lt;/D&gt;&lt;D xsi:type="xsd:double"&gt;-1.168102&lt;/D&gt;&lt;D xsi:type="xsd:double"&gt;2.8477907&lt;/D&gt;&lt;D xsi:type="xsd:double"&gt;1.345098&lt;/D&gt;&lt;D xsi:type="xsd:double"&gt;73.40231&lt;/D&gt;&lt;D xsi:type="xsd:double"&gt;64.46175&lt;/D&gt;&lt;D xsi:type="xsd:double"&gt;63.216187&lt;/D&gt;&lt;D xsi:type="xsd:double"&gt;40.75855&lt;/D&gt;&lt;D xsi:type="xsd:double"&gt;23.709297&lt;/D&gt;&lt;D xsi:type="xsd:double"&gt;29.188395&lt;/D&gt;&lt;D xsi:type="xsd:double"&gt;32.184303&lt;/D&gt;&lt;D xsi:type="xsd:double"&gt;38.062607&lt;/D&gt;&lt;D xsi:type="xsd:double"&gt;19.354641&lt;/D&gt;&lt;D xsi:type="xsd:double"&gt;14.011919&lt;/D&gt;&lt;D xsi:type="xsd:double"&gt;11.726928&lt;/D&gt;&lt;D xsi:type="xsd:double"&gt;9.293663&lt;/D&gt;&lt;D xsi:type="xsd:double"&gt;-6.0311794&lt;/D&gt;&lt;D xsi:type="xsd:double"&gt;-7.1136055&lt;/D&gt;&lt;D xsi:type="xsd:double"&gt;-13.8714075&lt;/D&gt;&lt;D xsi:type="xsd:double"&gt;-21.47823&lt;/D&gt;&lt;D xsi:type="xsd:double"&gt;-23.504639&lt;/D&gt;&lt;D xsi:type="xsd:double"&gt;-22.530853&lt;/D&gt;&lt;D xsi:type="xsd:double"&gt;-24.39847&lt;/D&gt;&lt;D xsi:type="xsd:double"&gt;-27.777815&lt;/D&gt;&lt;D xsi:type="xsd:double"&gt;-14.489889&lt;/D&gt;&lt;D xsi:type="xsd:double"&gt;-11.609107&lt;/D&gt;&lt;D xsi:type="xsd:double"&gt;-5.7245073&lt;/D&gt;&lt;D xsi:type="xsd:double"&gt;-1.697588&lt;/D&gt;&lt;D xsi:type="xsd:double"&gt;8.08835&lt;/D&gt;&lt;D xsi:type="xsd:double"&gt;14.7589445&lt;/D&gt;&lt;D xsi:type="xsd:double"&gt;18.378998&lt;/D&gt;&lt;D xsi:type="xsd:double"&gt;31.516039&lt;/D&gt;&lt;D xsi:type="xsd:double"&gt;47.998833&lt;/D&gt;&lt;D xsi:type="xsd:double"&gt;34.588444&lt;/D&gt;&lt;D xsi:type="xsd:double"&gt;41.43952&lt;/D&gt;&lt;D xsi:type="xsd:double"&gt;36.03853&lt;/D&gt;&lt;D xsi:type="xsd:double"&gt;25.434458&lt;/D&gt;&lt;D xsi:type="xsd:double"&gt;29.194212&lt;/D&gt;&lt;D xsi:type="xsd:double"&gt;18.587421&lt;/D&gt;&lt;D xsi:type="xsd:double"&gt;20.653593&lt;/D&gt;&lt;D xsi:type="xsd:double"&gt;31.330181&lt;/D&gt;&lt;/FQL&gt;&lt;FQL&gt;&lt;Q&gt;EWN^FG_TOTAL_RETURNC(-10AY,0,AM)&lt;/Q&gt;&lt;R&gt;121&lt;/R&gt;&lt;C&gt;1&lt;/C&gt;&lt;D xsi:type="xsd:double"&gt;-2.0328403&lt;/D&gt;&lt;D xsi:type="xsd:double"&gt;1.9952059&lt;/D&gt;&lt;D xsi:type="xsd:double"&gt;0.15649796&lt;/D&gt;&lt;D xsi:type="xsd:double"&gt;2.8515577&lt;/D&gt;&lt;D xsi:type="xsd:double"&gt;-4.9307227&lt;/D&gt;&lt;D xsi:type="xsd:double"&gt;-0.40683746&lt;/D&gt;&lt;D xsi:type="xsd:double"&gt;1.1029482&lt;/D&gt;&lt;D xsi:type="xsd:double"&gt;-6.3434305&lt;/D&gt;&lt;D xsi:type="xsd:double"&gt;4.918027&lt;/D&gt;&lt;D xsi:type="xsd:double"&gt;-0.9782076&lt;/D&gt;&lt;D xsi:type="xsd:double"&gt;0&lt;/D&gt;&lt;D xsi:type="xsd:double"&gt;5.916667&lt;/D&gt;&lt;D xsi:type="xsd:double"&gt;1.8882751&lt;/D&gt;&lt;D xsi:type="xsd:double"&gt;0.5405426&lt;/D&gt;&lt;D xsi:type="xsd:double"&gt;4.262662&lt;/D&gt;&lt;D xsi:type="xsd:double"&gt;-2.6151001&lt;/D&gt;&lt;D xsi:type="xsd:double"&gt;1.675415&lt;/D&gt;&lt;D xsi:type="xsd:double"&gt;-8.24238&lt;/D&gt;&lt;D xsi:type="xsd:double"&gt;-1.927805&lt;/D&gt;&lt;D xsi:type="xsd:double"&gt;3.8686752&lt;/D&gt;&lt;D xsi:type="xsd:double"&gt;-0.42278767&lt;/D&gt;&lt;D xsi:type="xsd:double"&gt;-4.470682&lt;/D&gt;&lt;D xsi:type="xsd:double"&gt;-5.0681353&lt;/D&gt;&lt;D xsi:type="xsd:double"&gt;1.1215806&lt;/D&gt;&lt;D xsi:type="xsd:double"&gt;8.873117&lt;/D&gt;&lt;D xsi:type="xsd:double"&gt;1.3039947&lt;/D&gt;&lt;D xsi:type="xsd:double"&gt;-2.6950955&lt;/D&gt;&lt;D xsi:type="xsd:double"&gt;0.24803877&lt;/D&gt;&lt;D xsi:type="xsd:double"&gt;-1.2314498&lt;/D&gt;&lt;D xsi:type="xsd:double"&gt;4.659033&lt;/D&gt;&lt;D xsi:type="xsd:double"&gt;0.12141466&lt;/D&gt;&lt;D xsi:type="xsd:double"&gt;-0.92966557&lt;/D&gt;&lt;D xsi:type="xsd:double"&gt;-3.5087764&lt;/D&gt;&lt;D xsi:type="xsd:double"&gt;2.7447104&lt;/D&gt;&lt;D xsi:type="xsd:double"&gt;3.2930374&lt;/D&gt;&lt;D xsi:type="xsd:double"&gt;2.7037978&lt;/D&gt;&lt;D xsi:type="xsd:double"&gt;5.500984&lt;/D&gt;&lt;D xsi:type="xsd:double"&gt;0.7821202&lt;/D&gt;&lt;D xsi:type="xsd:double"&gt;8.425724&lt;/D&gt;&lt;D xsi:type="xsd:double"&gt;-0.2575636&lt;/D&gt;&lt;D xsi:type="xsd:double"&gt;4.9117923&lt;/D&gt;&lt;D xsi:type="xsd:double"&gt;0.19782782&lt;/D&gt;&lt;D xsi:type="xsd:double"&gt;2.7311563&lt;/D&gt;&lt;D xsi:type="xsd:double"&gt;1.2011528&lt;/D&gt;&lt;D xsi:type="xsd:double"&gt;-0.68048835&lt;/D&gt;&lt;D xsi:type="xsd:double"&gt;1.2709856&lt;/D&gt;&lt;D xsi:type="xsd:double"&gt;6.613922&lt;/D&gt;&lt;D xsi:type="xsd:double"&gt;-4.808545&lt;/D&gt;&lt;D xsi:type="xsd:double"&gt;0.81073046&lt;/D&gt;&lt;D xsi:type="xsd:double"&gt;-0.03093481&lt;/D&gt;&lt;D xsi:type="xsd:double"&gt;-0.03093481&lt;/D&gt;&lt;D xsi:type="xsd:double"&gt;-3.3118904&lt;/D&gt;&lt;D xsi:type="xsd:double"&gt;3.5784006&lt;/D&gt;&lt;D xsi:type="xsd:double"&gt;-3.2349288&lt;/D&gt;&lt;D xsi:type="xsd:double"&gt;0.06492138&lt;/D&gt;&lt;D xsi:type="xsd:double"&gt;-7.3953986&lt;/D&gt;&lt;D xsi:type="xsd:double"&gt;-1.6462326&lt;/D&gt;&lt;D xsi:type="xsd:double"&gt;-7.7129545&lt;/D&gt;&lt;D xsi:type="xsd:double"&gt;6.475365&lt;/D&gt;&lt;D xsi:type="xsd:double"&gt;7.3197365&lt;/D&gt;&lt;D xsi:type="xsd:double"&gt;3.0878901&lt;/D&gt;&lt;D xsi:type="xsd:double"&gt;3.0283093&lt;/D&gt;&lt;D xsi:type="xsd:double"&gt;-2.7476013&lt;/D&gt;&lt;D xsi:type="xsd:double"&gt;3.2014728&lt;/D&gt;&lt;D xsi:type="xsd:double"&gt;1.4024854&lt;/D&gt;&lt;D xsi:type="xsd:double"&gt;-2.6375055&lt;/D&gt;&lt;D xsi:type="xsd:double"&gt;3.9973497&lt;/D&gt;&lt;D xsi:type="xsd:double"&gt;2.0012736&lt;/D&gt;&lt;D xsi:type="xsd:double"&gt;0.7785678&lt;/D&gt;&lt;D xsi:type="xsd:double"&gt;3.979206&lt;/D&gt;&lt;D xsi:type="xsd:double"&gt;0.95494986&lt;/D&gt;&lt;D xsi:type="xsd:double"&gt;0.29559135&lt;/D&gt;&lt;D xsi:type="xsd:double"&gt;-33.451225&lt;/D&gt;&lt;D xsi:type="xsd:double"&gt;19.88485&lt;/D&gt;&lt;D xsi:type="xsd:double"&gt;8.792019&lt;/D&gt;&lt;D xsi:type="xsd:double"&gt;10.506905&lt;/D&gt;&lt;D xsi:type="xsd:double"&gt;7.326126&lt;/D&gt;&lt;D xsi:type="xsd:double"&gt;0.46082735&lt;/D&gt;&lt;D xsi:type="xsd:double"&gt;-1.2327969&lt;/D&gt;&lt;D xsi:type="xsd:double"&gt;4.789543&lt;/D&gt;&lt;D xsi:type="xsd:double"&gt;6.7036033&lt;/D&gt;&lt;D xsi:type="xsd:double"&gt;6.317389&lt;/D&gt;&lt;D xsi:type="xsd:double"&gt;8.941698&lt;/D&gt;&lt;D xsi:type="xsd:double"&gt;3.2156467&lt;/D&gt;&lt;D xsi:type="xsd:double"&gt;-2.1132946&lt;/D&gt;&lt;D xsi:type="xsd:double"&gt;7.7676296&lt;/D&gt;&lt;D xsi:type="xsd:double"&gt;0.49567223&lt;/D&gt;&lt;D xsi:type="xsd:double"&gt;-0.12385249&lt;/D&gt;&lt;D xsi:type="xsd:double"&gt;0.20712614&lt;/D&gt;&lt;D xsi:type="xsd:double"&gt;4.9813986&lt;/D&gt;&lt;D xsi:type="xsd:double"&gt;2.2051573&lt;/D&gt;&lt;D xsi:type="xsd:double"&gt;0.21190643&lt;/D&gt;&lt;D xsi:type="xsd:double"&gt;0.2691269&lt;/D&gt;&lt;D xsi:type="xsd:double"&gt;-6.555253&lt;/D&gt;&lt;D xsi:type="xsd:double"&gt;-3.3772707&lt;/D&gt;&lt;D xsi:type="xsd:double"&gt;-4.113376&lt;/D&gt;&lt;D xsi:type="xsd:double"&gt;-5.8790865&lt;/D&gt;&lt;D xsi:type="xsd:double"&gt;-3.4360647&lt;/D&gt;&lt;D xsi:type="xsd:double"&gt;-9.195399&lt;/D&gt;&lt;D xsi:type="xsd:double"&gt;-5.0209703&lt;/D&gt;&lt;D xsi:type="xsd:double"&gt;6.664753&lt;/D&gt;&lt;D xsi:type="xsd:double"&gt;-1.1850297&lt;/D&gt;&lt;D xsi:type="xsd:double"&gt;-11.638051&lt;/D&gt;&lt;D xsi:type="xsd:double"&gt;-0.8019686&lt;/D&gt;&lt;D xsi:type="xsd:double"&gt;16.511202&lt;/D&gt;&lt;D xsi:type="xsd:double"&gt;2.2859335&lt;/D&gt;&lt;D xsi:type="xsd:double"&gt;9.7138405&lt;/D&gt;&lt;D xsi:type="xsd:double"&gt;-1.4357567&lt;/D&gt;&lt;D xsi:type="xsd:double"&gt;-1.1410475&lt;/D&gt;&lt;D xsi:type="xsd:double"&gt;3.610015&lt;/D&gt;&lt;D xsi:type="xsd:double"&gt;1.5643477&lt;/D&gt;&lt;D xsi:type="xsd:double"&gt;-0.34276247&lt;/D&gt;&lt;D xsi:type="xsd:double"&gt;4.499173&lt;/D&gt;&lt;D xsi:type="xsd:double"&gt;-6.6847982&lt;/D&gt;&lt;D xsi:type="xsd:double"&gt;-6.702286&lt;/D&gt;&lt;D xsi:type="xsd:double"&gt;-4.815197&lt;/D&gt;&lt;D xsi:type="xsd:double"&gt;14.246643&lt;/D&gt;&lt;D xsi:type="xsd:double"&gt;7.675612&lt;/D&gt;&lt;D xsi:type="xsd:double"&gt;-1.814115&lt;/D&gt;&lt;D xsi:type="xsd:double"&gt;7.093978&lt;/D&gt;&lt;D xsi:type="xsd:double"&gt;5.1118135&lt;/D&gt;&lt;/FQL&gt;&lt;FQL&gt;&lt;Q&gt;SPY^FMA_DIV_YLD(NTMA,-10AY,0,AM,"PORTAGG","MEANR")&lt;/Q&gt;&lt;R&gt;121&lt;/R&gt;&lt;C&gt;1&lt;/C&gt;&lt;D xsi:type="xsd:double"&gt;2.172259225772&lt;/D&gt;&lt;D xsi:type="xsd:double"&gt;2.17581409514319&lt;/D&gt;&lt;D xsi:type="xsd:double"&gt;2.15890032745178&lt;/D&gt;&lt;D xsi:type="xsd:double"&gt;2.09135652409005&lt;/D&gt;&lt;D xsi:type="xsd:double"&gt;2.09759292106688&lt;/D&gt;&lt;D xsi:type="xsd:double"&gt;2.09398309151797&lt;/D&gt;&lt;D xsi:type="xsd:double"&gt;2.0899246625618&lt;/D&gt;&lt;D xsi:type="xsd:double"&gt;2.17692445935045&lt;/D&gt;&lt;D xsi:type="xsd:double"&gt;2.07028914100136&lt;/D&gt;&lt;D xsi:type="xsd:double"&gt;2.08320921649954&lt;/D&gt;&lt;D xsi:type="xsd:double"&gt;2.14261063476001&lt;/D&gt;&lt;D xsi:type="xsd:double"&gt;2.09472585091694&lt;/D&gt;&lt;D xsi:type="xsd:double"&gt;2.14824837867045&lt;/D&gt;&lt;D xsi:type="xsd:double"&gt;2.15562217127728&lt;/D&gt;&lt;D xsi:type="xsd:double"&gt;2.13477932653101&lt;/D&gt;&lt;D xsi:type="xsd:double"&gt;2.16215092220745&lt;/D&gt;&lt;D xsi:type="xsd:double"&gt;2.16233627384688&lt;/D&gt;&lt;D xsi:type="xsd:double"&gt;2.34854412270244&lt;/D&gt;&lt;D xsi:type="xsd:double"&gt;2.36591064244218&lt;/D&gt;&lt;D xsi:type="xsd:double"&gt;2.30942684516106&lt;/D&gt;&lt;D xsi:type="xsd:double"&gt;2.2678106392804&lt;/D&gt;&lt;D xsi:type="xsd:double"&gt;2.33755218604516&lt;/D&gt;&lt;D xsi:type="xsd:double"&gt;2.54358177441162&lt;/D&gt;&lt;D xsi:type="xsd:double"&gt;2.45182025901469&lt;/D&gt;&lt;D xsi:type="xsd:double"&gt;2.47519773454617&lt;/D&gt;&lt;D xsi:type="xsd:double"&gt;2.29179874134034&lt;/D&gt;&lt;D xsi:type="xsd:double"&gt;2.29270141173246&lt;/D&gt;&lt;D xsi:type="xsd:double"&gt;2.28995948996018&lt;/D&gt;&lt;D xsi:type="xsd:double"&gt;2.21879544538091&lt;/D&gt;&lt;D xsi:type="xsd:double"&gt;2.20486887571423&lt;/D&gt;&lt;D xsi:type="xsd:double"&gt;2.22505170738345&lt;/D&gt;&lt;D xsi:type="xsd:double"&gt;2.25475278169333&lt;/D&gt;&lt;D xsi:type="xsd:double"&gt;2.2131514427118&lt;/D&gt;&lt;D xsi:type="xsd:double"&gt;2.16067838253303&lt;/D&gt;&lt;D xsi:type="xsd:double"&gt;2.16833806459911&lt;/D&gt;&lt;D xsi:type="xsd:double"&gt;2.10422117526126&lt;/D&gt;&lt;D xsi:type="xsd:double"&gt;2.12653239051332&lt;/D&gt;&lt;D xsi:type="xsd:double"&gt;2.13752272910581&lt;/D&gt;&lt;D xsi:type="xsd:double"&gt;2.12131758900179&lt;/D&gt;&lt;D xsi:type="xsd:double"&gt;2.08864721128145&lt;/D&gt;&lt;D xsi:type="xsd:double"&gt;2.08192046325301&lt;/D&gt;&lt;D xsi:type="xsd:double"&gt;2.13046397611923&lt;/D&gt;&lt;D xsi:type="xsd:double"&gt;2.07411744805991&lt;/D&gt;&lt;D xsi:type="xsd:double"&gt;2.02363571366694&lt;/D&gt;&lt;D xsi:type="xsd:double"&gt;2.00497511952988&lt;/D&gt;&lt;D xsi:type="xsd:double"&gt;1.95125676928408&lt;/D&gt;&lt;D xsi:type="xsd:double"&gt;1.87979769073537&lt;/D&gt;&lt;D xsi:type="xsd:double"&gt;1.98955115193051&lt;/D&gt;&lt;D xsi:type="xsd:double"&gt;1.99883326904794&lt;/D&gt;&lt;D xsi:type="xsd:double"&gt;2.04910448833375&lt;/D&gt;&lt;D xsi:type="xsd:double"&gt;2.02244367825144&lt;/D&gt;&lt;D xsi:type="xsd:double"&gt;2.02638457641201&lt;/D&gt;&lt;D xsi:type="xsd:double"&gt;2.00844141311995&lt;/D&gt;&lt;D xsi:type="xsd:double"&gt;1.98085300195822&lt;/D&gt;&lt;D xsi:type="xsd:double"&gt;1.94396359995819&lt;/D&gt;&lt;D xsi:type="xsd:double"&gt;2.07087463827523&lt;/D&gt;&lt;D xsi:type="xsd:double"&gt;2.16532974000685&lt;/D&gt;&lt;D xsi:type="xsd:double"&gt;2.4022200614989&lt;/D&gt;&lt;D xsi:type="xsd:double"&gt;2.18027973387759&lt;/D&gt;&lt;D xsi:type="xsd:double"&gt;2.11169324483128&lt;/D&gt;&lt;D xsi:type="xsd:double"&gt;2.06723161082367&lt;/D&gt;&lt;D xsi:type="xsd:double"&gt;2.04865490036966&lt;/D&gt;&lt;D xsi:type="xsd:double"&gt;2.08845445507239&lt;/D&gt;&lt;D xsi:type="xsd:double"&gt;2.04017293861702&lt;/D&gt;&lt;D xsi:type="xsd:double"&gt;2.03248402553769&lt;/D&gt;&lt;D xsi:type="xsd:double"&gt;2.07840354557419&lt;/D&gt;&lt;D xsi:type="xsd:double"&gt;2.04217450572313&lt;/D&gt;&lt;D xsi:type="xsd:double"&gt;2.04136823238717&lt;/D&gt;&lt;D xsi:type="xsd:double"&gt;1.99635687192255&lt;/D&gt;&lt;D xsi:type="xsd:double"&gt;1.93839075376819&lt;/D&gt;&lt;D xsi:type="xsd:double"&gt;1.89103923975891&lt;/D&gt;&lt;D xsi:type="xsd:double"&gt;1.89566172705526&lt;/D&gt;&lt;D xsi:type="xsd:double"&gt;2.74339009488&lt;/D&gt;&lt;D xsi:type="xsd:double"&gt;2.24650935004884&lt;/D&gt;&lt;D xsi:type="xsd:double"&gt;2.05309027476938&lt;/D&gt;&lt;D xsi:type="xsd:double"&gt;1.94346465854039&lt;/D&gt;&lt;D xsi:type="xsd:double"&gt;1.82512636599896&lt;/D&gt;&lt;D xsi:type="xsd:double"&gt;1.7548693491874&lt;/D&gt;&lt;D xsi:type="xsd:double"&gt;1.81608360410664&lt;/D&gt;&lt;D xsi:type="xsd:double"&gt;1.74284963014665&lt;/D&gt;&lt;D xsi:type="xsd:double"&gt;1.68436272306714&lt;/D&gt;&lt;D xsi:type="xsd:double"&gt;1.60148796432486&lt;/D&gt;&lt;D xsi:type="xsd:double"&gt;1.54389857844601&lt;/D&gt;&lt;D xsi:type="xsd:double"&gt;1.53934344323413&lt;/D&gt;&lt;D xsi:type="xsd:double"&gt;1.54566051342998&lt;/D&gt;&lt;D xsi:type="xsd:double"&gt;1.45961124668521&lt;/D&gt;&lt;D xsi:type="xsd:double"&gt;1.47219782387775&lt;/D&gt;&lt;D xsi:type="xsd:double"&gt;1.46213317355544&lt;/D&gt;&lt;D xsi:type="xsd:double"&gt;1.43535773159984&lt;/D&gt;&lt;D xsi:type="xsd:double"&gt;1.42248035783796&lt;/D&gt;&lt;D xsi:type="xsd:double"&gt;1.45400902463495&lt;/D&gt;&lt;D xsi:type="xsd:double"&gt;1.40494102194381&lt;/D&gt;&lt;D xsi:type="xsd:double"&gt;1.36879479016344&lt;/D&gt;&lt;D xsi:type="xsd:double"&gt;1.38646759251548&lt;/D&gt;&lt;D xsi:type="xsd:double"&gt;1.47843110236596&lt;/D&gt;&lt;D xsi:type="xsd:double"&gt;1.51282786006043&lt;/D&gt;&lt;D xsi:type="xsd:double"&gt;1.47844708728883&lt;/D&gt;&lt;D xsi:type="xsd:double"&gt;1.50387949498024&lt;/D&gt;&lt;D xsi:type="xsd:double"&gt;1.70004075145326&lt;/D&gt;&lt;D xsi:type="xsd:double"&gt;1.77766262732326&lt;/D&gt;&lt;D xsi:type="xsd:double"&gt;1.6825537121682&lt;/D&gt;&lt;D xsi:type="xsd:double"&gt;1.60986288737197&lt;/D&gt;&lt;D xsi:type="xsd:double"&gt;1.80424563583475&lt;/D&gt;&lt;D xsi:type="xsd:double"&gt;1.83461473263493&lt;/D&gt;&lt;D xsi:type="xsd:double"&gt;1.75456784893886&lt;/D&gt;&lt;D xsi:type="xsd:double"&gt;1.78976751379013&lt;/D&gt;&lt;D xsi:type="xsd:double"&gt;1.75349723286812&lt;/D&gt;&lt;D xsi:type="xsd:double"&gt;1.75645756638598&lt;/D&gt;&lt;D xsi:type="xsd:double"&gt;1.75786614771137&lt;/D&gt;&lt;D xsi:type="xsd:double"&gt;1.71143681017475&lt;/D&gt;&lt;D xsi:type="xsd:double"&gt;1.68378111335212&lt;/D&gt;&lt;D xsi:type="xsd:double"&gt;1.62618740268603&lt;/D&gt;&lt;D xsi:type="xsd:double"&gt;1.57271715993799&lt;/D&gt;&lt;D xsi:type="xsd:double"&gt;1.6320002073849&lt;/D&gt;&lt;D xsi:type="xsd:double"&gt;1.66780845452641&lt;/D&gt;&lt;D xsi:type="xsd:double"&gt;1.71746856240834&lt;/D&gt;&lt;D xsi:type="xsd:double"&gt;1.60697441835193&lt;/D&gt;&lt;D xsi:type="xsd:double"&gt;1.54857026844601&lt;/D&gt;&lt;D xsi:type="xsd:double"&gt;1.52559084434422&lt;/D&gt;&lt;D xsi:type="xsd:double"&gt;1.50554226082415&lt;/D&gt;&lt;D xsi:type="xsd:double"&gt;1.43678256547327&lt;/D&gt;&lt;/FQL&gt;&lt;FQL&gt;&lt;Q&gt;EWU^FMA_PE(NTMA,-10AY,0,AM,"PORTAGG","MEANR")&lt;/Q&gt;&lt;R&gt;121&lt;/R&gt;&lt;C&gt;1&lt;/C&gt;&lt;D xsi:type="xsd:double"&gt;12.8734814272081&lt;/D&gt;&lt;D xsi:type="xsd:double"&gt;13.2239873485751&lt;/D&gt;&lt;D xsi:type="xsd:double"&gt;13.6571755471612&lt;/D&gt;&lt;D xsi:type="xsd:double"&gt;13.7222386607877&lt;/D&gt;&lt;D xsi:type="xsd:double"&gt;13.5470237655182&lt;/D&gt;&lt;D xsi:type="xsd:double"&gt;13.4842791709205&lt;/D&gt;&lt;D xsi:type="xsd:double"&gt;13.4897542031813&lt;/D&gt;&lt;D xsi:type="xsd:double"&gt;12.7426799382562&lt;/D&gt;&lt;D xsi:type="xsd:double"&gt;13.5858648355194&lt;/D&gt;&lt;D xsi:type="xsd:double"&gt;13.7354005381977&lt;/D&gt;&lt;D xsi:type="xsd:double"&gt;14.704640790863&lt;/D&gt;&lt;D xsi:type="xsd:double"&gt;15.5437816028314&lt;/D&gt;&lt;D xsi:type="xsd:double"&gt;15.870765879923&lt;/D&gt;&lt;D xsi:type="xsd:double"&gt;16.1978204976333&lt;/D&gt;&lt;D xsi:type="xsd:double"&gt;16.2627357966994&lt;/D&gt;&lt;D xsi:type="xsd:double"&gt;15.4895304321637&lt;/D&gt;&lt;D xsi:type="xsd:double"&gt;15.5599560851327&lt;/D&gt;&lt;D xsi:type="xsd:double"&gt;14.2732629716726&lt;/D&gt;&lt;D xsi:type="xsd:double"&gt;14.3704445220813&lt;/D&gt;&lt;D xsi:type="xsd:double"&gt;15.2037990051034&lt;/D&gt;&lt;D xsi:type="xsd:double"&gt;15.382808124804&lt;/D&gt;&lt;D xsi:type="xsd:double"&gt;14.7590224166276&lt;/D&gt;&lt;D xsi:type="xsd:double"&gt;14.557695691993&lt;/D&gt;&lt;D xsi:type="xsd:double"&gt;15.1840749353105&lt;/D&gt;&lt;D xsi:type="xsd:double"&gt;16.2567468690651&lt;/D&gt;&lt;D xsi:type="xsd:double"&gt;16.5882133878312&lt;/D&gt;&lt;D xsi:type="xsd:double"&gt;15.7270639977416&lt;/D&gt;&lt;D xsi:type="xsd:double"&gt;15.8375755383464&lt;/D&gt;&lt;D xsi:type="xsd:double"&gt;16.0588769056955&lt;/D&gt;&lt;D xsi:type="xsd:double"&gt;16.1719314632153&lt;/D&gt;&lt;D xsi:type="xsd:double"&gt;15.639905278431&lt;/D&gt;&lt;D xsi:type="xsd:double"&gt;15.1940977676595&lt;/D&gt;&lt;D xsi:type="xsd:double"&gt;14.3083077988096&lt;/D&gt;&lt;D xsi:type="xsd:double"&gt;14.3160573012898&lt;/D&gt;&lt;D xsi:type="xsd:double"&gt;14.2653423927094&lt;/D&gt;&lt;D xsi:type="xsd:double"&gt;14.4947446449536&lt;/D&gt;&lt;D xsi:type="xsd:double"&gt;14.520833718544&lt;/D&gt;&lt;D xsi:type="xsd:double"&gt;14.1152398837832&lt;/D&gt;&lt;D xsi:type="xsd:double"&gt;14.7907185525751&lt;/D&gt;&lt;D xsi:type="xsd:double"&gt;14.4814545751932&lt;/D&gt;&lt;D xsi:type="xsd:double"&gt;14.7893898476638&lt;/D&gt;&lt;D xsi:type="xsd:dou</t>
        </r>
      </text>
    </comment>
    <comment ref="A4" authorId="0" shapeId="0" xr:uid="{88EF3DBF-D006-440C-B21C-551E1A6B0DF6}">
      <text>
        <r>
          <rPr>
            <b/>
            <sz val="9"/>
            <color indexed="81"/>
            <rFont val="Tahoma"/>
            <charset val="1"/>
          </rPr>
          <t>ble"&gt;14.3646723598209&lt;/D&gt;&lt;D xsi:type="xsd:double"&gt;14.4630110064721&lt;/D&gt;&lt;D xsi:type="xsd:double"&gt;14.5730637589989&lt;/D&gt;&lt;D xsi:type="xsd:double"&gt;14.2603659191821&lt;/D&gt;&lt;D xsi:type="xsd:double"&gt;14.5695342897648&lt;/D&gt;&lt;D xsi:type="xsd:double"&gt;14.707613382907&lt;/D&gt;&lt;D xsi:type="xsd:double"&gt;13.7253101431265&lt;/D&gt;&lt;D xsi:type="xsd:double"&gt;13.2277757334894&lt;/D&gt;&lt;D xsi:type="xsd:double"&gt;13.6859111324523&lt;/D&gt;&lt;D xsi:type="xsd:double"&gt;14.071153643203&lt;/D&gt;&lt;D xsi:type="xsd:double"&gt;13.2353880779556&lt;/D&gt;&lt;D xsi:type="xsd:double"&gt;13.1392086005172&lt;/D&gt;&lt;D xsi:type="xsd:double"&gt;12.8411250152173&lt;/D&gt;&lt;D xsi:type="xsd:double"&gt;12.7639970234146&lt;/D&gt;&lt;D xsi:type="xsd:double"&gt;11.8714957748792&lt;/D&gt;&lt;D xsi:type="xsd:double"&gt;11.7597562991109&lt;/D&gt;&lt;D xsi:type="xsd:double"&gt;11.3830887458534&lt;/D&gt;&lt;D xsi:type="xsd:double"&gt;12.0274366857112&lt;/D&gt;&lt;D xsi:type="xsd:double"&gt;12.4518444376832&lt;/D&gt;&lt;D xsi:type="xsd:double"&gt;12.7062888105406&lt;/D&gt;&lt;D xsi:type="xsd:double"&gt;12.7565639625631&lt;/D&gt;&lt;D xsi:type="xsd:double"&gt;12.362638183082&lt;/D&gt;&lt;D xsi:type="xsd:double"&gt;12.5548520821758&lt;/D&gt;&lt;D xsi:type="xsd:double"&gt;12.6530972588221&lt;/D&gt;&lt;D xsi:type="xsd:double"&gt;11.9784686686765&lt;/D&gt;&lt;D xsi:type="xsd:double"&gt;12.4146242143274&lt;/D&gt;&lt;D xsi:type="xsd:double"&gt;12.4343573385531&lt;/D&gt;&lt;D xsi:type="xsd:double"&gt;12.6966240146305&lt;/D&gt;&lt;D xsi:type="xsd:double"&gt;13.4664607816512&lt;/D&gt;&lt;D xsi:type="xsd:double"&gt;13.519798315393&lt;/D&gt;&lt;D xsi:type="xsd:double"&gt;13.3265763328665&lt;/D&gt;&lt;D xsi:type="xsd:double"&gt;10.1166116481985&lt;/D&gt;&lt;D xsi:type="xsd:double"&gt;13.488002239713&lt;/D&gt;&lt;D xsi:type="xsd:double"&gt;15.5970946507973&lt;/D&gt;&lt;D xsi:type="xsd:double"&gt;16.236231788626&lt;/D&gt;&lt;D xsi:type="xsd:double"&gt;16.0650298970267&lt;/D&gt;&lt;D xsi:type="xsd:double"&gt;15.2908968781441&lt;/D&gt;&lt;D xsi:type="xsd:double"&gt;14.3308707524573&lt;/D&gt;&lt;D xsi:type="xsd:double"&gt;13.8575716289705&lt;/D&gt;&lt;D xsi:type="xsd:double"&gt;14.7174342010948&lt;/D&gt;&lt;D xsi:type="xsd:double"&gt;14.2883532513017&lt;/D&gt;&lt;D xsi:type="xsd:double"&gt;14.427852116513&lt;/D&gt;&lt;D xsi:type="xsd:double"&gt;14.1722355021888&lt;/D&gt;&lt;D xsi:type="xsd:double"&gt;13.8188699080417&lt;/D&gt;&lt;D xsi:type="xsd:double"&gt;13.4007584679954&lt;/D&gt;&lt;D xsi:type="xsd:double"&gt;13.2470585531601&lt;/D&gt;&lt;D xsi:type="xsd:double"&gt;12.9441028228714&lt;/D&gt;&lt;D xsi:type="xsd:double"&gt;12.3179134536006&lt;/D&gt;&lt;D xsi:type="xsd:double"&gt;12.0728240155735&lt;/D&gt;&lt;D xsi:type="xsd:double"&gt;11.7894571550054&lt;/D&gt;&lt;D xsi:type="xsd:double"&gt;12.1833370835061&lt;/D&gt;&lt;D xsi:type="xsd:double"&gt;11.9736374028761&lt;/D&gt;&lt;D xsi:type="xsd:double"&gt;11.9486755208044&lt;/D&gt;&lt;D xsi:type="xsd:double"&gt;12.3249213353037&lt;/D&gt;&lt;D xsi:type="xsd:double"&gt;12.1458130526728&lt;/D&gt;&lt;D xsi:type="xsd:double"&gt;11.7117207232854&lt;/D&gt;&lt;D xsi:type="xsd:double"&gt;11.2170578759853&lt;/D&gt;&lt;D xsi:type="xsd:double"&gt;10.2323226566594&lt;/D&gt;&lt;D xsi:type="xsd:double"&gt;9.7524922352973&lt;/D&gt;&lt;D xsi:type="xsd:double"&gt;9.64581007492579&lt;/D&gt;&lt;D xsi:type="xsd:double"&gt;9.73562808218534&lt;/D&gt;&lt;D xsi:type="xsd:double"&gt;9.05398779943803&lt;/D&gt;&lt;D xsi:type="xsd:double"&gt;8.70996846952222&lt;/D&gt;&lt;D xsi:type="xsd:double"&gt;9.45355106023348&lt;/D&gt;&lt;D xsi:type="xsd:double"&gt;9.85533068520304&lt;/D&gt;&lt;D xsi:type="xsd:double"&gt;10.5877784049545&lt;/D&gt;&lt;D xsi:type="xsd:double"&gt;10.7052242178422&lt;/D&gt;&lt;D xsi:type="xsd:double"&gt;10.0626773468896&lt;/D&gt;&lt;D xsi:type="xsd:double"&gt;10.8196702859917&lt;/D&gt;&lt;D xsi:type="xsd:double"&gt;10.4798548616604&lt;/D&gt;&lt;D xsi:type="xsd:double"&gt;10.3395437867591&lt;/D&gt;&lt;D xsi:type="xsd:double"&gt;10.6632279552539&lt;/D&gt;&lt;D xsi:type="xsd:double"&gt;10.1339811595421&lt;/D&gt;&lt;D xsi:type="xsd:double"&gt;10.5526693325235&lt;/D&gt;&lt;D xsi:type="xsd:double"&gt;10.0775088607024&lt;/D&gt;&lt;D xsi:type="xsd:double"&gt;10.4182307668856&lt;/D&gt;&lt;D xsi:type="xsd:double"&gt;10.8621799745857&lt;/D&gt;&lt;D xsi:type="xsd:double"&gt;10.6972327478678&lt;/D&gt;&lt;D xsi:type="xsd:double"&gt;11.1509358650609&lt;/D&gt;&lt;D xsi:type="xsd:double"&gt;11.2494469954474&lt;/D&gt;&lt;/FQL&gt;&lt;FQL&gt;&lt;Q&gt;EWJ^FMA_PE(LTMA,-10AY,0,AM,"PORTAGG","MEANR")&lt;/Q&gt;&lt;R&gt;121&lt;/R&gt;&lt;C&gt;1&lt;/C&gt;&lt;D xsi:type="xsd:double"&gt;15.4933846086935&lt;/D&gt;&lt;D xsi:type="xsd:double"&gt;15.3217575662034&lt;/D&gt;&lt;D xsi:type="xsd:double"&gt;15.0033801325657&lt;/D&gt;&lt;D xsi:type="xsd:double"&gt;15.4025316011854&lt;/D&gt;&lt;D xsi:type="xsd:double"&gt;15.2003862807693&lt;/D&gt;&lt;D xsi:type="xsd:double"&gt;15.1697441970329&lt;/D&gt;&lt;D xsi:type="xsd:double"&gt;15.4673542152255&lt;/D&gt;&lt;D xsi:type="xsd:double"&gt;14.2949042753016&lt;/D&gt;&lt;D xsi:type="xsd:double"&gt;15.9308748861918&lt;/D&gt;&lt;D xsi:type="xsd:double"&gt;15.8613196665979&lt;/D&gt;&lt;D xsi:type="xsd:double"&gt;15.6267486143814&lt;/D&gt;&lt;D xsi:type="xsd:double"&gt;16.6880954270892&lt;/D&gt;&lt;D xsi:type="xsd:double"&gt;16.9538408078835&lt;/D&gt;&lt;D xsi:type="xsd:double"&gt;16.9521022426504&lt;/D&gt;&lt;D xsi:type="xsd:double"&gt;17.1131384605441&lt;/D&gt;&lt;D xsi:type="xsd:double"&gt;16.8135801385279&lt;/D&gt;&lt;D xsi:type="xsd:double"&gt;16.9380027095564&lt;/D&gt;&lt;D xsi:type="xsd:double"&gt;16.2042302466852&lt;/D&gt;&lt;D xsi:type="xsd:double"&gt;15.259393198694&lt;/D&gt;&lt;D xsi:type="xsd:double"&gt;15.6486219502212&lt;/D&gt;&lt;D xsi:type="xsd:double"&gt;16.3199874500196&lt;/D&gt;&lt;D xsi:type="xsd:double"&gt;15.5580086653281&lt;/D&gt;&lt;D xsi:type="xsd:double"&gt;13.3107691687319&lt;/D&gt;&lt;D xsi:type="xsd:double"&gt;13.6239176302535&lt;/D&gt;&lt;D xsi:type="xsd:double"&gt;13.8406120065423&lt;/D&gt;&lt;D xsi:type="xsd:double"&gt;13.9667183503969&lt;/D&gt;&lt;D xsi:type="xsd:double"&gt;13.9357949223113&lt;/D&gt;&lt;D xsi:type="xsd:double"&gt;13.8936803089621&lt;/D&gt;&lt;D xsi:type="xsd:double"&gt;14.3034844566151&lt;/D&gt;&lt;D xsi:type="xsd:double"&gt;14.0220195705339&lt;/D&gt;&lt;D xsi:type="xsd:double"&gt;14.4547250301938&lt;/D&gt;&lt;D xsi:type="xsd:double"&gt;14.5404993358544&lt;/D&gt;&lt;D xsi:type="xsd:double"&gt;15.3019869352145&lt;/D&gt;&lt;D xsi:type="xsd:double"&gt;16.5708821090988&lt;/D&gt;&lt;D xsi:type="xsd:double"&gt;16.540794440378&lt;/D&gt;&lt;D xsi:type="xsd:double"&gt;16.2502242987008&lt;/D&gt;&lt;D xsi:type="xsd:double"&gt;15.8739002610303&lt;/D&gt;&lt;D xsi:type="xsd:double"&gt;15.5172844717712&lt;/D&gt;&lt;D xsi:type="xsd:double"&gt;15.6277499068247&lt;/D&gt;&lt;D xsi:type="xsd:double"&gt;15.6610512207363&lt;/D&gt;&lt;D xsi:type="xsd:double"&gt;15.4918062304213&lt;/D&gt;&lt;D xsi:type="xsd:double"&gt;14.9528453673351&lt;/D&gt;&lt;D xsi:type="xsd:double"&gt;15.0127673962067&lt;/D&gt;&lt;D xsi:type="xsd:double"&gt;15.2939549040447&lt;/D&gt;&lt;D xsi:type="xsd:double"&gt;15.6052328685387&lt;/D&gt;&lt;D xsi:type="xsd:double"&gt;16.3043181796936&lt;/D&gt;&lt;D xsi:type="xsd:double"&gt;16.9472753726642&lt;/D&gt;&lt;D xsi:type="xsd:double"&gt;14.6655532322145&lt;/D&gt;&lt;D xsi:type="xsd:double"&gt;14.3243796189888&lt;/D&gt;&lt;D xsi:type="xsd:double"&gt;14.255640952584&lt;/D&gt;&lt;D xsi:type="xsd:double"&gt;14.3212157374315&lt;/D&gt;&lt;D xsi:type="xsd:double"&gt;14.0275243635989&lt;/D&gt;&lt;D xsi:type="xsd:double"&gt;13.9095973963917&lt;/D&gt;&lt;D xsi:type="xsd:double"&gt;13.4829737512603&lt;/D&gt;&lt;D xsi:type="xsd:double"&gt;13.9316038717785&lt;/D&gt;&lt;D xsi:type="xsd:double"&gt;13.1612839640374&lt;/D&gt;&lt;D xsi:type="xsd:double"&gt;12.5166731868246&lt;/D&gt;&lt;D xsi:type="xsd:double"&gt;11.524981961317&lt;/D&gt;&lt;D xsi:type="xsd:double"&gt;11.9929564206288&lt;/D&gt;&lt;D xsi:type="xsd:double"&gt;12.7031714092126&lt;/D&gt;&lt;D xsi:type="xsd:double"&gt;12.7276365821544&lt;/D&gt;&lt;D xsi:type="xsd:double"&gt;12.7587794337783&lt;/D&gt;&lt;D xsi:type="xsd:double"&gt;12.6639868175546&lt;/D&gt;&lt;D xsi:type="xsd:double"&gt;12.8187778158315&lt;/D&gt;&lt;D xsi:type="xsd:double"&gt;12.9510771446623&lt;/D&gt;&lt;D xsi:type="xsd:double"&gt;12.7371208004455&lt;/D&gt;&lt;D xsi:type="xsd:double"&gt;13.5580553551511&lt;/D&gt;&lt;D xsi:type="xsd:double"&gt;13.7939792026423&lt;/D&gt;&lt;D xsi:type="xsd:double"&gt;14.4741388220231&lt;/D&gt;&lt;D xsi:type="xsd:double"&gt;15.2987666560979&lt;/D&gt;&lt;D xsi:type="xsd:double"&gt;15.4394531942369&lt;/D&gt;&lt;D xsi:type="xsd:double"&gt;15.313352749214&lt;/D&gt;&lt;D xsi:type="xsd:double"&gt;13.5023229848283&lt;/D&gt;&lt;D xsi:type="xsd:double"&gt;14.0291316075607&lt;/D&gt;&lt;D xsi:type="xsd:double"&gt;14.8735011251333&lt;/D&gt;&lt;D xsi:type="xsd:double"&gt;16.778423169194&lt;/D&gt;&lt;D xsi:type="xsd:double"&gt;17.7005249615788&lt;/D&gt;&lt;D xsi:type="xsd:double"&gt;18.4391378801638&lt;/D&gt;&lt;D xsi:type="xsd:double"&gt;19.9697181201753&lt;/D&gt;&lt;D xsi:type="xsd:double"&gt;20.661495343546&lt;/D&gt;&lt;D xsi:type="xsd:double"&gt;22.156580357248&lt;/D&gt;&lt;D xsi:type="xsd:double"&gt;23.067826526113&lt;/D&gt;&lt;D xsi:type="xsd:double"&gt;23.8708131511359&lt;/D&gt;&lt;D xsi:type="xsd:double"&gt;22.9368855950793&lt;/D&gt;&lt;D xsi:type="xsd:double"&gt;21.5637456454582&lt;/D&gt;&lt;D xsi:type="xsd:double"&gt;20.8356376362934&lt;/D&gt;&lt;D xsi:type="xsd:double"&gt;20.262564529921&lt;/D&gt;&lt;D xsi:type="xsd:double"&gt;19.7212368543096&lt;/D&gt;&lt;D xsi:type="xsd:double"&gt;19.180618969697&lt;/D&gt;&lt;D xsi:type="xsd:double"&gt;18.2698926727499&lt;/D&gt;&lt;D xsi:type="xsd:double"&gt;18.4830980810065&lt;/D&gt;&lt;D xsi:type="xsd:double"&gt;17.6272167998277&lt;/D&gt;&lt;D xsi:type="xsd:double"&gt;17.4541380399619&lt;/D&gt;&lt;D xsi:type="xsd:double"&gt;16.1411664454818&lt;/D&gt;&lt;D xsi:type="xsd:double"&gt;15.4209168877479&lt;/D&gt;&lt;D xsi:type="xsd:double"&gt;15.0187534996695&lt;/D&gt;&lt;D xsi:type="xsd:double"&gt;14.6030575247571&lt;/D&gt;&lt;D xsi:type="xsd:double"&gt;14.4846141376324&lt;/D&gt;&lt;D xsi:type="xsd:double"&gt;14.2000222077907&lt;/D&gt;&lt;D xsi:type="xsd:double"&gt;13.8751489086901&lt;/D&gt;&lt;D xsi:type="xsd:double"&gt;14.0235071018669&lt;/D&gt;&lt;D xsi:type="xsd:double"&gt;14.0611715950964&lt;/D&gt;&lt;D xsi:type="xsd:double"&gt;13.4684320821897&lt;/D&gt;&lt;D xsi:type="xsd:double"&gt;13.0453337959141&lt;/D&gt;&lt;D xsi:type="xsd:double"&gt;13.5126243542357&lt;/D&gt;&lt;D xsi:type="xsd:double"&gt;12.8630243111441&lt;/D&gt;&lt;D xsi:type="xsd:double"&gt;13.0602259765788&lt;/D&gt;&lt;D xsi:type="xsd:double"&gt;13.5588198667193&lt;/D&gt;&lt;D xsi:type="xsd:double"&gt;13.5416465148314&lt;/D&gt;&lt;D xsi:type="xsd:double"&gt;13.7173163953491&lt;/D&gt;&lt;D xsi:type="xsd:double"&gt;14.0874358683349&lt;/D&gt;&lt;D xsi:type="xsd:double"&gt;14.5668630142262&lt;/D&gt;&lt;D xsi:type="xsd:double"&gt;14.5296371041192&lt;/D&gt;&lt;D xsi:type="xsd:double"&gt;14.3865930891531&lt;/D&gt;&lt;D xsi:type="xsd:double"&gt;15.0821391180297&lt;/D&gt;&lt;D xsi:type="xsd:double"&gt;14.5244128547573&lt;/D&gt;&lt;D xsi:type="xsd:double"&gt;15.1993086139295&lt;/D&gt;&lt;D xsi:type="xsd:double"&gt;15.0283568237073&lt;/D&gt;&lt;D xsi:type="xsd:double"&gt;16.3290580389189&lt;/D&gt;&lt;D xsi:type="xsd:double"&gt;16.7298558397921&lt;/D&gt;&lt;D xsi:type="xsd:double"&gt;17.0021287414603&lt;/D&gt;&lt;/FQL&gt;&lt;FQL&gt;&lt;Q&gt;WL-FDS^FG_PRICE_CHANGE(0,-1AY)&lt;/Q&gt;&lt;R&gt;1&lt;/R&gt;&lt;C&gt;1&lt;/C&gt;&lt;D xsi:type="xsd:double"&gt;8.51135978297728&lt;/D&gt;&lt;/FQL&gt;&lt;FQL&gt;&lt;Q&gt;NI-FDS^FG_PRICE_CHANGE(0,-1AY)&lt;/Q&gt;&lt;R&gt;1&lt;/R&gt;&lt;C&gt;1&lt;/C&gt;&lt;D xsi:type="xsd:double"&gt;-22.7050997782705&lt;/D&gt;&lt;/FQL&gt;&lt;FQL&gt;&lt;Q&gt;CPALM-FDS^FG_PRICE_CHANGE(0,-1AY)&lt;/Q&gt;&lt;R&gt;1&lt;/R&gt;&lt;C&gt;1&lt;/C&gt;&lt;D xsi:type="xsd:double"&gt;10.5410210820422&lt;/D&gt;&lt;/FQL&gt;&lt;FQL&gt;&lt;Q&gt;BRENT-FDS^FG_PRICE_CHANGE(0,-1AY)&lt;/Q&gt;&lt;R&gt;1&lt;/R&gt;&lt;C&gt;1&lt;/C&gt;&lt;D xsi:type="xsd:double"&gt;13.1672597864769&lt;/D&gt;&lt;/FQL&gt;&lt;FQL&gt;&lt;Q&gt;TIOS-FDS^FG_PRICE_CHANGE(0,-1AY)&lt;/Q&gt;&lt;R&gt;1&lt;/R&gt;&lt;C&gt;1&lt;/C&gt;&lt;D xsi:type="xsd:double"&gt;-13.3348957112726&lt;/D&gt;&lt;/FQL&gt;&lt;FQL&gt;&lt;Q&gt;SPY^FMA_ROE(NTMA,-20AY,NOW,FY,"PORTAGG","MEANR")&lt;/Q&gt;&lt;R&gt;20&lt;/R&gt;&lt;C&gt;1&lt;/C&gt;&lt;D xsi:type="xsd:double"&gt;15.5861790200459&lt;/D&gt;&lt;D xsi:type="xsd:double"&gt;16.7322038566819&lt;/D&gt;&lt;D xsi:type="xsd:double"&gt;17.3873562088184&lt;/D&gt;&lt;D xsi:type="xsd:double"&gt;17.7935626477889&lt;/D&gt;&lt;D xsi:type="xsd:double"&gt;13.9384597707689&lt;/D&gt;&lt;D xsi:type="xsd:double"&gt;14.004346429543&lt;/D&gt;&lt;D xsi:type="xsd:double"&gt;15.0399433453936&lt;/D&gt;&lt;D xsi:type="xsd:double"&gt;15.5262408812809&lt;/D&gt;&lt;D xsi:type="xsd:double"&gt;15.3796547722071&lt;/D&gt;&lt;D xsi:type="xsd:double"&gt;15.8702437846916&lt;/D&gt;&lt;D xsi:type="xsd:double"&gt;15.8106739007597&lt;/D&gt;&lt;D xsi:type="xsd:double"&gt;15.8580313128215&lt;/D&gt;&lt;D xsi:type="xsd:double"&gt;16.0499124928518&lt;/D&gt;&lt;D xsi:type="xsd:double"&gt;16.907948658911&lt;/D&gt;&lt;D xsi:type="xsd:double"&gt;18.8923615036562&lt;/D&gt;&lt;D xsi:type="xsd:double"&gt;18.2929292655871&lt;/D&gt;&lt;D xsi:type="xsd:double"&gt;17.2298191459873&lt;/D&gt;&lt;D xsi:type="xsd:double"&gt;20.6862902777728&lt;/D&gt;&lt;D xsi:type="xsd:double"&gt;20.5985725378041&lt;/D&gt;&lt;D xsi:type="xsd:double"&gt;20.3437356796686&lt;/D&gt;&lt;/FQL&gt;&lt;FQL&gt;&lt;Q&gt;TRYAE10Y-FDS^FG_YIELD(-10AY,0,Y,,"YTM")&lt;/Q&gt;&lt;R&gt;10&lt;/R&gt;&lt;C&gt;1&lt;/C&gt;&lt;D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xsi:type="xsd:double"&gt;3.371059&lt;/D&gt;&lt;D xsi:type="xsd:double"&gt;3.6940188&lt;/D&gt;&lt;D xsi:type="xsd:double"&gt;2.542721&lt;/D&gt;&lt;D xsi:type="xsd:double"&gt;1.7060698&lt;/D&gt;&lt;D xsi:type="xsd:double"&gt;2.0444937&lt;/D&gt;&lt;D xsi:type="xsd:double"&gt;4.2739367&lt;/D&gt;&lt;D xsi:type="xsd:string"&gt;@NA&lt;/D&gt;&lt;/FQL&gt;&lt;FQL&gt;&lt;Q&gt;TRYJP10Y-FDS^FG_YIELD(-10AY,0,Y,,"YTM")&lt;/Q&gt;&lt;R&gt;10&lt;/R&gt;&lt;C&gt;1&lt;/C&gt;&lt;D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xsi:type="xsd:double"&gt;9.179499&lt;/D&gt;&lt;D xsi:type="xsd:double"&gt;9.791837&lt;/D&gt;&lt;D xsi:type="xsd:double"&gt;10.764477&lt;/D&gt;&lt;D xsi:type="xsd:double"&gt;11.358896&lt;/D&gt;&lt;/FQL&gt;&lt;FQL&gt;&lt;Q&gt;EWG^FMA_PE(LTMA,-10AY,0,AM,"PORTAGG","MEANR")&lt;/Q&gt;&lt;R&gt;121&lt;/R&gt;&lt;C&gt;1&lt;/C&gt;&lt;D xsi:type="xsd:double"&gt;14.7337357574307&lt;/D&gt;&lt;D xsi:type="xsd:double"&gt;14.6138848734776&lt;/D&gt;&lt;D xsi:type="xsd:double"&gt;14.6075797328855&lt;/D&gt;&lt;D xsi:type="xsd:double"&gt;14.718788848131&lt;/D&gt;&lt;D xsi:type="xsd:double"&gt;14.362012336552&lt;/D&gt;&lt;D xsi:type="xsd:double"&gt;14.1376633976943&lt;/D&gt;&lt;D xsi:type="xsd:double"&gt;14.39475913418&lt;/D&gt;&lt;D xsi:type="xsd:double"&gt;13.340858136888&lt;/D&gt;&lt;D xsi:type="xsd:double"&gt;14.2076848643679&lt;/D&gt;&lt;D xsi:type="xsd:double"&gt;14.3041438746311&lt;/D&gt;&lt;D xsi:type="xsd:double"&gt;15.0003373818095&lt;/D&gt;&lt;D xsi:type="xsd:double"&gt;15.969329688375&lt;/D&gt;&lt;D xsi:type="xsd:double"&gt;16.5789382677572&lt;/D&gt;&lt;D xsi:type="xsd:double"&gt;16.4752384945739&lt;/D&gt;&lt;D xsi:type="xsd:double"&gt;16.2083107847515&lt;/D&gt;&lt;D xsi:type="xsd:double"&gt;15.5365046443721&lt;/D&gt;&lt;D xsi:type="xsd:double"&gt;15.6868042736867&lt;/D&gt;&lt;D xsi:type="xsd:double"&gt;14.3859908298261&lt;/D&gt;&lt;D xsi:type="xsd:double"&gt;13.936797819827&lt;/D&gt;&lt;D xsi:type="xsd:double"&gt;14.0130367965955&lt;/D&gt;&lt;D xsi:type="xsd:double"&gt;14.8162783746056&lt;/D&gt;&lt;D xsi:type="xsd:double"&gt;13.8257268710975&lt;/D&gt;&lt;D xsi:type="xsd:double"&gt;12.457789099153&lt;/D&gt;&lt;D xsi:type="xsd:double"&gt;12.4719771796126&lt;/D&gt;&lt;D xsi:type="xsd:double"&gt;12.7575857472389&lt;/D&gt;&lt;D xsi:type="xsd:double"&gt;13.001756769401&lt;/D&gt;&lt;D xsi:type="xsd:double"&gt;12.7876979461969&lt;/D&gt;&lt;D xsi:type="xsd:double"&gt;12.8150749789155&lt;/D&gt;&lt;D xsi:type="xsd:double"&gt;12.9806764931532&lt;/D&gt;&lt;D xsi:type="xsd:double"&gt;13.3402986936458&lt;/D&gt;&lt;D xsi:type="xsd:double"&gt;13.4737758636556&lt;/D&gt;&lt;D xsi:type="xsd:double"&gt;13.8257029014134&lt;/D&gt;&lt;D xsi:type="xsd:double"&gt;13.6817457662818&lt;/D&gt;&lt;D xsi:type="xsd:double"&gt;14.7247231882734&lt;/D&gt;&lt;D xsi:type="xsd:double"&gt;14.9412623282234&lt;/D&gt;&lt;D xsi:type="xsd:double"&gt;15.2064965460287&lt;/D&gt;&lt;D xsi:type="xsd:double"&gt;14.9255686402088&lt;/D&gt;&lt;D xsi:type="xsd:double"&gt;14.8135449589263&lt;/D&gt;&lt;D xsi:type="xsd:double"&gt;14.8238939935637&lt;/D&gt;&lt;D xsi:type="xsd:double"&gt;14.7625450017367&lt;/D&gt;&lt;D xsi:type="xsd:double"&gt;14.3961237519146&lt;/D&gt;&lt;D xsi:type="xsd:double"&gt;14.1189711372623&lt;/D&gt;&lt;D xsi:type="xsd:double"&gt;14.4381875628097&lt;/D&gt;&lt;D xsi:type="xsd:double"&gt;14.7829864964564&lt;/D&gt;&lt;D xsi:type="xsd:double"&gt;15.3364769431514&lt;/D&gt;&lt;D xsi:type="xsd:double"&gt;15.4858211094476&lt;/D&gt;&lt;D xsi:type="xsd:double"&gt;15.7795171574538&lt;/D&gt;&lt;D xsi:type="xsd:double"&gt;14.5110322902422&lt;/D&gt;&lt;D xsi:type="xsd:double"&gt;14.1708202911564&lt;/D&gt;&lt;D xsi:type="xsd:double"&gt;14.1656518452382&lt;/D&gt;&lt;D xsi:type="xsd:double"&gt;14.218728192379&lt;/D&gt;&lt;D xsi:type="xsd:double"&gt;14.0145827847019&lt;/D&gt;&lt;D xsi:type="xsd:double"&gt;14.03980804953&lt;/D&gt;&lt;D xsi:type="xsd:double"&gt;13.9935374148392&lt;/D&gt;&lt;D xsi:type="xsd:double"&gt;14.0446504385728&lt;/D&gt;&lt;D xsi:type="xsd:double"&gt;13.32277103392&lt;/D&gt;&lt;D xsi:type="xsd:double"&gt;12.8989868913158&lt;/D&gt;&lt;D xsi:type="xsd:double"&gt;12.1663180402705&lt;/D&gt;&lt;D xsi:type="xsd:double"&gt;12.8123103489956&lt;/D&gt;&lt;D xsi:type="xsd:double"&gt;13.1493923043739&lt;/D&gt;&lt;D xsi:type="xsd:double"&gt;13.2005630975281&lt;/D&gt;&lt;D xsi:type="xsd:double"&gt;13.3621427418646&lt;/D&gt;&lt;D xsi:type="xsd:double"&gt;13.2607367873268&lt;/D&gt;&lt;D xsi:type="xsd:double"&gt;13.3554398586535&lt;/D&gt;&lt;D xsi:type="xsd:double"&gt;13.4795634462159&lt;/D&gt;&lt;D xsi:type="xsd:double"&gt;13.4188966343211&lt;/D&gt;&lt;D xsi:type="xsd:double"&gt;14.0907563177368&lt;/D&gt;&lt;D xsi:type="xsd:double"&gt;14.5270020178307&lt;/D&gt;&lt;D xsi:type="xsd:double"&gt;15.0162720808143&lt;/D&gt;&lt;D xsi:type="xsd:double"&gt;15.5201120480362&lt;/D&gt;&lt;D xsi:type="xsd:double"&gt;15.8690304505981&lt;/D&gt;&lt;D xsi:type="xsd:double"&gt;16.0014112377082&lt;/D&gt;&lt;D xsi:type="xsd:double"&gt;13.39010612496&lt;/D&gt;&lt;D xsi:type="xsd:double"&gt;14.4007909719884&lt;/D&gt;&lt;D xsi:type="xsd:double"&gt;15.6670426303486&lt;/D&gt;&lt;D xsi:type="xsd:double"&gt;17.3731204958216&lt;/D&gt;&lt;D xsi:type="xsd:double"&gt;19.1716911146798&lt;/D&gt;&lt;D xsi:type="xsd:double"&gt;19.564985239149&lt;/D&gt;&lt;D xsi:type="xsd:double"&gt;19.8882731171008&lt;/D&gt;&lt;D xsi:type="xsd:double"&gt;20.1562793656797&lt;/D&gt;&lt;D xsi:type="xsd:double"&gt;21.394292510823&lt;/D&gt;&lt;D xsi:type="xsd:double"&gt;21.1673956342225&lt;/D&gt;&lt;D xsi:type="xsd:double"&gt;22.0026370866519&lt;/D&gt;&lt;D xsi:type="xsd:double"&gt;21.1729328424062&lt;/D&gt;&lt;D xsi:type="xsd:double"&gt;20.1430846940991&lt;/D&gt;&lt;D xsi:type="xsd:double"&gt;19.6773476961001&lt;/D&gt;&lt;D xsi:type="xsd:double"&gt;18.934165677578&lt;/D&gt;&lt;D xsi:type="xsd:double"&gt;18.5481850314866&lt;/D&gt;&lt;D xsi:type="xsd:double"&gt;17.7749175947035&lt;/D&gt;&lt;D xsi:type="xsd:double"&gt;17.0761097049362&lt;/D&gt;&lt;D xsi:type="xsd:double"&gt;16.210972129425&lt;/D&gt;&lt;D xsi:type="xsd:double"&gt;15.757476264145&lt;/D&gt;&lt;D xsi:type="xsd:double"&gt;15.2006001441333&lt;/D&gt;&lt;D xsi:type="xsd:double"&gt;13.9979411771341&lt;/D&gt;&lt;D xsi:type="xsd:double"&gt;13.7881781790228&lt;/D&gt;&lt;D xsi:type="xsd:double"&gt;13.2241279233914&lt;/D&gt;&lt;D xsi:type="xsd:double"&gt;12.4641196396287&lt;/D&gt;&lt;D xsi:type="xsd:double"&gt;12.4153450723187&lt;/D&gt;&lt;D xsi:type="xsd:double"&gt;12.0162600199877&lt;/D&gt;&lt;D xsi:type="xsd:double"&gt;11.6434735514359&lt;/D&gt;&lt;D xsi:type="xsd:double"&gt;11.4939230443404&lt;/D&gt;&lt;D xsi:type="xsd:double"&gt;11.1327435229559&lt;/D&gt;&lt;D xsi:type="xsd:double"&gt;10.5866881649991&lt;/D&gt;&lt;D xsi:type="xsd:double"&gt;10.2603412325875&lt;/D&gt;&lt;D xsi:type="xsd:double"&gt;11.0884594217902&lt;/D&gt;&lt;D xsi:type="xsd:double"&gt;10.6174612033849&lt;/D&gt;&lt;D xsi:type="xsd:double"&gt;11.3054562444387&lt;/D&gt;&lt;D xsi:type="xsd:double"&gt;11.5842236184696&lt;/D&gt;&lt;D xsi:type="xsd:double"&gt;11.3061993027828&lt;/D&gt;&lt;D xsi:type="xsd:double"&gt;11.4441763888659&lt;/D&gt;&lt;D xsi:type="xsd:double"&gt;11.3781754823608&lt;/D&gt;&lt;D xsi:type="xsd:double"&gt;11.2341525176158&lt;/D&gt;&lt;D xsi:type="xsd:double"&gt;11.318513011184&lt;/D&gt;&lt;D xsi:type="xsd:double"&gt;11.0966236614894&lt;/D&gt;&lt;D xsi:type="xsd:double"&gt;11.1558772540419&lt;/D&gt;&lt;D xsi:type="xsd:double"&gt;10.6964156908307&lt;/D&gt;&lt;D xsi:type="xsd:double"&gt;11.3702178911901&lt;/D&gt;&lt;D xsi:type="xsd:double"&gt;11.8955399823031&lt;/D&gt;&lt;D xsi:type="xsd:double"&gt;11.7485907648017&lt;/D&gt;&lt;D xsi:type="xsd:double"&gt;12.1549331583267&lt;/D&gt;&lt;D xsi:type="xsd:double"&gt;12.5220569932486&lt;/D&gt;&lt;/FQL&gt;&lt;FQL&gt;&lt;Q&gt;WL-FDS^FG_PRICE_CHANGE(0,-6AM)&lt;/Q&gt;&lt;R&gt;1&lt;/R&gt;&lt;C&gt;1&lt;/C&gt;&lt;D xsi:type="xsd:double"&gt;-12.6637554585153&lt;/D&gt;&lt;/FQL&gt;&lt;FQL&gt;&lt;Q&gt;NI-FDS^FG_PRICE_CHANGE(0,-6AM)&lt;/Q&gt;&lt;R&gt;1&lt;/R&gt;&lt;C&gt;1&lt;/C&gt;&lt;D xsi:type="xsd:double"&gt;-8.04537061461356&lt;/D&gt;&lt;/FQL&gt;&lt;FQL&gt;&lt;Q&gt;CPALM-FDS^FG_PRICE_CHANGE(0,-6AM)&lt;/Q&gt;&lt;R&gt;1&lt;/R&gt;&lt;C&gt;1&lt;/C&gt;&lt;D xsi:type="xsd:double"&gt;19.2982456140351&lt;/D&gt;&lt;/FQL&gt;&lt;FQL&gt;&lt;Q&gt;BRENT-FDS^FG_PRICE_CHANGE(0,-6AM)&lt;/Q&gt;&lt;R&gt;1&lt;/R&gt;&lt;C&gt;1&lt;/C&gt;&lt;D xsi:type="xsd:double"&gt;-9.91501416430595&lt;/D&gt;&lt;/FQL&gt;&lt;FQL&gt;&lt;Q&gt;TIOS-FDS^FG_PRICE_CHANGE(0,-6AM)&lt;/Q&gt;&lt;R&gt;1&lt;/R&gt;&lt;C&gt;1&lt;/C&gt;&lt;D xsi:type="xsd:double"&gt;-8.83392226148409&lt;/D&gt;&lt;/FQL&gt;&lt;FQL&gt;&lt;Q&gt;EWD^FG_PRICE(0)&lt;/Q&gt;&lt;R&gt;1&lt;/R&gt;&lt;C&gt;1&lt;/C&gt;&lt;D xsi:type="xsd:double"&gt;41.08&lt;/D&gt;&lt;/FQL&gt;&lt;FQL&gt;&lt;Q&gt;QQQ^FG_PRICE(0)&lt;/Q&gt;&lt;R&gt;1&lt;/R&gt;&lt;C&gt;1&lt;/C&gt;&lt;D xsi:type="xsd:double"&gt;445.87&lt;/D&gt;&lt;/FQL&gt;&lt;FQL&gt;&lt;Q&gt;EWG^FG_PRICE(0)&lt;/Q&gt;&lt;R&gt;1&lt;/R&gt;&lt;C&gt;1&lt;/C&gt;&lt;D xsi:type="xsd:double"&gt;31.31&lt;/D&gt;&lt;/FQL&gt;&lt;FQL&gt;&lt;Q&gt;EWQ^FG_COMPANY_NAME&lt;/Q&gt;&lt;R&gt;1&lt;/R&gt;&lt;C&gt;1&lt;/C&gt;&lt;D xsi:type="xsd:string"&gt;iShares MSCI France ETF&lt;/D&gt;&lt;/FQL&gt;&lt;FQL&gt;&lt;Q&gt;EWJ^FG_TOTAL_RETURNC(0,-6AM)&lt;/Q&gt;&lt;R&gt;1&lt;/R&gt;&lt;C&gt;1&lt;/C&gt;&lt;D xsi:type="xsd:double"&gt;18.19315&lt;/D&gt;&lt;/FQL&gt;&lt;FQL&gt;&lt;Q&gt;CC_US^FG_COMPANY_NAME&lt;/Q&gt;&lt;R&gt;1&lt;/R&gt;&lt;C&gt;1&lt;/C&gt;&lt;D xsi:type="xsd:string"&gt;United States&lt;/D&gt;&lt;/FQL&gt;&lt;FQL&gt;&lt;Q&gt;USDITL^FG_COMPANY_NAME&lt;/Q&gt;&lt;R&gt;1&lt;/R&gt;&lt;C&gt;1&lt;/C&gt;&lt;D xsi:type="xsd:string"&gt;Italian Lira per U.S. Dollar&lt;/D&gt;&lt;/FQL&gt;&lt;FQL&gt;&lt;Q&gt;USDANG^FG_COMPANY_NAME&lt;/Q&gt;&lt;R&gt;1&lt;/R&gt;&lt;C&gt;1&lt;/C&gt;&lt;D xsi:type="xsd:string"&gt;Netherlands Antilles Guilder per U.S. Dollar&lt;/D&gt;&lt;/FQL&gt;&lt;FQL&gt;&lt;Q&gt;USDUSD^FG_COMPANY_NAME&lt;/Q&gt;&lt;R&gt;1&lt;/R&gt;&lt;C&gt;1&lt;/C&gt;&lt;D xsi:type="xsd:string"&gt;U.S. Dollar per U.S. Dollar&lt;/D&gt;&lt;/FQL&gt;&lt;FQL&gt;&lt;Q&gt;USDGBP^FG_COMPANY_NAME&lt;/Q&gt;&lt;R&gt;1&lt;/R&gt;&lt;C&gt;1&lt;/C&gt;&lt;D xsi:type="xsd:string"&gt;British Pounds per U.S. Dollar&lt;/D&gt;&lt;/FQL&gt;&lt;FQL&gt;&lt;Q&gt;USDJPY^FG_COMPANY_NAME&lt;/Q&gt;&lt;R&gt;1&lt;/R&gt;&lt;C&gt;1&lt;/C&gt;&lt;D xsi:type="xsd:string"&gt;Japanese Yen per U.S. Dollar&lt;/D&gt;&lt;/FQL&gt;&lt;FQL&gt;&lt;Q&gt;USDCAD^FG_COMPANY_NAME&lt;/Q&gt;&lt;R&gt;1&lt;/R&gt;&lt;C&gt;1&lt;/C&gt;&lt;D xsi:type="xsd:string"&gt;Canadian Dollar per U.S. Dollar&lt;/D&gt;&lt;/FQL&gt;&lt;FQL&gt;&lt;Q&gt;USDNZD^FG_COMPANY_NAME&lt;/Q&gt;&lt;R&gt;1&lt;/R&gt;&lt;C&gt;1&lt;/C&gt;&lt;D xsi:type="xsd:string"&gt;New Zealand Dollar per U.S. Dollar&lt;/D&gt;&lt;/FQL&gt;&lt;FQL&gt;&lt;Q&gt;EWD^P_PRICE_RETURNS_PR('52W',2,-10AY,0,AM)&lt;/Q&gt;&lt;R&gt;121&lt;/R&gt;&lt;C&gt;1&lt;/C&gt;&lt;D xsi:type="xsd:double"&gt;16.925632&lt;/D&gt;&lt;D xsi:type="xsd:double"&gt;20.049404&lt;/D&gt;&lt;D xsi:type="xsd:double"&gt;14.180183&lt;/D&gt;&lt;D xsi:type="xsd:double"&gt;21.263277&lt;/D&gt;&lt;D xsi:type="xsd:double"&gt;9.790266&lt;/D&gt;&lt;D xsi:type="xsd:double"&gt;9.043348&lt;/D&gt;&lt;D xsi:type="xsd:double"&gt;-1.2363315&lt;/D&gt;&lt;D xsi:type="xsd:double"&gt;-6.430042&lt;/D&gt;&lt;D xsi:type="xsd:double"&gt;2.028811&lt;/D&gt;&lt;D xsi:type="xsd:double"&gt;-2.0955682&lt;/D&gt;&lt;D xsi:type="xsd:double"&gt;-9.651768&lt;/D&gt;&lt;D xsi:type="xsd:double"&gt;0.68985224&lt;/D&gt;&lt;D xsi:type="xsd:double"&gt;-2.8844237&lt;/D&gt;&lt;D xsi:type="xsd:double"&gt;-1.3994157&lt;/D&gt;&lt;D xsi:type="xsd:double"&gt;-3.7152827&lt;/D&gt;&lt;D xsi:type="xsd:double"&gt;-3.3328354&lt;/D&gt;&lt;D xsi:type="xsd:double"&gt;-1.0875762&lt;/D&gt;&lt;D xsi:type="xsd:double"&gt;-8.551968&lt;/D&gt;&lt;D xsi:type="xsd:double"&gt;-8.229918&lt;/D&gt;&lt;D xsi:type="xsd:double"&gt;-2.031362&lt;/D&gt;&lt;D xsi:type="xsd:double"&gt;-5.1868796&lt;/D&gt;&lt;D xsi:type="xsd:double"&gt;-6.770134&lt;/D&gt;&lt;D xsi:type="xsd:double"&gt;-12.602639&lt;/D&gt;&lt;D xsi:type="xsd:double"&gt;-14.968318&lt;/D&gt;&lt;D xsi:type="xsd:double"&gt;-10.510039&lt;/D&gt;&lt;D xsi:type="xsd:double"&gt;-6.9961843&lt;/D&gt;&lt;D xsi:type="xsd:double"&gt;-12.860149&lt;/D&gt;&lt;D xsi:type="xsd:double"&gt;-10.652465&lt;/D&gt;&lt;D xsi:type="xsd:double"&gt;-12.059027&lt;/D&gt;&lt;D xsi:type="xsd:double"&gt;-3.9243698&lt;/D&gt;&lt;D xsi:type="xsd:double"&gt;0.7060766&lt;/D&gt;&lt;D xsi:type="xsd:double"&gt;-1.0098636&lt;/D&gt;&lt;D xsi:type="xsd:double"&gt;-4.147702&lt;/D&gt;&lt;D xsi:type="xsd:double"&gt;2.6423693&lt;/D&gt;&lt;D xsi:type="xsd:double"&gt;18.392586&lt;/D&gt;&lt;D xsi:type="xsd:double"&gt;16.3684&lt;/D&gt;&lt;D xsi:type="xsd:double"&gt;11.150063&lt;/D&gt;&lt;D xsi:type="xsd:double"&gt;6.1112165&lt;/D&gt;&lt;D xsi:type="xsd:double"&gt;23.29929&lt;/D&gt;&lt;D xsi:type="xsd:double"&gt;20.526386&lt;/D&gt;&lt;D xsi:type="xsd:double"&gt;26.376045&lt;/D&gt;&lt;D xsi:type="xsd:double"&gt;19.484747&lt;/D&gt;&lt;D xsi:type="xsd:double"&gt;26.073349&lt;/D&gt;&lt;D xsi:type="xsd:double"&gt;30.303038&lt;/D&gt;&lt;D xsi:type="xsd:double"&gt;28.46322&lt;/D&gt;&lt;D xsi:type="xsd:double"&gt;23.075533&lt;/D&gt;&lt;D xsi:type="xsd:double"&gt;27.855253&lt;/D&gt;&lt;D xsi:type="xsd:double"&gt;14.9276495&lt;/D&gt;&lt;D xsi:type="xsd:double"&gt;12.040305&lt;/D&gt;&lt;D xsi:type="xsd:double"&gt;12.279928&lt;/D&gt;&lt;D xsi:type="xsd:double"&gt;5.005276&lt;/D&gt;&lt;D xsi:type="xsd:double"&gt;-2.831763&lt;/D&gt;&lt;D xsi:type="xsd:double"&gt;-3.930217&lt;/D&gt;&lt;D xsi:type="xsd:double"&gt;-0.89345574&lt;/D&gt;&lt;D xsi:type="xsd:double"&gt;-1.4743268&lt;/D&gt;&lt;D xsi:type="xsd:double"&gt;-12.184745&lt;/D&gt;&lt;D xsi:type="xsd:double"&gt;-12.932533&lt;/D&gt;&lt;D xsi:type="xsd:double"&gt;-16.03073&lt;/D&gt;&lt;D xsi:type="xsd:double"&gt;-14.101612&lt;/D&gt;&lt;D xsi:type="xsd:double"&gt;-9.370303&lt;/D&gt;&lt;D xsi:type="xsd:double"&gt;-3.4519494&lt;/D&gt;&lt;D xsi:type="xsd:double"&gt;1.3731122&lt;/D&gt;&lt;D xsi:type="xsd:double"&gt;-7.340002&lt;/D&gt;&lt;D xsi:type="xsd:double"&gt;3.3981323&lt;/D&gt;&lt;D xsi:type="xsd:double"&gt;0.093984604&lt;/D&gt;&lt;D xsi:type="xsd:double"&gt;-7.577312&lt;/D&gt;&lt;D xsi:type="xsd:double"&gt;-5.9595227&lt;/D&gt;&lt;D xsi:type="xsd:double"&gt;8.34173&lt;/D&gt;&lt;D xsi:type="xsd:double"&gt;13.683594&lt;/D&gt;&lt;D xsi:type="xsd:double"&gt;24.912071&lt;/D&gt;&lt;D xsi:type="xsd:double"&gt;18.10043&lt;/D&gt;&lt;D xsi:type="xsd:double"&gt;17.627144&lt;/D&gt;&lt;D xsi:type="xsd:double"&gt;-27.132719&lt;/D&gt;&lt;D xsi:type="xsd:double"&gt;-18.51995&lt;/D&gt;&lt;D xsi:type="xsd:double"&gt;-3.2337248&lt;/D&gt;&lt;D xsi:type="xsd:double"&gt;2.78548&lt;/D&gt;&lt;D xsi:type="xsd:double"&gt;16.077364&lt;/D&gt;&lt;D xsi:type="xsd:double"&gt;25.65111&lt;/D&gt;&lt;D xsi:type="xsd:double"&gt;18.219137&lt;/D&gt;&lt;D xsi:type="xsd:double"&gt;17.410099&lt;/D&gt;&lt;D xsi:type="xsd:double"&gt;25.774061&lt;/D&gt;&lt;D xsi:type="xsd:double"&gt;20.693016&lt;/D&gt;&lt;D xsi:type="xsd:double"&gt;27.798153&lt;/D&gt;&lt;D xsi:type="xsd:double"&gt;29.49537&lt;/D&gt;&lt;D xsi:type="xsd:double"&gt;96.535194&lt;/D&gt;&lt;D xsi:type="xsd:double"&gt;88.173904&lt;/D&gt;&lt;D xsi:type="xsd:double"&gt;72.496056&lt;/D&gt;&lt;D xsi:type="xsd:double"&gt;57.296097&lt;/D&gt;&lt;D xsi:type="xsd:double"&gt;40.464436&lt;/D&gt;&lt;D xsi:type="xsd:double"&gt;38.064148&lt;/D&gt;&lt;D xsi:type="xsd:double"&gt;34.30855&lt;/D&gt;&lt;D xsi:type="xsd:double"&gt;36.65359&lt;/D&gt;&lt;D xsi:type="xsd:double"&gt;25.656342&lt;/D&gt;&lt;D xsi:type="xsd:double"&gt;18.168413&lt;/D&gt;&lt;D xsi:type="xsd:double"&gt;5.8457613&lt;/D&gt;&lt;D xsi:type="xsd:double"&gt;-2.326101&lt;/D&gt;&lt;D xsi:type="xsd:double"&gt;-6.6150546&lt;/D&gt;&lt;D xsi:type="xsd:double"&gt;-14.446759&lt;/D&gt;&lt;D xsi:type="xsd:double"&gt;-23.684782&lt;/D&gt;&lt;D xsi:type="xsd:double"&gt;-28.250677&lt;/D&gt;&lt;D xsi:type="xsd:double"&gt;-26.714098&lt;/D&gt;&lt;D xsi:type="xsd:double"&gt;-26.44139&lt;/D&gt;&lt;D xsi:type="xsd:double"&gt;-34.684063&lt;/D&gt;&lt;D xsi:type="xsd:double"&gt;-37.448647&lt;/D&gt;&lt;D xsi:type="xsd:double"&gt;-28.090637&lt;/D&gt;&lt;D xsi:type="xsd:double"&gt;-23.605942&lt;/D&gt;&lt;D xsi:type="xsd:double"&gt;-14.970589&lt;/D&gt;&lt;D xsi:type="xsd:double"&gt;-7.2367487&lt;/D&gt;&lt;D xsi:type="xsd:double"&gt;-9.835995&lt;/D&gt;&lt;D xsi:type="xsd:double"&gt;-1.7357349&lt;/D&gt;&lt;D xsi:type="xsd:double"&gt;7.1743965&lt;/D&gt;&lt;D xsi:type="xsd:double"&gt;11.955965&lt;/D&gt;&lt;D xsi:type="xsd:double"&gt;10.412931&lt;/D&gt;&lt;D xsi:type="xsd:double"&gt;2.0529866&lt;/D&gt;&lt;D xsi:type="xsd:double"&gt;16.408073&lt;/D&gt;&lt;D xsi:type="xsd:double"&gt;15.104771&lt;/D&gt;&lt;D xsi:type="xsd:double"&gt;10.647535&lt;/D&gt;&lt;D xsi:type="xsd:double"&gt;22.224463&lt;/D&gt;&lt;D xsi:type="xsd:double"&gt;7.087028&lt;/D&gt;&lt;D xsi:type="xsd:double"&gt;12.404466&lt;/D&gt;&lt;D xsi:type="xsd:double"&gt;22.403145&lt;/D&gt;&lt;/FQL&gt;&lt;FQL&gt;&lt;Q&gt;EWQ^FG_TOTAL_RETURNC(-10AY,0,AM)&lt;/Q&gt;&lt;R&gt;121&lt;/R&gt;&lt;C&gt;1&lt;/C&gt;&lt;D xsi:type="xsd:double"&gt;-0.76416135&lt;/D&gt;&lt;D xsi:type="xsd:double"&gt;3.6401868&lt;/D&gt;&lt;D xsi:type="xsd:double"&gt;0.7092118&lt;/D&gt;&lt;D xsi:type="xsd:double"&gt;1.3749123&lt;/D&gt;&lt;D xsi:type="xsd:double"&gt;-5.268902&lt;/D&gt;&lt;D xsi:type="xsd:double"&gt;-2.745092&lt;/D&gt;&lt;D xsi:type="xsd:double"&gt;0.256598&lt;/D&gt;&lt;D xsi:type="xsd:double"&gt;-8.117008&lt;/D&gt;&lt;D xsi:type="xsd:double"&gt;3.02428&lt;/D&gt;&lt;D xsi:type="xsd:double"&gt;-2.4629354&lt;/D&gt;&lt;D xsi:type="xsd:double"&gt;-0.23971796&lt;/D&gt;&lt;D xsi:type="xsd:double"&gt;6.8081737&lt;/D&gt;&lt;D xsi:type="xsd:double"&gt;-0.93738437&lt;/D&gt;&lt;D xsi:type="xsd:double"&gt;1.8168092&lt;/D&gt;&lt;D xsi:type="xsd:double"&gt;3.345728&lt;/D&gt;&lt;D xsi:type="xsd:double"&gt;-4.064745&lt;/D&gt;&lt;D xsi:type="xsd:double"&gt;2.111268&lt;/D&gt;&lt;D xsi:type="xsd:double"&gt;-6.1239777&lt;/D&gt;&lt;D xsi:type="xsd:double"&gt;-2.0286381&lt;/D&gt;&lt;D xsi:type="xsd:double"&gt;3.6946893&lt;/D&gt;&lt;D xsi:type="xsd:double"&gt;-1.4095545&lt;/D&gt;&lt;D xsi:type="xsd:double"&gt;-3.8433254&lt;/D&gt;&lt;D xsi:type="xsd:double"&gt;-8.47525&lt;/D&gt;&lt;D xsi:type="xsd:double"&gt;3.2608628&lt;/D&gt;&lt;D xsi:type="xsd:double"&gt;6.4035177&lt;/D&gt;&lt;D xsi:type="xsd:double"&gt;2.802968&lt;/D&gt;&lt;D xsi:type="xsd:double"&gt;-3.5284698&lt;/D&gt;&lt;D xsi:type="xsd:double"&gt;1.6209483&lt;/D&gt;&lt;D xsi:type="xsd:double"&gt;-2.7079403&lt;/D&gt;&lt;D xsi:type="xsd:double"&gt;4.0103555&lt;/D&gt;&lt;D xsi:type="xsd:double"&gt;-0.414598&lt;/D&gt;&lt;D xsi:type="xsd:double"&gt;-0.37468672&lt;/D&gt;&lt;D xsi:type="xsd:double"&gt;-2.1312177&lt;/D&gt;&lt;D xsi:type="xsd:double"&gt;4.3017983&lt;/D&gt;&lt;D xsi:type="xsd:double"&gt;3.451109&lt;/D&gt;&lt;D xsi:type="xsd:double"&gt;-0.79428554&lt;/D&gt;&lt;D xsi:type="xsd:double"&gt;4.4835925&lt;/D&gt;&lt;D xsi:type="xsd:double"&gt;1.1877418&lt;/D&gt;&lt;D xsi:type="xsd:double"&gt;11.170017&lt;/D&gt;&lt;D xsi:type="xsd:double"&gt;-0.2460599&lt;/D&gt;&lt;D xsi:type="xsd:double"&gt;2.0840526&lt;/D&gt;&lt;D xsi:type="xsd:double"&gt;0.03402233&lt;/D&gt;&lt;D xsi:type="xsd:double"&gt;4.6938777&lt;/D&gt;&lt;D xsi:type="xsd:double"&gt;0.8447051&lt;/D&gt;&lt;D xsi:type="xsd:double"&gt;-0.54768324&lt;/D&gt;&lt;D xsi:type="xsd:double"&gt;1.4087081&lt;/D&gt;&lt;D xsi:type="xsd:double"&gt;6.1839223&lt;/D&gt;&lt;D xsi:type="xsd:double"&gt;-4.103798&lt;/D&gt;&lt;D xsi:type="xsd:double"&gt;-0.3776014&lt;/D&gt;&lt;D xsi:type="xsd:double"&gt;3.3480763&lt;/D&gt;&lt;D xsi:type="xsd:double"&gt;0.67236423&lt;/D&gt;&lt;D xsi:type="xsd:double"&gt;-5.566108&lt;/D&gt;&lt;D xsi:type="xsd:double"&gt;2.6583552&lt;/D&gt;&lt;D xsi:type="xsd:double"&gt;-1.214838&lt;/D&gt;&lt;D xsi:type="xsd:double"&gt;2.8802633&lt;/D&gt;&lt;D xsi:type="xsd:double"&gt;-8.870721&lt;/D&gt;&lt;D xsi:type="xsd:double"&gt;-3.6934733&lt;/D&gt;&lt;D xsi:type="xsd:double"&gt;-6.4894915&lt;/D&gt;&lt;D xsi:type="xsd:double"&gt;5.082798&lt;/D&gt;&lt;D xsi:type="xsd:double"&gt;6.009519&lt;/D&gt;&lt;D xsi:type="xsd:double"&gt;4.0788174&lt;/D&gt;&lt;D xsi:type="xsd:double"&gt;2.2251725&lt;/D&gt;&lt;D xsi:type="xsd:double"&gt;-3.151399&lt;/D&gt;&lt;D xsi:type="xsd:double"&gt;4.7484875&lt;/D&gt;&lt;D xsi:type="xsd:double"&gt;-0.19691586&lt;/D&gt;&lt;D xsi:type="xsd:double"&gt;-3.5843492&lt;/D&gt;&lt;D xsi:type="xsd:double"&gt;3.7176013&lt;/D&gt;&lt;D xsi:type="xsd:double"&gt;0.9207487&lt;/D&gt;&lt;D xsi:type="xsd:double"&gt;3.1932235&lt;/D&gt;&lt;D xsi:type="xsd:double"&gt;2.3646593&lt;/D&gt;&lt;D xsi:type="xsd:double"&gt;0.71098804&lt;/D&gt;&lt;D xsi:type="xsd:double"&gt;-1.503998&lt;/D&gt;&lt;D xsi:type="xsd:double"&gt;-36.210663&lt;/D&gt;&lt;D xsi:type="xsd:double"&gt;13.727415&lt;/D&gt;&lt;D xsi:type="xsd:double"&gt;3.5223365&lt;/D&gt;&lt;D xsi:type="xsd:double"&gt;12.72341&lt;/D&gt;&lt;D xsi:type="xsd:double"&gt;7.2619557&lt;/D&gt;&lt;D xsi:type="xsd:double"&gt;-0.587219&lt;/D&gt;&lt;D xsi:type="xsd:double"&gt;-2.362752&lt;/D&gt;&lt;D xsi:type="xsd:double"&gt;1.7081857&lt;/D&gt;&lt;D xsi:type="xsd:double"&gt;13.086069&lt;/D&gt;&lt;D xsi:type="xsd:double"&gt;2.0496845&lt;/D&gt;&lt;D xsi:type="xsd:double"&gt;2.681291&lt;/D&gt;&lt;D xsi:type="xsd:double"&gt;1.9881248&lt;/D&gt;&lt;D xsi:type="xsd:double"&gt;1.8620849&lt;/D&gt;&lt;D xsi:type="xsd:double"&gt;5.2556396&lt;/D&gt;&lt;D xsi:type="xsd:double"&gt;4.233384&lt;/D&gt;&lt;D xsi:type="xsd:double"&gt;1.1960149&lt;/D&gt;&lt;D xsi:type="xsd:double"&gt;-2.731526&lt;/D&gt;&lt;D xsi:type="xsd:double"&gt;1.5512228&lt;/D&gt;&lt;D xsi:type="xsd:double"&gt;-0.47405958&lt;/D&gt;&lt;D xsi:type="xsd:double"&gt;2.3021936&lt;/D&gt;&lt;D xsi:type="xsd:double"&gt;2.302122&lt;/D&gt;&lt;D xsi:type="xsd:double"&gt;-1.6768873&lt;/D&gt;&lt;D xsi:type="xsd:double"&gt;0.5285382&lt;/D&gt;&lt;D xsi:type="xsd:double"&gt;-1.3932765&lt;/D&gt;&lt;D xsi:type="xsd:double"&gt;-7.491332&lt;/D&gt;&lt;D xsi:type="xsd:double"&gt;-0.14408827&lt;/D&gt;&lt;D xsi:type="xsd:double"&gt;-5.6854305&lt;/D&gt;&lt;D xsi:type="xsd:double"&gt;-5.0519524&lt;/D&gt;&lt;D xsi:type="xsd:double"&gt;1.5262127&lt;/D&gt;&lt;D xsi:type="xsd:double"&gt;2.908492&lt;/D&gt;&lt;D xsi:type="xsd:double"&gt;-10.25722&lt;/D&gt;&lt;D xsi:type="xsd:double"&gt;1.9815922&lt;/D&gt;&lt;D xsi:type="xsd:double"&gt;13.150597&lt;/D&gt;&lt;D xsi:type="xsd:double"&gt;2.515006&lt;/D&gt;&lt;D xsi:type="xsd:double"&gt;9.546685&lt;/D&gt;&lt;D xsi:type="xsd:double"&gt;1.2332082&lt;/D&gt;&lt;D xsi:type="xsd:double"&gt;-0.94747543&lt;/D&gt;&lt;D xsi:type="xsd:double"&gt;8.526921&lt;/D&gt;&lt;D xsi:type="xsd:double"&gt;-1.6368628&lt;/D&gt;&lt;D xsi:type="xsd:double"&gt;-1.0099351&lt;/D&gt;&lt;D xsi:type="xsd:double"&gt;4.2570114&lt;/D&gt;&lt;D xsi:type="xsd:double"&gt;-5.24981&lt;/D&gt;&lt;D xsi:type="xsd:double"&gt;-3.2387555&lt;/D&gt;&lt;D xsi:type="xsd:double"&gt;-5.7814655&lt;/D&gt;&lt;D xsi:type="xsd:double"&gt;9.453893&lt;/D&gt;&lt;D xsi:type="xsd:double"&gt;5.7810664&lt;/D&gt;&lt;D xsi:type="xsd:double"&gt;-3.2159328&lt;/D&gt;&lt;D xsi:type="xsd:double"&gt;4.7204614&lt;/D&gt;&lt;D xsi:type="xsd:double"&gt;4.155123&lt;/D&gt;&lt;/FQL&gt;&lt;FQL&gt;&lt;Q&gt;QQQ^FMA_DIV_YLD(NTMA,-10AY,0,AM,"PORTAGG","MEANR")&lt;/Q&gt;&lt;R&gt;121&lt;/R&gt;&lt;C&gt;1&lt;/C&gt;&lt;D xsi:type="xsd:double"&gt;1.38534582717674&lt;/D&gt;&lt;D xsi:type="xsd:double"&gt;1.41565675651319&lt;/D&gt;&lt;D xsi:type="xsd:double"&gt;1.34494655998774&lt;/D&gt;&lt;D xsi:type="xsd:double"&gt;1.2941685271334&lt;/D&gt;&lt;D xsi:type="xsd:double"&gt;1.24622798040882&lt;/D&gt;&lt;D xsi:type="xsd:double"&gt;1.21949181954911&lt;/D&gt;&lt;D xsi:type="xsd:double"&gt;1.22440761678877&lt;/D&gt;&lt;D xsi:type="xsd:double"&gt;1.27515306163191&lt;/D&gt;&lt;D xsi:type="xsd:double"&gt;1.21062848824627&lt;/D&gt;&lt;D xsi:type="xsd:double"&gt;1.21262839079642&lt;/D&gt;&lt;D xsi:type="xsd:double"&gt;1.22290965617192&lt;/D&gt;&lt;D xsi:type="xsd:double"&gt;1.21085807847868&lt;/D&gt;&lt;D xsi:type="xsd:double"&gt;1.23755863087303&lt;/D&gt;&lt;D xsi:type="xsd:double"&gt;1.25214882800097&lt;/D&gt;&lt;D xsi:type="xsd:double"&gt;1.23049546013423&lt;/D&gt;&lt;D xsi:type="xsd:double"&gt;1.24148679635537&lt;/D&gt;&lt;D xsi:type="xsd:double"&gt;1.21337669801828&lt;/D&gt;&lt;D xsi:type="xsd:double"&gt;1.38585063306433&lt;/D&gt;&lt;D xsi:type="xsd:double"&gt;1.34754999645467&lt;/D&gt;&lt;D xsi:type="xsd:double"&gt;1.32732589887072&lt;/D&gt;&lt;D xsi:type="xsd:double"&gt;1.27355972719427&lt;/D&gt;&lt;D xsi:type="xsd:double"&gt;1.30506448773577&lt;/D&gt;&lt;D xsi:type="xsd:double"&gt;1.40060596334466&lt;/D&gt;&lt;D xsi:type="xsd:double"&gt;1.41946530413245&lt;/D&gt;&lt;D xsi:type="xsd:double"&gt;1.34745993113556&lt;/D&gt;&lt;D xsi:type="xsd:double"&gt;1.32569373184659&lt;/D&gt;&lt;D xsi:type="xsd:double"&gt;1.38887128607851&lt;/D&gt;&lt;D xsi:type="xsd:double"&gt;1.36307527822762&lt;/D&gt;&lt;D xsi:type="xsd:double"&gt;1.31184083582249&lt;/D&gt;&lt;D xsi:type="xsd:double"&gt;1.2768836189723&lt;/D&gt;&lt;D xsi:type="xsd:double"&gt;1.26458114234243&lt;/D&gt;&lt;D xsi:type="xsd:double"&gt;1.26438502357683&lt;/D&gt;&lt;D xsi:type="xsd:double"&gt;1.28127676871053&lt;/D&gt;&lt;D xsi:type="xsd:double"&gt;1.27752854989474&lt;/D&gt;&lt;D xsi:type="xsd:double"&gt;1.2548676233177&lt;/D&gt;&lt;D xsi:type="xsd:double"&gt;1.21729483650758&lt;/D&gt;&lt;D xsi:type="xsd:double"&gt;1.22615871422933&lt;/D&gt;&lt;D xsi:type="xsd:double"&gt;1.21399718521173&lt;/D&gt;&lt;D xsi:type="xsd:double"&gt;1.18279691794141&lt;/D&gt;&lt;D xsi:type="xsd:double"&gt;1.16782878735106&lt;/D&gt;&lt;D xsi:type="xsd:double"&gt;1.16400040363875&lt;/D&gt;&lt;D xsi:type="xsd:double"&gt;1.19955614496651&lt;/D&gt;&lt;D xsi:type="xsd:double"&gt;1.1704047003371&lt;/D&gt;&lt;D xsi:type="xsd:double"&gt;1.14200520907822&lt;/D&gt;&lt;D xsi:type="xsd:double"&gt;1.09983457164492&lt;/D&gt;&lt;D xsi:type="xsd:double"&gt;1.08633211726086&lt;/D&gt;&lt;D xsi:type="xsd:double"&gt;1.03594553405841&lt;/D&gt;&lt;D xsi:type="xsd:double"&gt;1.07820464443266&lt;/D&gt;&lt;D xsi:type="xsd:double"&gt;1.0720606389752&lt;/D&gt;&lt;D xsi:type="xsd:double"&gt;1.11608613283126&lt;/D&gt;&lt;D xsi:type="xsd:double"&gt;1.09242748946046&lt;/D&gt;&lt;D xsi:type="xsd:double"&gt;1.04629273985359&lt;/D&gt;&lt;D xsi:type="xsd:double"&gt;1.03757147392802&lt;/D&gt;&lt;D xsi:type="xsd:double"&gt;1.08191145285751&lt;/D&gt;&lt;D xsi:type="xsd:double"&gt;1.07475794369408&lt;/D&gt;&lt;D xsi:type="xsd:double"&gt;1.14774033501963&lt;/D&gt;&lt;D xsi:type="xsd:double"&gt;1.25427622267547&lt;/D&gt;&lt;D xsi:type="xsd:double"&gt;1.39748880191207&lt;/D&gt;&lt;D xsi:type="xsd:double"&gt;1.23608899103476&lt;/D&gt;&lt;D xsi:type="xsd:double"&gt;1.20292794327789&lt;/D&gt;&lt;D xsi:type="xsd:double"&gt;1.11883333084187&lt;/D&gt;&lt;D xsi:type="xsd:double"&gt;1.10041734651795&lt;/D&gt;&lt;D xsi:type="xsd:double"&gt;1.14370696924894&lt;/D&gt;&lt;D xsi:type="xsd:double"&gt;1.10862383835309&lt;/D&gt;&lt;D xsi:type="xsd:double"&gt;1.09598703955693&lt;/D&gt;&lt;D xsi:type="xsd:double"&gt;1.11031706741651&lt;/D&gt;&lt;D xsi:type="xsd:double"&gt;1.10363322297679&lt;/D&gt;&lt;D xsi:type="xsd:double"&gt;1.0944870241377&lt;/D&gt;&lt;D xsi:type="xsd:double"&gt;1.08698695235324&lt;/D&gt;&lt;D xsi:type="xsd:double"&gt;1.04853665449997&lt;/D&gt;&lt;D xsi:type="xsd:double"&gt;1.00281296175189&lt;/D&gt;&lt;D xsi:type="xsd:double"&gt;0.978235596471824&lt;/D&gt;&lt;D xsi:type="xsd:double"&gt;1.32792636205067&lt;/D&gt;&lt;D xsi:type="xsd:double"&gt;1.09883715774454&lt;/D&gt;&lt;D xsi:type="xsd:double"&gt;0.968900594344685&lt;/D&gt;&lt;D xsi:type="xsd:double"&gt;0.90847114016676&lt;/D&gt;&lt;D xsi:type="xsd:double"&gt;0.843498209189061&lt;/D&gt;&lt;D xsi:type="xsd:double"&gt;0.792337460302834&lt;/D&gt;&lt;D xsi:type="xsd:double"&gt;0.832459554983581&lt;/D&gt;&lt;D xsi:type="xsd:double"&gt;0.795117771426531&lt;/D&gt;&lt;D xsi:type="xsd:double"&gt;0.778282291855565&lt;/D&gt;&lt;D xsi:type="xsd:double"&gt;0.773241389200234&lt;/D&gt;&lt;D xsi:type="xsd:double"&gt;0.737787363573413&lt;/D&gt;&lt;D xsi:type="xsd:double"&gt;0.734634684258341&lt;/D&gt;&lt;D xsi:type="xsd:double"&gt;0.780101182306347&lt;/D&gt;&lt;D xsi:type="xsd:double"&gt;0.723636420501312&lt;/D&gt;&lt;D xsi:type="xsd:double"&gt;0.754184633396296&lt;/D&gt;&lt;D xsi:type="xsd:doubl</t>
        </r>
      </text>
    </comment>
    <comment ref="A5" authorId="0" shapeId="0" xr:uid="{C18E4705-118E-4D68-860D-71259FA12C61}">
      <text>
        <r>
          <rPr>
            <b/>
            <sz val="9"/>
            <color indexed="81"/>
            <rFont val="Tahoma"/>
            <charset val="1"/>
          </rPr>
          <t>e"&gt;0.722590783273914&lt;/D&gt;&lt;D xsi:type="xsd:double"&gt;0.706333611707047&lt;/D&gt;&lt;D xsi:type="xsd:double"&gt;0.701102174721882&lt;/D&gt;&lt;D xsi:type="xsd:double"&gt;0.708490721243544&lt;/D&gt;&lt;D xsi:type="xsd:double"&gt;0.693359942899716&lt;/D&gt;&lt;D xsi:type="xsd:double"&gt;0.651930343782798&lt;/D&gt;&lt;D xsi:type="xsd:double"&gt;0.680474276617083&lt;/D&gt;&lt;D xsi:type="xsd:double"&gt;0.759047336046003&lt;/D&gt;&lt;D xsi:type="xsd:double"&gt;0.79323892732331&lt;/D&gt;&lt;D xsi:type="xsd:double"&gt;0.781410618778117&lt;/D&gt;&lt;D xsi:type="xsd:double"&gt;0.82396239791926&lt;/D&gt;&lt;D xsi:type="xsd:double"&gt;0.960021454172138&lt;/D&gt;&lt;D xsi:type="xsd:double"&gt;0.990276333879625&lt;/D&gt;&lt;D xsi:type="xsd:double"&gt;0.915103523735224&lt;/D&gt;&lt;D xsi:type="xsd:double"&gt;0.875066653184596&lt;/D&gt;&lt;D xsi:type="xsd:double"&gt;1.00466843574871&lt;/D&gt;&lt;D xsi:type="xsd:double"&gt;1.04299003460977&lt;/D&gt;&lt;D xsi:type="xsd:double"&gt;1.02604027790371&lt;/D&gt;&lt;D xsi:type="xsd:double"&gt;1.00964368912099&lt;/D&gt;&lt;D xsi:type="xsd:double"&gt;0.982861555200383&lt;/D&gt;&lt;D xsi:type="xsd:double"&gt;0.959740731918904&lt;/D&gt;&lt;D xsi:type="xsd:double"&gt;0.912567151517503&lt;/D&gt;&lt;D xsi:type="xsd:double"&gt;0.89673545403118&lt;/D&gt;&lt;D xsi:type="xsd:double"&gt;0.83051111544595&lt;/D&gt;&lt;D xsi:type="xsd:double"&gt;0.778028755375808&lt;/D&gt;&lt;D xsi:type="xsd:double"&gt;0.754772780344287&lt;/D&gt;&lt;D xsi:type="xsd:double"&gt;0.904812894120403&lt;/D&gt;&lt;D xsi:type="xsd:double"&gt;0.933613164794251&lt;/D&gt;&lt;D xsi:type="xsd:double"&gt;0.960941234185206&lt;/D&gt;&lt;D xsi:type="xsd:double"&gt;0.889768258310414&lt;/D&gt;&lt;D xsi:type="xsd:double"&gt;0.920575758087312&lt;/D&gt;&lt;D xsi:type="xsd:double"&gt;0.891168641991215&lt;/D&gt;&lt;D xsi:type="xsd:double"&gt;0.903020763757148&lt;/D&gt;&lt;D xsi:type="xsd:double"&gt;0.883810126702373&lt;/D&gt;&lt;/FQL&gt;&lt;FQL&gt;&lt;Q&gt;EWL^FMA_PE(NTMA,-10AY,0,AM,"PORTAGG","MEANR")&lt;/Q&gt;&lt;R&gt;121&lt;/R&gt;&lt;C&gt;1&lt;/C&gt;&lt;D xsi:type="xsd:double"&gt;15.7425425467695&lt;/D&gt;&lt;D xsi:type="xsd:double"&gt;16.0062861303051&lt;/D&gt;&lt;D xsi:type="xsd:double"&gt;16.3922511124425&lt;/D&gt;&lt;D xsi:type="xsd:double"&gt;16.3420024175951&lt;/D&gt;&lt;D xsi:type="xsd:double"&gt;15.919625301387&lt;/D&gt;&lt;D xsi:type="xsd:double"&gt;16.0529847285552&lt;/D&gt;&lt;D xsi:type="xsd:double"&gt;16.1897100214925&lt;/D&gt;&lt;D xsi:type="xsd:double"&gt;15.2196588468785&lt;/D&gt;&lt;D xsi:type="xsd:double"&gt;16.259563260335&lt;/D&gt;&lt;D xsi:type="xsd:double"&gt;15.8136684895989&lt;/D&gt;&lt;D xsi:type="xsd:double"&gt;15.5015514454588&lt;/D&gt;&lt;D xsi:type="xsd:double"&gt;17.40947998589&lt;/D&gt;&lt;D xsi:type="xsd:double"&gt;18.1262175954562&lt;/D&gt;&lt;D xsi:type="xsd:double"&gt;18.120703845295&lt;/D&gt;&lt;D xsi:type="xsd:double"&gt;17.9850218657059&lt;/D&gt;&lt;D xsi:type="xsd:double"&gt;17.0379215650683&lt;/D&gt;&lt;D xsi:type="xsd:double"&gt;17.7110269507402&lt;/D&gt;&lt;D xsi:type="xsd:double"&gt;16.5872289185066&lt;/D&gt;&lt;D xsi:type="xsd:double"&gt;16.468348712471&lt;/D&gt;&lt;D xsi:type="xsd:double"&gt;16.4918263532886&lt;/D&gt;&lt;D xsi:type="xsd:double"&gt;17.0437286820462&lt;/D&gt;&lt;D xsi:type="xsd:double"&gt;16.4669149998849&lt;/D&gt;&lt;D xsi:type="xsd:double"&gt;15.4630809886431&lt;/D&gt;&lt;D xsi:type="xsd:double"&gt;16.23857586289&lt;/D&gt;&lt;D xsi:type="xsd:double"&gt;16.4982186692766&lt;/D&gt;&lt;D xsi:type="xsd:double"&gt;17.0629412146172&lt;/D&gt;&lt;D xsi:type="xsd:double"&gt;16.7541683828853&lt;/D&gt;&lt;D xsi:type="xsd:double"&gt;16.691258222872&lt;/D&gt;&lt;D xsi:type="xsd:double"&gt;17.0716098587491&lt;/D&gt;&lt;D xsi:type="xsd:double"&gt;17.2959159397223&lt;/D&gt;&lt;D xsi:type="xsd:double"&gt;17.220081251581&lt;/D&gt;&lt;D xsi:type="xsd:double"&gt;16.7441776012431&lt;/D&gt;&lt;D xsi:type="xsd:double"&gt;16.3180408150502&lt;/D&gt;&lt;D xsi:type="xsd:double"&gt;16.7566094842469&lt;/D&gt;&lt;D xsi:type="xsd:double"&gt;16.9365119124329&lt;/D&gt;&lt;D xsi:type="xsd:double"&gt;17.5820875440438&lt;/D&gt;&lt;D xsi:type="xsd:double"&gt;17.6240030721128&lt;/D&gt;&lt;D xsi:type="xsd:double"&gt;17.208094590521&lt;/D&gt;&lt;D xsi:type="xsd:double"&gt;18.0546702035091&lt;/D&gt;&lt;D xsi:type="xsd:double"&gt;17.9302316040161&lt;/D&gt;&lt;D xsi:type="xsd:double"&gt;17.8064361866579&lt;/D&gt;&lt;D xsi:type="xsd:double"&gt;17.4350704457572&lt;/D&gt;&lt;D xsi:type="xsd:double"&gt;17.7031288126932&lt;/D&gt;&lt;D xsi:type="xsd:double"&gt;17.8309451336204&lt;/D&gt;&lt;D xsi:type="xsd:double"&gt;17.7792577096001&lt;/D&gt;&lt;D xsi:type="xsd:double"&gt;17.7168498646985&lt;/D&gt;&lt;D xsi:type="xsd:double"&gt;17.9196403365418&lt;/D&gt;&lt;D xsi:type="xsd:double"&gt;16.8212883068473&lt;/D&gt;&lt;D xsi:type="xsd:double"&gt;16.1441412809354&lt;/D&gt;&lt;D xsi:type="xsd:double"&gt;16.090779201842&lt;/D&gt;&lt;D xsi:type="xsd:double"&gt;16.2714178665853&lt;/D&gt;&lt;D xsi:type="xsd:double"&gt;15.3374378492715&lt;/D&gt;&lt;D xsi:type="xsd:double"&gt;16.1764337781417&lt;/D&gt;&lt;D xsi:type="xsd:double"&gt;16.0818844276366&lt;/D&gt;&lt;D xsi:type="xsd:double"&gt;16.0396008562494&lt;/D&gt;&lt;D xsi:type="xsd:double"&gt;15.4043805867062&lt;/D&gt;&lt;D xsi:type="xsd:double"&gt;15.370575917721&lt;/D&gt;&lt;D xsi:type="xsd:double"&gt;14.510648588218&lt;/D&gt;&lt;D xsi:type="xsd:double"&gt;15.5836518380407&lt;/D&gt;&lt;D xsi:type="xsd:double"&gt;16.1181222501538&lt;/D&gt;&lt;D xsi:type="xsd:double"&gt;16.56846882977&lt;/D&gt;&lt;D xsi:type="xsd:double"&gt;16.8729257710156&lt;/D&gt;&lt;D xsi:type="xsd:double"&gt;16.6873790715507&lt;/D&gt;&lt;D xsi:type="xsd:double"&gt;17.1654805627326&lt;/D&gt;&lt;D xsi:type="xsd:double"&gt;17.1719672758134&lt;/D&gt;&lt;D xsi:type="xsd:double"&gt;16.9187695515369&lt;/D&gt;&lt;D xsi:type="xsd:double"&gt;17.1302484788603&lt;/D&gt;&lt;D xsi:type="xsd:double"&gt;17.0050596104351&lt;/D&gt;&lt;D xsi:type="xsd:double"&gt;17.3647252143672&lt;/D&gt;&lt;D xsi:type="xsd:double"&gt;17.8791371429028&lt;/D&gt;&lt;D xsi:type="xsd:double"&gt;18.2680090404862&lt;/D&gt;&lt;D xsi:type="xsd:double"&gt;18.4692071763161&lt;/D&gt;&lt;D xsi:type="xsd:double"&gt;14.4331093131319&lt;/D&gt;&lt;D xsi:type="xsd:double"&gt;17.7339734710908&lt;/D&gt;&lt;D xsi:type="xsd:double"&gt;18.9497812396629&lt;/D&gt;&lt;D xsi:type="xsd:double"&gt;19.6013424993308&lt;/D&gt;&lt;D xsi:type="xsd:double"&gt;20.0241800402046&lt;/D&gt;&lt;D xsi:type="xsd:double"&gt;19.4960839106404&lt;/D&gt;&lt;D xsi:type="xsd:double"&gt;19.1686633846286&lt;/D&gt;&lt;D xsi:type="xsd:double"&gt;18.5161995234361&lt;/D&gt;&lt;D xsi:type="xsd:double"&gt;18.8855773948528&lt;/D&gt;&lt;D xsi:type="xsd:double"&gt;18.2392138741471&lt;/D&gt;&lt;D xsi:type="xsd:double"&gt;18.9770923461566&lt;/D&gt;&lt;D xsi:type="xsd:double"&gt;18.75694624956&lt;/D&gt;&lt;D xsi:type="xsd:double"&gt;18.680324432354&lt;/D&gt;&lt;D xsi:type="xsd:double"&gt;19.3239026018528&lt;/D&gt;&lt;D xsi:type="xsd:double"&gt;19.090730410894&lt;/D&gt;&lt;D xsi:type="xsd:double"&gt;19.9257100693839&lt;/D&gt;&lt;D xsi:type="xsd:double"&gt;19.6162267482493&lt;/D&gt;&lt;D xsi:type="xsd:double"&gt;19.8874051650421&lt;/D&gt;&lt;D xsi:type="xsd:double"&gt;18.7283388944583&lt;/D&gt;&lt;D xsi:type="xsd:double"&gt;18.9042020310947&lt;/D&gt;&lt;D xsi:type="xsd:double"&gt;19.3294429478021&lt;/D&gt;&lt;D xsi:type="xsd:double"&gt;19.4004330621771&lt;/D&gt;&lt;D xsi:type="xsd:double"&gt;18.581218504271&lt;/D&gt;&lt;D xsi:type="xsd:double"&gt;18.0838679852456&lt;/D&gt;&lt;D xsi:type="xsd:double"&gt;18.3335954821743&lt;/D&gt;&lt;D xsi:type="xsd:double"&gt;18.2785060840309&lt;/D&gt;&lt;D xsi:type="xsd:double"&gt;16.5153369609096&lt;/D&gt;&lt;D xsi:type="xsd:double"&gt;15.2787601684564&lt;/D&gt;&lt;D xsi:type="xsd:double"&gt;16.3762367814292&lt;/D&gt;&lt;D xsi:type="xsd:double"&gt;16.7013940220146&lt;/D&gt;&lt;D xsi:type="xsd:double"&gt;15.3816598890013&lt;/D&gt;&lt;D xsi:type="xsd:double"&gt;15.1747497728607&lt;/D&gt;&lt;D xsi:type="xsd:double"&gt;16.7274573222316&lt;/D&gt;&lt;D xsi:type="xsd:double"&gt;16.4312563733306&lt;/D&gt;&lt;D xsi:type="xsd:double"&gt;17.2689454150476&lt;/D&gt;&lt;D xsi:type="xsd:double"&gt;17.3355025599823&lt;/D&gt;&lt;D xsi:type="xsd:double"&gt;16.6604416941883&lt;/D&gt;&lt;D xsi:type="xsd:double"&gt;17.6796056108389&lt;/D&gt;&lt;D xsi:type="xsd:double"&gt;17.4640037914767&lt;/D&gt;&lt;D xsi:type="xsd:double"&gt;16.3360820857356&lt;/D&gt;&lt;D xsi:type="xsd:double"&gt;16.7017801923169&lt;/D&gt;&lt;D xsi:type="xsd:double"&gt;16.221933742328&lt;/D&gt;&lt;D xsi:type="xsd:double"&gt;16.4860533360507&lt;/D&gt;&lt;D xsi:type="xsd:double"&gt;15.4712532960078&lt;/D&gt;&lt;D xsi:type="xsd:double"&gt;16.2016467640593&lt;/D&gt;&lt;D xsi:type="xsd:double"&gt;16.7630312345384&lt;/D&gt;&lt;D xsi:type="xsd:double"&gt;16.7891383331342&lt;/D&gt;&lt;D xsi:type="xsd:double"&gt;17.5338758502792&lt;/D&gt;&lt;D xsi:type="xsd:double"&gt;17.661928176964&lt;/D&gt;&lt;/FQL&gt;&lt;FQL&gt;&lt;Q&gt;FXI^FG_TOTAL_RETURNC(0,-1AM)&lt;/Q&gt;&lt;R&gt;1&lt;/R&gt;&lt;C&gt;1&lt;/C&gt;&lt;D xsi:type="xsd:double"&gt;1.8228054&lt;/D&gt;&lt;/FQL&gt;&lt;FQL&gt;&lt;Q&gt;VWO^P_PRICE(0)/P_PRICE_LOW_PR(0,,,USD,,,"PRICE","INTRA","52W")-1&lt;/Q&gt;&lt;R&gt;1&lt;/R&gt;&lt;C&gt;1&lt;/C&gt;&lt;D xsi:type="xsd:double"&gt;0.11814177&lt;/D&gt;&lt;/FQL&gt;&lt;FQL&gt;&lt;Q&gt;VGK^FMA_PCT_ABOVE_MAVG(200,0,,,,"PORTAGG")&lt;/Q&gt;&lt;R&gt;1&lt;/R&gt;&lt;C&gt;1&lt;/C&gt;&lt;D xsi:type="xsd:double"&gt;61.2421383647799&lt;/D&gt;&lt;/FQL&gt;&lt;FQL&gt;&lt;Q&gt;EWD^PERCENT_CHANGE(FMA_EPS(+1,0,,,,"PORTAGG","MEAN"),FMA_EPS(+1,-3AM,,,,"PORTAGG","MEAN"))&lt;/Q&gt;&lt;R&gt;1&lt;/R&gt;&lt;C&gt;1&lt;/C&gt;&lt;D xsi:type="xsd:double"&gt;-4.96671563151964&lt;/D&gt;&lt;/FQL&gt;&lt;FQL&gt;&lt;Q&gt;EWQ^FG_TOTAL_RETURNC(0,-3AM)&lt;/Q&gt;&lt;R&gt;1&lt;/R&gt;&lt;C&gt;1&lt;/C&gt;&lt;D xsi:type="xsd:double"&gt;5.5640697&lt;/D&gt;&lt;/FQL&gt;&lt;FQL&gt;&lt;Q&gt;QQQ^FMA_ROE(NTMA,-20AY,NOW,FY,"PORTAGG","MEANR")&lt;/Q&gt;&lt;R&gt;20&lt;/R&gt;&lt;C&gt;1&lt;/C&gt;&lt;D xsi:type="xsd:double"&gt;14.817843581598&lt;/D&gt;&lt;D xsi:type="xsd:double"&gt;15.4866947775921&lt;/D&gt;&lt;D xsi:type="xsd:double"&gt;16.8339704998129&lt;/D&gt;&lt;D xsi:type="xsd:double"&gt;17.9560593685279&lt;/D&gt;&lt;D xsi:type="xsd:double"&gt;16.5654843697708&lt;/D&gt;&lt;D xsi:type="xsd:double"&gt;17.5965741262714&lt;/D&gt;&lt;D xsi:type="xsd:double"&gt;20.0003742371644&lt;/D&gt;&lt;D xsi:type="xsd:double"&gt;20.9591568938239&lt;/D&gt;&lt;D xsi:type="xsd:double"&gt;20.7921963775154&lt;/D&gt;&lt;D xsi:type="xsd:double"&gt;20.047298915306&lt;/D&gt;&lt;D xsi:type="xsd:double"&gt;22.0568276514703&lt;/D&gt;&lt;D xsi:type="xsd:double"&gt;21.8504635786249&lt;/D&gt;&lt;D xsi:type="xsd:double"&gt;21.1146076459691&lt;/D&gt;&lt;D xsi:type="xsd:double"&gt;22.0784263508941&lt;/D&gt;&lt;D xsi:type="xsd:double"&gt;26.4902293367872&lt;/D&gt;&lt;D xsi:type="xsd:double"&gt;25.011729152832&lt;/D&gt;&lt;D xsi:type="xsd:double"&gt;24.534442850509&lt;/D&gt;&lt;D xsi:type="xsd:double"&gt;26.6372021642568&lt;/D&gt;&lt;D xsi:type="xsd:double"&gt;24.0483215722889&lt;/D&gt;&lt;D xsi:type="xsd:double"&gt;25.3011114335366&lt;/D&gt;&lt;/FQL&gt;&lt;FQL&gt;&lt;Q&gt;TRYMY10Y-FDS^FG_YIELD(-10AY,0,Y,,"YTM")&lt;/Q&gt;&lt;R&gt;10&lt;/R&gt;&lt;C&gt;1&lt;/C&gt;&lt;D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xsi:type="xsd:double"&gt;3.955&lt;/D&gt;&lt;/FQL&gt;&lt;FQL&gt;&lt;Q&gt;NI-FDS^FG_PRICE_CHANGE(0,-3AM)&lt;/Q&gt;&lt;R&gt;1&lt;/R&gt;&lt;C&gt;1&lt;/C&gt;&lt;D xsi:type="xsd:double"&gt;4.55908818236352&lt;/D&gt;&lt;/FQL&gt;&lt;FQL&gt;&lt;Q&gt;TIOS-FDS^FG_PRICE_CHANGE(0,-3AM)&lt;/Q&gt;&lt;R&gt;1&lt;/R&gt;&lt;C&gt;1&lt;/C&gt;&lt;D xsi:type="xsd:double"&gt;-18.0104944202202&lt;/D&gt;&lt;/FQL&gt;&lt;FQL&gt;&lt;Q&gt;FC0000CH^FG_PRICE(0)&lt;/Q&gt;&lt;R&gt;1&lt;/R&gt;&lt;C&gt;1&lt;/C&gt;&lt;D xsi:type="xsd:double"&gt;324.61136&lt;/D&gt;&lt;/FQL&gt;&lt;FQL&gt;&lt;Q&gt;FC0000AU^FG_PRICE(0)&lt;/Q&gt;&lt;R&gt;1&lt;/R&gt;&lt;C&gt;1&lt;/C&gt;&lt;D xsi:type="xsd:double"&gt;358.24484&lt;/D&gt;&lt;/FQL&gt;&lt;FQL&gt;&lt;Q&gt;EWN^FG_PRICE_MAVG(0,,,,200)&lt;/Q&gt;&lt;R&gt;1&lt;/R&gt;&lt;C&gt;1&lt;/C&gt;&lt;D xsi:type="xsd:double"&gt;42.74738&lt;/D&gt;&lt;/FQL&gt;&lt;FQL&gt;&lt;Q&gt;EWC^FG_PRICE_MAVG(0,,,,200)&lt;/Q&gt;&lt;R&gt;1&lt;/R&gt;&lt;C&gt;1&lt;/C&gt;&lt;D xsi:type="xsd:double"&gt;35.02205&lt;/D&gt;&lt;/FQL&gt;&lt;FQL&gt;&lt;Q&gt;USDSEK^STD(FG_PRICE_CHANGE(0,-3AY,M))&lt;/Q&gt;&lt;R&gt;1&lt;/R&gt;&lt;C&gt;1&lt;/C&gt;&lt;D xsi:type="xsd:double"&gt;2.97429494344496&lt;/D&gt;&lt;/FQL&gt;&lt;FQL&gt;&lt;Q&gt;USDCHF^STD(FG_PRICE_CHANGE(0,-3AY,M))&lt;/Q&gt;&lt;R&gt;1&lt;/R&gt;&lt;C&gt;1&lt;/C&gt;&lt;D xsi:type="xsd:double"&gt;2.55066207178098&lt;/D&gt;&lt;/FQL&gt;&lt;FQL&gt;&lt;Q&gt;USDUSD^STD(FG_PRICE_CHANGE(0,-3AY,M))&lt;/Q&gt;&lt;R&gt;1&lt;/R&gt;&lt;C&gt;1&lt;/C&gt;&lt;D xsi:type="xsd:double"&gt;0&lt;/D&gt;&lt;/FQL&gt;&lt;FQL&gt;&lt;Q&gt;USDEUR^STD(FG_PRICE_CHANGE(0,-3AY,M))&lt;/Q&gt;&lt;R&gt;1&lt;/R&gt;&lt;C&gt;1&lt;/C&gt;&lt;D xsi:type="xsd:double"&gt;2.27878581990319&lt;/D&gt;&lt;/FQL&gt;&lt;FQL&gt;&lt;Q&gt;USDAUD^STD(FG_PRICE_CHANGE(0,-3AY,M))&lt;/Q&gt;&lt;R&gt;1&lt;/R&gt;&lt;C&gt;1&lt;/C&gt;&lt;D xsi:type="xsd:double"&gt;3.07648357729992&lt;/D&gt;&lt;/FQL&gt;&lt;FQL&gt;&lt;Q&gt;EWI^FMA_EPS(NTMA,-20AY,0,CY,,"PORTAGG","MEANR")&lt;/Q&gt;&lt;R&gt;20&lt;/R&gt;&lt;C&gt;1&lt;/C&gt;&lt;D xsi:type="xsd:double"&gt;3.169168339117&lt;/D&gt;&lt;D xsi:type="xsd:double"&gt;3.12405993279458&lt;/D&gt;&lt;D xsi:type="xsd:double"&gt;5.04981282066684&lt;/D&gt;&lt;D xsi:type="xsd:double"&gt;5.56224784875388&lt;/D&gt;&lt;D xsi:type="xsd:double"&gt;4.17624790880873&lt;/D&gt;&lt;D xsi:type="xsd:double"&gt;3.08892808052067&lt;/D&gt;&lt;D xsi:type="xsd:double"&gt;3.32359348097665&lt;/D&gt;&lt;D xsi:type="xsd:double"&gt;2.98712765861625&lt;/D&gt;&lt;D xsi:type="xsd:double"&gt;2.83099275676073&lt;/D&gt;&lt;D xsi:type="xsd:double"&gt;2.51709042577162&lt;/D&gt;&lt;D xsi:type="xsd:double"&gt;2.20451072320163&lt;/D&gt;&lt;D xsi:type="xsd:double"&gt;1.95489186317479&lt;/D&gt;&lt;D xsi:type="xsd:double"&gt;1.78844259381098&lt;/D&gt;&lt;D xsi:type="xsd:double"&gt;2.35129536081733&lt;/D&gt;&lt;D xsi:type="xsd:double"&gt;2.64924756496654&lt;/D&gt;&lt;D xsi:type="xsd:double"&gt;2.59251661571796&lt;/D&gt;&lt;D xsi:type="xsd:double"&gt;1.99711745729498&lt;/D&gt;&lt;D xsi:type="xsd:double"&gt;2.96400297596909&lt;/D&gt;&lt;D xsi:type="xsd:double"&gt;3.54736708862932&lt;/D&gt;&lt;D xsi:type="xsd:double"&gt;3.81180346997282&lt;/D&gt;&lt;/FQL&gt;&lt;FQL&gt;&lt;Q&gt;EWN^P_PRICE_RETURNS_PR('52W',2,-10AY,0,AM)&lt;/Q&gt;&lt;R&gt;121&lt;/R&gt;&lt;C&gt;1&lt;/C&gt;&lt;D xsi:type="xsd:double"&gt;22.659456&lt;/D&gt;&lt;D xsi:type="xsd:double"&gt;26.015532&lt;/D&gt;&lt;D xsi:type="xsd:double"&gt;17.985212&lt;/D&gt;&lt;D xsi:type="xsd:double"&gt;26.862919&lt;/D&gt;&lt;D xsi:type="xsd:double"&gt;11.72421&lt;/D&gt;&lt;D xsi:type="xsd:double"&gt;7.7700257&lt;/D&gt;&lt;D xsi:type="xsd:double"&gt;3.9856315&lt;/D&gt;&lt;D xsi:type="xsd:double"&gt;-4.687744&lt;/D&gt;&lt;D xsi:type="xsd:double"&gt;-0.44095516&lt;/D&gt;&lt;D xsi:type="xsd:double"&gt;-0.91034174&lt;/D&gt;&lt;D xsi:type="xsd:double"&gt;-4.943055&lt;/D&gt;&lt;D xsi:type="xsd:double"&gt;1.6265035&lt;/D&gt;&lt;D xsi:type="xsd:double"&gt;4.941416&lt;/D&gt;&lt;D xsi:type="xsd:double"&gt;4.1051984&lt;/D&gt;&lt;D xsi:type="xsd:double"&gt;8.3732605&lt;/D&gt;&lt;D xsi:type="xsd:double"&gt;2.341044&lt;/D&gt;&lt;D xsi:type="xsd:double"&gt;9.743452&lt;/D&gt;&lt;D xsi:type="xsd:double"&gt;1.1093259&lt;/D&gt;&lt;D xsi:type="xsd:double"&gt;-1.921618&lt;/D&gt;&lt;D xsi:type="xsd:double"&gt;8.772635&lt;/D&gt;&lt;D xsi:type="xsd:double"&gt;3.1931639&lt;/D&gt;&lt;D xsi:type="xsd:double"&gt;-0.40550232&lt;/D&gt;&lt;D xsi:type="xsd:double"&gt;-5.453086&lt;/D&gt;&lt;D xsi:type="xsd:double"&gt;-8.582634&lt;/D&gt;&lt;D xsi:type="xsd:double"&gt;-3.545314&lt;/D&gt;&lt;D xsi:type="xsd:double"&gt;-2.8128922&lt;/D&gt;&lt;D xsi:type="xsd:double"&gt;-9.198153&lt;/D&gt;&lt;D xsi:type="xsd:double"&gt;-6.6318393&lt;/D&gt;&lt;D xsi:type="xsd:double"&gt;-9.301191&lt;/D&gt;&lt;D xsi:type="xsd:double"&gt;-1.169914&lt;/D&gt;&lt;D xsi:type="xsd:double"&gt;5.6129694&lt;/D&gt;&lt;D xsi:type="xsd:double"&gt;0.73405504&lt;/D&gt;&lt;D xsi:type="xsd:double"&gt;-2.387786&lt;/D&gt;&lt;D xsi:type="xsd:double"&gt;4.984939&lt;/D&gt;&lt;D xsi:type="xsd:double"&gt;15.842652&lt;/D&gt;&lt;D xsi:type="xsd:double"&gt;16.018904&lt;/D&gt;&lt;D xsi:type="xsd:double"&gt;12.425434&lt;/D&gt;&lt;D xsi:type="xsd:double"&gt;11.846268&lt;/D&gt;&lt;D xsi:type="xsd:double"&gt;25.983084&lt;/D&gt;&lt;D xsi:type="xsd:double"&gt;24.000431&lt;/D&gt;&lt;D xsi:type="xsd:double"&gt;31.713057&lt;/D&gt;&lt;D xsi:type="xsd:double"&gt;26.098633&lt;/D&gt;&lt;D xsi:type="xsd:double"&gt;29.385508&lt;/D&gt;&lt;D xsi:type="xsd:double"&gt;31.791962&lt;/D&gt;&lt;D xsi:type="xsd:double"&gt;36.04238&lt;/D&gt;&lt;D xsi:type="xsd:double"&gt;34.09103&lt;/D&gt;&lt;D xsi:type="xsd:double"&gt;39.414753&lt;/D&gt;&lt;D xsi:type="xsd:double"&gt;28.278564&lt;/D&gt;&lt;D xsi:type="xsd:double"&gt;22.575687&lt;/D&gt;&lt;D xsi:type="xsd:double"&gt;21.541893&lt;/D&gt;&lt;D xsi:type="xsd:double"&gt;12.103653&lt;/D&gt;&lt;D xsi:type="xsd:double"&gt;8.670795&lt;/D&gt;&lt;D xsi:type="xsd:double"&gt;7.1130514&lt;/D&gt;&lt;D xsi:type="xsd:double"&gt;3.613913&lt;/D&gt;&lt;D xsi:type="xsd:double"&gt;0.92476606&lt;/D&gt;&lt;D xsi:type="xsd:double"&gt;-7.9832315&lt;/D&gt;&lt;D xsi:type="xsd:double"&gt;-8.546305&lt;/D&gt;&lt;D xsi:type="xsd:double"&gt;-16.659344&lt;/D&gt;&lt;D xsi:type="xsd:double"&gt;-16.070097&lt;/D&gt;&lt;D xsi:type="xsd:double"&gt;-6.163067&lt;/D&gt;&lt;D xsi:type="xsd:double"&gt;-4.0434303&lt;/D&gt;&lt;D xsi:type="xsd:double"&gt;-3.262037&lt;/D&gt;&lt;D xsi:type="xsd:double"&gt;-3.794402&lt;/D&gt;&lt;D xsi:type="xsd:double"&gt;2.6864529&lt;/D&gt;&lt;D xsi:type="xsd:double"&gt;1.4854789&lt;/D&gt;&lt;D xsi:type="xsd:double"&gt;1.1499405&lt;/D&gt;&lt;D xsi:type="xsd:double"&gt;4.8190236&lt;/D&gt;&lt;D xsi:type="xsd:double"&gt;15.792143&lt;/D&gt;&lt;D xsi:type="xsd:double"&gt;18.646872&lt;/D&gt;&lt;D xsi:type="xsd:double"&gt;31.58672&lt;/D&gt;&lt;D xsi:type="xsd:double"&gt;26.747799&lt;/D&gt;&lt;D xsi:type="xsd:double"&gt;18.452084&lt;/D&gt;&lt;D xsi:type="xsd:double"&gt;-23.229568&lt;/D&gt;&lt;D xsi:type="xsd:double"&gt;-11.021954&lt;/D&gt;&lt;D xsi:type="xsd:double"&gt;-0.46412945&lt;/D&gt;&lt;D xsi:type="xsd:double"&gt;7.3874116&lt;/D&gt;&lt;D xsi:type="xsd:double"&gt;12.808025&lt;/D&gt;&lt;D xsi:type="xsd:double"&gt;16.39788&lt;/D&gt;&lt;D xsi:type="xsd:double"&gt;10.544098&lt;/D&gt;&lt;D xsi:type="xsd:double"&gt;13.565874&lt;/D&gt;&lt;D xsi:type="xsd:double"&gt;19.687927&lt;/D&gt;&lt;D xsi:type="xsd:double"&gt;22.946632&lt;/D&gt;&lt;D xsi:type="xsd:double"&gt;32.67319&lt;/D&gt;&lt;D xsi:type="xsd:double"&gt;34.82722&lt;/D&gt;&lt;D xsi:type="xsd:double"&gt;96.1402&lt;/D&gt;&lt;D xsi:type="xsd:double"&gt;80.53216&lt;/D&gt;&lt;D xsi:type="xsd:double"&gt;66.76495&lt;/D&gt;&lt;D xsi:type="xsd:double"&gt;50.722168&lt;/D&gt;&lt;D xsi:type="xsd:double"&gt;40.724693&lt;/D&gt;&lt;D xsi:type="xsd:double"&gt;46.343815&lt;/D&gt;&lt;D xsi:type="xsd:double"&gt;52.175926&lt;/D&gt;&lt;D xsi:type="xsd:double"&gt;45.528267&lt;/D&gt;&lt;D xsi:type="xsd:double"&gt;37.394596&lt;/D&gt;&lt;D xsi:type="xsd:double"&gt;20.194912&lt;/D&gt;&lt;D xsi:type="xsd:double"&gt;6.6034555&lt;/D&gt;&lt;D xsi:type="xsd:double"&gt;-0.11744499&lt;/D&gt;&lt;D xsi:type="xsd:double"&gt;-4.7760544&lt;/D&gt;&lt;D xsi:type="xsd:double"&gt;-14.675694&lt;/D&gt;&lt;D xsi:type="xsd:double"&gt;-22.919577&lt;/D&gt;&lt;D xsi:type="xsd:double"&gt;-26.68392&lt;/D&gt;&lt;D xsi:type="xsd:double"&gt;-21.959232&lt;/D&gt;&lt;D xsi:type="xsd:double"&gt;-26.00416&lt;/D&gt;&lt;D xsi:type="xsd:double"&gt;-36.49259&lt;/D&gt;&lt;D xsi:type="xsd:double"&gt;-37.135117&lt;/D&gt;&lt;D xsi:type="xsd:double"&gt;-26.951963&lt;/D&gt;&lt;D xsi:type="xsd:double"&gt;-20.040596&lt;/D&gt;&lt;D xsi:type="xsd:double"&gt;-10.747946&lt;/D&gt;&lt;D xsi:type="xsd:double"&gt;-6.671768&lt;/D&gt;&lt;D xsi:type="xsd:double"&gt;-1.973635&lt;/D&gt;&lt;D xsi:type="xsd:double"&gt;5.179155&lt;/D&gt;&lt;D xsi:type="xsd:double"&gt;18.119383&lt;/D&gt;&lt;D xsi:type="xsd:double"&gt;23.436678&lt;/D&gt;&lt;D xsi:type="xsd:double"&gt;20.9306&lt;/D&gt;&lt;D xsi:type="xsd:double"&gt;14.199936&lt;/D&gt;&lt;D xsi:type="xsd:double"&gt;20.57898&lt;/D&gt;&lt;D xsi:type="xsd:double"&gt;18.879736&lt;/D&gt;&lt;D xsi:type="xsd:double"&gt;13.451946&lt;/D&gt;&lt;D xsi:type="xsd:double"&gt;19.429993&lt;/D&gt;&lt;D xsi:type="xsd:double"&gt;8.914005&lt;/D&gt;&lt;D xsi:type="xsd:double"&gt;16.130627&lt;/D&gt;&lt;D xsi:type="xsd:double"&gt;23.475933&lt;/D&gt;&lt;/FQL&gt;&lt;FQL&gt;&lt;Q&gt;SPY^FG_TOTAL_RETURNC(-10AY,0,AM)&lt;/Q&gt;&lt;R&gt;121&lt;/R&gt;&lt;C&gt;1&lt;/C&gt;&lt;D xsi:type="xsd:double"&gt;1.7046094&lt;/D&gt;&lt;D xsi:type="xsd:double"&gt;0.4511237&lt;/D&gt;&lt;D xsi:type="xsd:double"&gt;1.1174202&lt;/D&gt;&lt;D xsi:type="xsd:double"&gt;4.0959597&lt;/D&gt;&lt;D xsi:type="xsd:double"&gt;0.7145047&lt;/D&gt;&lt;D xsi:type="xsd:double"&gt;1.0945559&lt;/D&gt;&lt;D xsi:type="xsd:double"&gt;1.0722756&lt;/D&gt;&lt;D xsi:type="xsd:double"&gt;-3.3034325&lt;/D&gt;&lt;D xsi:type="xsd:double"&gt;6.4976454&lt;/D&gt;&lt;D xsi:type="xsd:double"&gt;0.47171116&lt;/D&gt;&lt;D xsi:type="xsd:double"&gt;-1.6656995&lt;/D&gt;&lt;D xsi:type="xsd:double"&gt;4.0176272&lt;/D&gt;&lt;D xsi:type="xsd:double"&gt;0.048196316&lt;/D&gt;&lt;D xsi:type="xsd:double"&gt;-0.38496256&lt;/D&gt;&lt;D xsi:type="xsd:double"&gt;1.8606782&lt;/D&gt;&lt;D xsi:type="xsd:double"&gt;-0.777483&lt;/D&gt;&lt;D xsi:type="xsd:double"&gt;0.44590235&lt;/D&gt;&lt;D xsi:type="xsd:double"&gt;-6.6682396&lt;/D&gt;&lt;D xsi:type="xsd:double"&gt;-0.066399574&lt;/D&gt;&lt;D xsi:type="xsd:double"&gt;2.743566&lt;/D&gt;&lt;D xsi:type="xsd:double"&gt;3.6962152&lt;/D&gt;&lt;D xsi:type="xsd:double"&gt;-3.0668676&lt;/D&gt;&lt;D xsi:type="xsd:double"&gt;-7.427973&lt;/D&gt;&lt;D xsi:type="xsd:double"&gt;2.844286&lt;/D&gt;&lt;D xsi:type="xsd:double"&gt;7.146406&lt;/D&gt;&lt;D xsi:type="xsd:double"&gt;2.1009445&lt;/D&gt;&lt;D xsi:type="xsd:double"&gt;-1.6653061&lt;/D&gt;&lt;D xsi:type="xsd:double"&gt;1.9652843&lt;/D&gt;&lt;D xsi:type="xsd:double"&gt;3.7540793&lt;/D&gt;&lt;D xsi:type="xsd:double"&gt;1.0519505&lt;/D&gt;&lt;D xsi:type="xsd:double"&gt;-0.74379444&lt;/D&gt;&lt;D xsi:type="xsd:double"&gt;-0.85256696&lt;/D&gt;&lt;D xsi:type="xsd:double"&gt;2.8834462&lt;/D&gt;&lt;D xsi:type="xsd:double"&gt;3.1584144&lt;/D&gt;&lt;D xsi:type="xsd:double"&gt;0.4296422&lt;/D&gt;&lt;D xsi:type="xsd:double"&gt;4.3000817&lt;/D&gt;&lt;D xsi:type="xsd:double"&gt;-0.73630214&lt;/D&gt;&lt;D xsi:type="xsd:double"&gt;0.3679514&lt;/D&gt;&lt;D xsi:type="xsd:double"&gt;1.5857458&lt;/D&gt;&lt;D xsi:type="xsd:double"&gt;2.4441361&lt;/D&gt;&lt;D xsi:type="xsd:double"&gt;1.6176224&lt;/D&gt;&lt;D xsi:type="xsd:double"&gt;-1.6121209&lt;/D&gt;&lt;D xsi:type="xsd:double"&gt;3.1805634&lt;/D&gt;&lt;D xsi:type="xsd:double"&gt;3.0955434&lt;/D&gt;&lt;D xsi:type="xsd:double"&gt;1.1201501&lt;/D&gt;&lt;D xsi:type="xsd:double"&gt;3.4411907&lt;/D&gt;&lt;D xsi:type="xsd:double"&gt;4.794836&lt;/D&gt;&lt;D xsi:type="xsd:double"&gt;-3.694594&lt;/D&gt;&lt;D xsi:type="xsd:double"&gt;0.5412698&lt;/D&gt;&lt;D xsi:type="xsd:double"&gt;-1.4125705&lt;/D&gt;&lt;D xsi:type="xsd:double"&gt;2.5355458&lt;/D&gt;&lt;D xsi:type="xsd:double"&gt;0.7691264&lt;/D&gt;&lt;D xsi:type="xsd:double"&gt;1.9836664&lt;/D&gt;&lt;D xsi:type="xsd:double"&gt;2.381289&lt;/D&gt;&lt;D xsi:type="xsd:double"&gt;2.4350762&lt;/D&gt;&lt;D xsi:type="xsd:double"&gt;-5.3905907&lt;/D&gt;&lt;D xsi:type="xsd:double"&gt;-4.0651617&lt;/D&gt;&lt;D xsi:type="xsd:double"&gt;-8.635033&lt;/D&gt;&lt;D xsi:type="xsd:double"&gt;10.702122&lt;/D&gt;&lt;D xsi:type="xsd:double"&gt;4.1131973&lt;/D&gt;&lt;D xsi:type="xsd:double"&gt;3.084886&lt;/D&gt;&lt;D xsi:type="xsd:double"&gt;1.8578887&lt;/D&gt;&lt;D xsi:type="xsd:double"&gt;-1.2102544&lt;/D&gt;&lt;D xsi:type="xsd:double"&gt;3.1138897&lt;/D&gt;&lt;D xsi:type="xsd:double"&gt;1.0782361&lt;/D&gt;&lt;D xsi:type="xsd:double"&gt;-1.5883148&lt;/D&gt;&lt;D xsi:type="xsd:double"&gt;2.466619&lt;/D&gt;&lt;D xsi:type="xsd:double"&gt;0.5732894&lt;/D&gt;&lt;D xsi:type="xsd:double"&gt;3.4267783&lt;/D&gt;&lt;D xsi:type="xsd:double"&gt;3.8772702&lt;/D&gt;&lt;D xsi:type="xsd:double"&gt;3.2956004&lt;/D&gt;&lt;D xsi:type="xsd:double"&gt;0.65802336&lt;/D&gt;&lt;D xsi:type="xsd:double"&gt;-30.968708&lt;/D&gt;&lt;D xsi:type="xsd:double"&gt;19.335663&lt;/D&gt;&lt;D xsi:type="xsd:double"&gt;7.998824&lt;/D&gt;&lt;D xsi:type="xsd:double"&gt;5.1296234&lt;/D&gt;&lt;D xsi:type="xsd:double"&gt;5.3039074&lt;/D&gt;&lt;D xsi:type="xsd:double"&gt;4.452169&lt;/D&gt;&lt;D xsi:type="xsd:double"&gt;-3.2949448&lt;/D&gt;&lt;D xsi:type="xsd:double"&gt;4.820013&lt;/D&gt;&lt;D xsi:type="xsd:double"&gt;3.676355&lt;/D&gt;&lt;D xsi:type="xsd:double"&gt;3.9693713&lt;/D&gt;&lt;D xsi:type="xsd:double"&gt;4.452777&lt;/D&gt;&lt;D xsi:type="xsd:double"&gt;1.506877&lt;/D&gt;&lt;D xsi:type="xsd:double"&gt;0.1865983&lt;/D&gt;&lt;D xsi:type="xsd:double"&gt;6.8270445&lt;/D&gt;&lt;D xsi:type="xsd:double"&gt;-0.27158856&lt;/D&gt;&lt;D xsi:type="xsd:double"&gt;1.7630458&lt;/D&gt;&lt;D xsi:type="xsd:double"&gt;3.252864&lt;/D&gt;&lt;D xsi:type="xsd:double"&gt;2.0273805&lt;/D&gt;&lt;D xsi:type="xsd:double"&gt;-1.8781543&lt;/D&gt;&lt;D xsi:type="xsd:double"&gt;4.6030045&lt;/D&gt;&lt;D xsi:type="xsd:double"&gt;3.3730984&lt;/D&gt;&lt;D xsi:type="xsd:double"&gt;-0.8919418&lt;/D&gt;&lt;D xsi:type="xsd:double"&gt;-5.416143&lt;/D&gt;&lt;D xsi:type="xsd:double"&gt;-0.85620284&lt;/D&gt;&lt;D xsi:type="xsd:double"&gt;2.6542544&lt;/D&gt;&lt;D xsi:type="xsd:double"&gt;-1.4244258&lt;/D&gt;&lt;D xsi:type="xsd:double"&gt;-11.055559&lt;/D&gt;&lt;D xsi:type="xsd:double"&gt;-3.3219814&lt;/D&gt;&lt;D xsi:type="xsd:double"&gt;6.324148&lt;/D&gt;&lt;D xsi:type="xsd:double"&gt;5.8552146&lt;/D&gt;&lt;D xsi:type="xsd:double"&gt;-10.230595&lt;/D&gt;&lt;D xsi:type="xsd:double"&gt;-0.82143545&lt;/D&gt;&lt;D xsi:type="xsd:double"&gt;5.4235935&lt;/D&gt;&lt;D xsi:type="xsd:double"&gt;-1.6637027&lt;/D&gt;&lt;D xsi:type="xsd:double"&gt;2.4985075&lt;/D&gt;&lt;D xsi:type="xsd:double"&gt;0.81084967&lt;/D&gt;&lt;D xsi:type="xsd:double"&gt;0.3409505&lt;/D&gt;&lt;D xsi:type="xsd:double"&gt;3.3315778&lt;/D&gt;&lt;D xsi:type="xsd:double"&gt;1.5574932&lt;/D&gt;&lt;D xsi:type="xsd:double"&gt;4.285872&lt;/D&gt;&lt;D xsi:type="xsd:double"&gt;3.9637685&lt;/D&gt;&lt;D xsi:type="xsd:double"&gt;-2.8395772&lt;/D&gt;&lt;D xsi:type="xsd:double"&gt;-1.458919&lt;/D&gt;&lt;D xsi:type="xsd:double"&gt;-2.3644507&lt;/D&gt;&lt;D xsi:type="xsd:double"&gt;7.616508&lt;/D&gt;&lt;D xsi:type="xsd:double"&gt;4.7101617&lt;/D&gt;&lt;D xsi:type="xsd:double"&gt;2.0583868&lt;/D&gt;&lt;D xsi:type="xsd:double"&gt;3.063655&lt;/D&gt;&lt;D xsi:type="xsd:double"&gt;5.354607&lt;/D&gt;&lt;/FQL&gt;&lt;FQL&gt;&lt;Q&gt;EWU^FMA_DIV_YLD(NTMA,-10AY,0,AM,"PORTAGG","MEANR")&lt;/Q&gt;&lt;R&gt;121&lt;/R&gt;&lt;C&gt;1&lt;/C&gt;&lt;D xsi:type="xsd:double"&gt;3.9961482538545&lt;/D&gt;&lt;D xsi:type="xsd:double"&gt;3.92701981011548&lt;/D&gt;&lt;D xsi:type="xsd:double"&gt;3.83389158685432&lt;/D&gt;&lt;D xsi:type="xsd:double"&gt;3.83432896108197&lt;/D&gt;&lt;D xsi:type="xsd:double"&gt;3.89491264727226&lt;/D&gt;&lt;D xsi:type="xsd:double"&gt;3.92924817360739&lt;/D&gt;&lt;D xsi:type="xsd:double"&gt;3.90153985817078&lt;/D&gt;&lt;D xsi:type="xsd:double"&gt;4.1987680734051&lt;/D&gt;&lt;D xsi:type="xsd:double"&gt;4.00984894256654&lt;/D&gt;&lt;D xsi:type="xsd:double"&gt;4.13883703106732&lt;/D&gt;&lt;D xsi:type="xsd:double"&gt;4.07367903680646&lt;/D&gt;&lt;D xsi:type="xsd:double"&gt;3.94578008453403&lt;/D&gt;&lt;D xsi:type="xsd:double"&gt;3.89505638005482&lt;/D&gt;&lt;D xsi:type="xsd:double"&gt;3.88014483625808&lt;/D&gt;&lt;D xsi:type="xsd:double"&gt;3.85207764822693&lt;/D&gt;&lt;D xsi:type="xsd:double"&gt;4.04039488657605&lt;/D&gt;&lt;D xsi:type="xsd:double"&gt;4.07427415146291&lt;/D&gt;&lt;D xsi:type="xsd:double"&gt;4.39993241371633&lt;/D&gt;&lt;D xsi:type="xsd:double"&gt;4.48203350649025&lt;/D&gt;&lt;D xsi:type="xsd:double"&gt;4.25772179412717&lt;/D&gt;&lt;D xsi:type="xsd:double"&gt;4.22360903499264&lt;/D&gt;&lt;D xsi:type="xsd:double"&gt;4.44542765152722&lt;/D&gt;&lt;D xsi:type="xsd:double"&gt;4.66516135251781&lt;/D&gt;&lt;D xsi:type="xsd:double"&gt;4.61485602125878&lt;/D&gt;&lt;D xsi:type="xsd:double"&gt;4.34256500319832&lt;/D&gt;&lt;D xsi:type="xsd:double"&gt;4.2023094429083&lt;/D&gt;&lt;D xsi:type="xsd:double"&gt;4.3527263762471&lt;/D&gt;&lt;D xsi:type="xsd:double"&gt;4.26715444950521&lt;/D&gt;&lt;D xsi:type="xsd:double"&gt;4.13664023734486&lt;/D&gt;&lt;D xsi:type="xsd:double"&gt;4.08530011100557&lt;/D&gt;&lt;D xsi:type="xsd:double"&gt;4.18835038736913&lt;/D&gt;&lt;D xsi:type="xsd:double"&gt;4.2857418100981&lt;/D&gt;&lt;D xsi:type="xsd:double"&gt;4.42172640999&lt;/D&gt;&lt;D xsi:type="xsd:double"&gt;4.32299867762333&lt;/D&gt;&lt;D xsi:type="xsd:double"&gt;4.29308005604855&lt;/D&gt;&lt;D xsi:type="xsd:double"&gt;4.26869702207405&lt;/D&gt;&lt;D xsi:type="xsd:double"&gt;4.29336842163992&lt;/D&gt;&lt;D xsi:type="xsd:double"&gt;4.44291525122781&lt;/D&gt;&lt;D xsi:type="xsd:double"&gt;4.22858365501445&lt;/D&gt;&lt;D xsi:type="xsd:double"&gt;4.315763184418&lt;/D&gt;&lt;D xsi:type="xsd:double"&gt;4.26347757590242&lt;/D&gt;&lt;D xsi:type="xsd:double"&gt;4.38829686243687&lt;/D&gt;&lt;D xsi:type="xsd:double"&gt;4.34845656531661&lt;/D&gt;&lt;D xsi:type="xsd:double"&gt;4.28100068933573&lt;/D&gt;&lt;D xsi:type="xsd:double"&gt;4.37446573505147&lt;/D&gt;&lt;D xsi:type="xsd:double"&gt;4.25571832870753&lt;/D&gt;&lt;D xsi:type="xsd:double"&gt;4.17384072282199&lt;/D&gt;&lt;D xsi:type="xsd:double"&gt;4.4116284098901&lt;/D&gt;&lt;D xsi:type="xsd:double"&gt;4.56392084863237&lt;/D&gt;&lt;D xsi:type="xsd:double"&gt;4.39342065668774&lt;/D&gt;&lt;D xsi:type="xsd:double"&gt;4.21641977151412&lt;/D&gt;&lt;D xsi:type="xsd:double"&gt;4.43127112328258&lt;/D&gt;&lt;D xsi:type="xsd:double"&gt;4.40850446235198&lt;/D&gt;&lt;D xsi:type="xsd:double"&gt;4.51126342512204&lt;/D&gt;&lt;D xsi:type="xsd:double"&gt;4.51679779086999&lt;/D&gt;&lt;D xsi:type="xsd:double"&gt;4.83070597815816&lt;/D&gt;&lt;D xsi:type="xsd:double"&gt;4.91495516235678&lt;/D&gt;&lt;D xsi:type="xsd:double"&gt;5.21478301593075&lt;/D&gt;&lt;D xsi:type="xsd:double"&gt;5.11487313328544&lt;/D&gt;&lt;D xsi:type="xsd:double"&gt;4.95503655995837&lt;/D&gt;&lt;D xsi:type="xsd:double"&gt;4.85427674939576&lt;/D&gt;&lt;D xsi:type="xsd:double"&gt;4.82207689741669&lt;/D&gt;&lt;D xsi:type="xsd:double"&gt;4.87902125898827&lt;/D&gt;&lt;D xsi:type="xsd:double"&gt;4.79126481102497&lt;/D&gt;&lt;D xsi:type="xsd:double"&gt;4.80801437783155&lt;/D&gt;&lt;D xsi:type="xsd:double"&gt;5.08395655450667&lt;/D&gt;&lt;D xsi:type="xsd:double"&gt;4.91135426812969&lt;/D&gt;&lt;D xsi:type="xsd:double"&gt;4.91829079205582&lt;/D&gt;&lt;D xsi:type="xsd:double"&gt;4.85316380766222&lt;/D&gt;&lt;D xsi:type="xsd:double"&gt;4.57796952251224&lt;/D&gt;&lt;D xsi:type="xsd:double"&gt;4.56490664510286&lt;/D&gt;&lt;D xsi:type="xsd:double"&gt;4.71100642437905&lt;/D&gt;&lt;D xsi:type="xsd:double"&gt;6.97655085282471&lt;/D&gt;&lt;D xsi:type="xsd:double"&gt;5.80344360429783&lt;/D&gt;&lt;D xsi:type="xsd:double"&gt;4.31753687428218&lt;/D&gt;&lt;D xsi:type="xsd:double"&gt;4.06728623385156&lt;/D&gt;&lt;D xsi:type="xsd:double"&gt;3.97246608619681&lt;/D&gt;&lt;D xsi:type="xsd:double"&gt;4.05170889160006&lt;/D&gt;&lt;D xsi:type="xsd:double"&gt;4.26851035540801&lt;/D&gt;&lt;D xsi:type="xsd:double"&gt;4.37350702379446&lt;/D&gt;&lt;D xsi:type="xsd:double"&gt;4.01603855249809&lt;/D&gt;&lt;D xsi:type="xsd:double"&gt;4.00223834764024&lt;/D&gt;&lt;D xsi:type="xsd:double"&gt;3.89246603835607&lt;/D&gt;&lt;D xsi:type="xsd:double"&gt;3.99031076973222&lt;/D&gt;&lt;D xsi:type="xsd:double"&gt;4.01982011083952&lt;/D&gt;&lt;D xsi:type="xsd:double"&gt;3.9760535563719&lt;/D&gt;&lt;D xsi:type="xsd:double"&gt;3.91492949378402&lt;/D&gt;&lt;D xsi:type="xsd:double"&gt;3.94175149549768&lt;/D&gt;&lt;D xsi:type="xsd:double"&gt;4.11941721450305&lt;/D&gt;&lt;D xsi:type="xsd:double"&gt;4.23273924432505&lt;/D&gt;&lt;D xsi:type="xsd:double"&gt;4.25744322060316&lt;/D&gt;&lt;D xsi:type="xsd:double"&gt;4.04928479512253&lt;/D&gt;&lt;D xsi:type="xsd:double"&gt;4.05616860033845&lt;/D&gt;&lt;D xsi:type="xsd:double"&gt;4.00390448081901&lt;/D&gt;&lt;D xsi:type="xsd:double"&gt;3.86023009226083&lt;/D&gt;&lt;D xsi:type="xsd:double"&gt;3.83923939821999&lt;/D&gt;&lt;D xsi:type="xsd:double"&gt;3.96227406671281&lt;/D&gt;&lt;D xsi:type="xsd:double"&gt;3.93830963496073&lt;/D&gt;&lt;D xsi:type="xsd:double"&gt;4.14979438038551&lt;/D&gt;&lt;D xsi:type="xsd:double"&gt;4.33027592013659&lt;/D&gt;&lt;D xsi:type="xsd:double"&gt;4.29330257329571&lt;/D&gt;&lt;D xsi:type="xsd:double"&gt;4.21792774127763&lt;/D&gt;&lt;D xsi:type="xsd:double"&gt;4.51117620402205&lt;/D&gt;&lt;D xsi:type="xsd:double"&gt;4.63073998030394&lt;/D&gt;&lt;D xsi:type="xsd:double"&gt;4.3622462053804&lt;/D&gt;&lt;D xsi:type="xsd:double"&gt;4.23701608172631&lt;/D&gt;&lt;D xsi:type="xsd:double"&gt;4.07219616655852&lt;/D&gt;&lt;D xsi:type="xsd:double"&gt;4.05344335212455&lt;/D&gt;&lt;D xsi:type="xsd:double"&gt;4.31907864475492&lt;/D&gt;&lt;D xsi:type="xsd:double"&gt;4.06370167332109&lt;/D&gt;&lt;D xsi:type="xsd:double"&gt;4.29001705346168&lt;/D&gt;&lt;D xsi:type="xsd:double"&gt;4.41485819619727&lt;/D&gt;&lt;D xsi:type="xsd:double"&gt;4.30685481625881&lt;/D&gt;&lt;D xsi:type="xsd:double"&gt;4.59274078927799&lt;/D&gt;&lt;D xsi:type="xsd:double"&gt;4.41503163901388&lt;/D&gt;&lt;D xsi:type="xsd:double"&gt;4.59702806478302&lt;/D&gt;&lt;D xsi:type="xsd:double"&gt;4.47921088305548&lt;/D&gt;&lt;D xsi:type="xsd:double"&gt;4.30029013823453&lt;/D&gt;&lt;D xsi:type="xsd:double"&gt;4.45031183770006&lt;/D&gt;&lt;D xsi:type="xsd:double"&gt;4.21885515433271&lt;/D&gt;&lt;D xsi:type="xsd:double"&gt;4.13251556586236&lt;/D&gt;&lt;/FQL&gt;&lt;FQL&gt;&lt;Q&gt;EWJ^FMA_PE(NTMA,-10AY,0,AM,"PORTAGG","MEANR")&lt;/Q&gt;&lt;R&gt;121&lt;/R&gt;&lt;C&gt;1&lt;/C&gt;&lt;D xsi:type="xsd:double"&gt;12.6785010305084&lt;/D&gt;&lt;D xsi:type="xsd:double"&gt;12.92435827897&lt;/D&gt;&lt;D xsi:type="xsd:double"&gt;12.649802307209&lt;/D&gt;&lt;D xsi:type="xsd:double"&gt;13.8945772851621&lt;/D&gt;&lt;D xsi:type="xsd:double"&gt;13.7033947599655&lt;/D&gt;&lt;D xsi:type="xsd:double"&gt;13.7872149518068&lt;/D&gt;&lt;D xsi:type="xsd:double"&gt;14.1693633612147&lt;/D&gt;&lt;D xsi:type="xsd:double"&gt;12.7176379847658&lt;/D&gt;&lt;D xsi:type="xsd:double"&gt;14.533363196839&lt;/D&gt;&lt;D xsi:type="xsd:double"&gt;14.3332210878367&lt;/D&gt;&lt;D xsi:type="xsd:double"&gt;13.9659470029376&lt;/D&gt;&lt;D xsi:type="xsd:double"&gt;14.8992878845547&lt;/D&gt;&lt;D xsi:type="xsd:double"&gt;15.6124187551251&lt;/D&gt;&lt;D xsi:type="xsd:double"&gt;15.8222022144556&lt;/D&gt;&lt;D xsi:type="xsd:double"&gt;16.238784921676&lt;/D&gt;&lt;D xsi:type="xsd:double"&gt;15.5155974524686&lt;/D&gt;&lt;D xsi:type="xsd:double"&gt;15.7147431100881&lt;/D&gt;&lt;D xsi:type="xsd:double"&gt;14.5700227074708&lt;/D&gt;&lt;D xsi:type="xsd:double"&gt;13.458913700195&lt;/D&gt;&lt;D xsi:type="xsd:double"&gt;14.0930662591329&lt;/D&gt;&lt;D xsi:type="xsd:double"&gt;14.7968998408974&lt;/D&gt;&lt;D xsi:type="xsd:double"&gt;13.93116004772&lt;/D&gt;&lt;D xsi:type="xsd:double"&gt;11.8366352749165&lt;/D&gt;&lt;D xsi:type="xsd:double"&gt;12.0496146097453&lt;/D&gt;&lt;D xsi:type="xsd:double"&gt;12.7769887854743&lt;/D&gt;&lt;D xsi:type="xsd:double"&gt;13.3854099708167&lt;/D&gt;&lt;D xsi:type="xsd:double"&gt;13.2055252574719&lt;/D&gt;&lt;D xsi:type="xsd:double"&gt;13.056296372144&lt;/D&gt;&lt;D xsi:type="xsd:double"&gt;13.7234218671207&lt;/D&gt;&lt;D xsi:type="xsd:double"&gt;13.1999097400267&lt;/D&gt;&lt;D xsi:type="xsd:double"&gt;13.6433986191692&lt;/D&gt;&lt;D xsi:type="xsd:double"&gt;13.6011668441542&lt;/D&gt;&lt;D xsi:type="xsd:double"&gt;14.2366456560204&lt;/D&gt;&lt;D xsi:type="xsd:double"&gt;14.971522774338&lt;/D&gt;&lt;D xsi:type="xsd:double"&gt;14.651375296076&lt;/D&gt;&lt;D xsi:type="xsd:double"&gt;14.3967726380471&lt;/D&gt;&lt;D xsi:type="xsd:double"&gt;14.2260537938517&lt;/D&gt;&lt;D xsi:type="xsd:double"&gt;13.4776269570852&lt;/D&gt;&lt;D xsi:type="xsd:double"&gt;14.1663293779178&lt;/D&gt;&lt;D xsi:type="xsd:double"&gt;14.440913551792&lt;/D&gt;&lt;D xsi:type="xsd:double"&gt;14.3018694223789&lt;/D&gt;&lt;D xsi:type="xsd:double"&gt;13.6389495462763&lt;/D&gt;&lt;D xsi:type="xsd:double"&gt;13.9943759522914&lt;/D&gt;&lt;D xsi:type="xsd:double"&gt;14.3831873090459&lt;/D&gt;&lt;D xsi:type="xsd:double"&gt;14.5206778070161&lt;/D&gt;&lt;D xsi:type="xsd:double"&gt;14.7257158256998&lt;/D&gt;&lt;D xsi:type="xsd:double"&gt;15.2634875894685&lt;/D&gt;&lt;D xsi:type="xsd:double"&gt;13.3468459430562&lt;/D&gt;&lt;D xsi:type="xsd:double"&gt;12.8236995300135&lt;/D&gt;&lt;D xsi:type="xsd:double"&gt;13.027126929695&lt;/D&gt;&lt;D xsi:type="xsd:double"&gt;13.456489704496&lt;/D&gt;&lt;D xsi:type="xsd:double"&gt;12.9600138790748&lt;/D&gt;&lt;D xsi:type="xsd:double"&gt;12.900305967207&lt;/D&gt;&lt;D xsi:type="xsd:double"&gt;12.3955198630686&lt;/D&gt;&lt;D xsi:type="xsd:double"&gt;13.2522009189224&lt;/D&gt;&lt;D xsi:type="xsd:double"&gt;12.3328512637998&lt;/D&gt;&lt;D xsi:type="xsd:double"&gt;11.8620840060972&lt;/D&gt;&lt;D xsi:type="xsd:double"&gt;11.068554444202&lt;/D&gt;&lt;D xsi:type="xsd:double"&gt;11.7525552123163&lt;/D&gt;&lt;D xsi:type="xsd:double"&gt;12.4377108242893&lt;/D&gt;&lt;D xsi:type="xsd:double"&gt;12.6534703147415&lt;/D&gt;&lt;D xsi:type="xsd:double"&gt;12.7032384114308&lt;/D&gt;&lt;D xsi:type="xsd:double"&gt;12.3342005813684&lt;/D&gt;&lt;D xsi:type="xsd:double"&gt;12.6498401940054&lt;/D&gt;&lt;D xsi:type="xsd:double"&gt;12.8344694226833&lt;/D&gt;&lt;D xsi:type="xsd:double"&gt;12.4021780462953&lt;/D&gt;&lt;D xsi:type="xsd:double"&gt;13.4283515438401&lt;/D&gt;&lt;D xsi:type="xsd:double"&gt;13.5534859847126&lt;/D&gt;&lt;D xsi:type="xsd:double"&gt;14.0770957301772&lt;/D&gt;&lt;D xsi:type="xsd:double"&gt;14.6325136267469&lt;/D&gt;&lt;D xsi:type="xsd:double"&gt;14.6252743315321&lt;/D&gt;&lt;D xsi:type="xsd:double"&gt;14.2410865040729&lt;/D&gt;&lt;D xsi:type="xsd:double"&gt;11.0345319948362&lt;/D&gt;&lt;D xsi:type="xsd:double"&gt;13.2854321702426&lt;/D&gt;&lt;D xsi:type="xsd:double"&gt;14.999936556795&lt;/D&gt;&lt;D xsi:type="xsd:double"&gt;17.8102351185961&lt;/D&gt;&lt;D xsi:type="xsd:double"&gt;18.0101796738705&lt;/D&gt;&lt;D xsi:type="xsd:double"&gt;17.9618462728069&lt;/D&gt;&lt;D xsi:type="xsd:double"&gt;18.4144782075311&lt;/D&gt;&lt;D xsi:type="xsd:double"&gt;17.8751558731093&lt;/D&gt;&lt;D xsi:type="xsd:double"&gt;18.3554350105917&lt;/D&gt;&lt;D xsi:type="xsd:double"&gt;18.3356663225591&lt;/D&gt;&lt;D xsi:type="xsd:double"&gt;18.7308590244217&lt;/D&gt;&lt;D xsi:type="xsd:double"&gt;18.5883420228175&lt;/D&gt;&lt;D xsi:type="xsd:double"&gt;18.1307878884435&lt;/D&gt;&lt;D xsi:type="xsd:double"&gt;16.6872326314258&lt;/D&gt;&lt;D xsi:type="xsd:double"&gt;16.2485780294066&lt;/D&gt;&lt;D xsi:type="xsd:double"&gt;15.9267787458733&lt;/D&gt;&lt;D xsi:type="xsd:double"&gt;15.6501994952525&lt;/D&gt;&lt;D xsi:type="xsd:double"&gt;14.9219723081459&lt;/D&gt;&lt;D xsi:type="xsd:double"&gt;15.8201386749657&lt;/D&gt;&lt;D xsi:type="xsd:double"&gt;15.1630780093378&lt;/D&gt;&lt;D xsi:type="xsd:double"&gt;15.3066012548586&lt;/D&gt;&lt;D xsi:type="xsd:double"&gt;14.4190861341056&lt;/D&gt;&lt;D xsi:type="xsd:double"&gt;13.9080979251666&lt;/D&gt;&lt;D xsi:type="xsd:double"&gt;13.551260945641&lt;/D&gt;&lt;D xsi:type="xsd:double"&gt;13.0260380039586&lt;/D&gt;&lt;D xsi:type="xsd:double"&gt;13.0995387681097&lt;/D&gt;&lt;D xsi:type="xsd:double"&gt;12.6556590983758&lt;/D&gt;&lt;D xsi:type="xsd:double"&gt;12.2869611692753&lt;/D&gt;&lt;D xsi:type="xsd:double"&gt;12.8425956893987&lt;/D&gt;&lt;D xsi:type="xsd:double"&gt;13.0534313838677&lt;/D&gt;&lt;D xsi:type="xsd:double"&gt;12.4939120031807&lt;/D&gt;&lt;D xsi:type="xsd:double"&gt;12.1773766822549&lt;/D&gt;&lt;D xsi:type="xsd:double"&gt;12.8268193850626&lt;/D&gt;&lt;D xsi:type="xsd:double"&gt;12.266308159953&lt;/D&gt;&lt;D xsi:type="xsd:double"&gt;12.5353060275425&lt;/D&gt;&lt;D xsi:type="xsd:double"&gt;13.0603617879196&lt;/D&gt;&lt;D xsi:type="xsd:double"&gt;12.6518446630156&lt;/D&gt;&lt;D xsi:type="xsd:double"&gt;13.3677652934759&lt;/D&gt;&lt;D xsi:type="xsd:double"&gt;14.2430297425285&lt;/D&gt;&lt;D xsi:type="xsd:double"&gt;14.9672592365541&lt;/D&gt;&lt;D xsi:type="xsd:double"&gt;14.5364862370147&lt;/D&gt;&lt;D xsi:type="xsd:double"&gt;14.0520203422211&lt;/D&gt;&lt;D xsi:type="xsd:double"&gt;14.8010800000223&lt;/D&gt;&lt;D xsi:type="xsd:double"&gt;13.889943051131&lt;/D&gt;&lt;D xsi:type="xsd:double"&gt;14.3496645402665&lt;/D&gt;&lt;D xsi:type="xsd:double"&gt;13.8610185192629&lt;/D&gt;&lt;D xsi:type="xsd:double"&gt;14.9095126119701&lt;/D&gt;&lt;D xsi:type="xsd:double"&gt;15.308540410107&lt;/D&gt;&lt;D xsi:type="xsd:double"&gt;15.6371720229554&lt;/D&gt;&lt;/FQL&gt;&lt;FQL&gt;&lt;Q&gt;EWC^FMA_PE(LTMA,-10AY,0,AM,"PORTAGG","MEANR")&lt;/Q&gt;&lt;R&gt;121&lt;/R&gt;&lt;C&gt;1&lt;/C&gt;&lt;D xsi:type="xsd:double"&gt;16.5035780962786&lt;/D&gt;&lt;D xsi:type="xsd:double"&gt;16.3382233352605&lt;/D&gt;&lt;D xsi:type="xsd:double"&gt;16.2369256286626&lt;/D&gt;&lt;D xsi:type="xsd:double"&gt;16.282480102011&lt;/D&gt;&lt;D xsi:type="xsd:double"&gt;16.3105302056528&lt;/D&gt;&lt;D xsi:type="xsd:double"&gt;16.4656419801761&lt;/D&gt;&lt;D xsi:type="xsd:double"&gt;16.2208774714986&lt;/D&gt;&lt;D xsi:type="xsd:double"&gt;15.6133639859212&lt;/D&gt;&lt;D xsi:type="xsd:double"&gt;16.0367495674716&lt;/D&gt;&lt;D xsi:type="xsd:double"&gt;15.4836332050226&lt;/D&gt;&lt;D xsi:type="xsd:double"&gt;15.5724927875838&lt;/D&gt;&lt;D xsi:type="xsd:double"&gt;16.8890064689003&lt;/D&gt;&lt;D xsi:type="xsd:double"&gt;17.056064576718&lt;/D&gt;&lt;D xsi:type="xsd:double"&gt;17.2860536414594&lt;/D&gt;&lt;D xsi:type="xsd:</t>
        </r>
      </text>
    </comment>
    <comment ref="A6" authorId="0" shapeId="0" xr:uid="{B8601ABF-3302-4C44-AE5A-F28B880C4071}">
      <text>
        <r>
          <rPr>
            <b/>
            <sz val="9"/>
            <color indexed="81"/>
            <rFont val="Tahoma"/>
            <charset val="1"/>
          </rPr>
          <t>double"&gt;17.2999944487148&lt;/D&gt;&lt;D xsi:type="xsd:double"&gt;17.0681023207364&lt;/D&gt;&lt;D xsi:type="xsd:double"&gt;16.92519618381&lt;/D&gt;&lt;D xsi:type="xsd:double"&gt;16.3393590263388&lt;/D&gt;&lt;D xsi:type="xsd:double"&gt;16.7260179701312&lt;/D&gt;&lt;D xsi:type="xsd:double"&gt;16.788394195699&lt;/D&gt;&lt;D xsi:type="xsd:double"&gt;16.7356437914676&lt;/D&gt;&lt;D xsi:type="xsd:double"&gt;16.208871911584&lt;/D&gt;&lt;D xsi:type="xsd:double"&gt;14.5990311657571&lt;/D&gt;&lt;D xsi:type="xsd:double"&gt;15.4295959323948&lt;/D&gt;&lt;D xsi:type="xsd:double"&gt;16.0283077187194&lt;/D&gt;&lt;D xsi:type="xsd:double"&gt;16.2949237925772&lt;/D&gt;&lt;D xsi:type="xsd:double"&gt;16.4854119470978&lt;/D&gt;&lt;D xsi:type="xsd:double"&gt;16.7549884997774&lt;/D&gt;&lt;D xsi:type="xsd:double"&gt;17.2001730400723&lt;/D&gt;&lt;D xsi:type="xsd:double"&gt;17.4953083081&lt;/D&gt;&lt;D xsi:type="xsd:double"&gt;17.7333645597732&lt;/D&gt;&lt;D xsi:type="xsd:double"&gt;18.2740709595542&lt;/D&gt;&lt;D xsi:type="xsd:double"&gt;18.7473863171112&lt;/D&gt;&lt;D xsi:type="xsd:double"&gt;19.3118817183329&lt;/D&gt;&lt;D xsi:type="xsd:double"&gt;19.9477875008539&lt;/D&gt;&lt;D xsi:type="xsd:double"&gt;19.9209736521201&lt;/D&gt;&lt;D xsi:type="xsd:double"&gt;19.1430799343537&lt;/D&gt;&lt;D xsi:type="xsd:double"&gt;18.906962939607&lt;/D&gt;&lt;D xsi:type="xsd:double"&gt;18.5578153216589&lt;/D&gt;&lt;D xsi:type="xsd:double"&gt;18.1011117810351&lt;/D&gt;&lt;D xsi:type="xsd:double"&gt;18.0632138973847&lt;/D&gt;&lt;D xsi:type="xsd:double"&gt;17.5967740487712&lt;/D&gt;&lt;D xsi:type="xsd:double"&gt;17.5642101887133&lt;/D&gt;&lt;D xsi:type="xsd:double"&gt;17.5465534535062&lt;/D&gt;&lt;D xsi:type="xsd:double"&gt;17.3922757436155&lt;/D&gt;&lt;D xsi:type="xsd:double"&gt;17.2595853830211&lt;/D&gt;&lt;D xsi:type="xsd:double"&gt;17.2884953361791&lt;/D&gt;&lt;D xsi:type="xsd:double"&gt;15.9667547623946&lt;/D&gt;&lt;D xsi:type="xsd:double"&gt;15.7904554181958&lt;/D&gt;&lt;D xsi:type="xsd:double"&gt;15.6120818374772&lt;/D&gt;&lt;D xsi:type="xsd:double"&gt;15.6253130292015&lt;/D&gt;&lt;D xsi:type="xsd:double"&gt;15.5810256583692&lt;/D&gt;&lt;D xsi:type="xsd:double"&gt;15.4935870473719&lt;/D&gt;&lt;D xsi:type="xsd:double"&gt;15.3301809898496&lt;/D&gt;&lt;D xsi:type="xsd:double"&gt;15.1683550205227&lt;/D&gt;&lt;D xsi:type="xsd:double"&gt;14.525056107651&lt;/D&gt;&lt;D xsi:type="xsd:double"&gt;14.0337307945213&lt;/D&gt;&lt;D xsi:type="xsd:double"&gt;12.8216128933924&lt;/D&gt;&lt;D xsi:type="xsd:double"&gt;14.1209983742583&lt;/D&gt;&lt;D xsi:type="xsd:double"&gt;14.8330668542167&lt;/D&gt;&lt;D xsi:type="xsd:double"&gt;14.7445173512326&lt;/D&gt;&lt;D xsi:type="xsd:double"&gt;14.6669825600435&lt;/D&gt;&lt;D xsi:type="xsd:double"&gt;14.5266326951885&lt;/D&gt;&lt;D xsi:type="xsd:double"&gt;14.5472140057791&lt;/D&gt;&lt;D xsi:type="xsd:double"&gt;14.4880767561533&lt;/D&gt;&lt;D xsi:type="xsd:double"&gt;14.3838156208912&lt;/D&gt;&lt;D xsi:type="xsd:double"&gt;14.8020949112412&lt;/D&gt;&lt;D xsi:type="xsd:double"&gt;14.6081418364961&lt;/D&gt;&lt;D xsi:type="xsd:double"&gt;15.0956540389104&lt;/D&gt;&lt;D xsi:type="xsd:double"&gt;15.3429411151476&lt;/D&gt;&lt;D xsi:type="xsd:double"&gt;15.6791643329019&lt;/D&gt;&lt;D xsi:type="xsd:double"&gt;15.7139394754165&lt;/D&gt;&lt;D xsi:type="xsd:double"&gt;13.776175351558&lt;/D&gt;&lt;D xsi:type="xsd:double"&gt;14.9567798186383&lt;/D&gt;&lt;D xsi:type="xsd:double"&gt;16.8113486758527&lt;/D&gt;&lt;D xsi:type="xsd:double"&gt;17.259174082093&lt;/D&gt;&lt;D xsi:type="xsd:double"&gt;17.871728796651&lt;/D&gt;&lt;D xsi:type="xsd:double"&gt;18.257028307323&lt;/D&gt;&lt;D xsi:type="xsd:double"&gt;18.0791810022117&lt;/D&gt;&lt;D xsi:type="xsd:double"&gt;18.6750987302528&lt;/D&gt;&lt;D xsi:type="xsd:double"&gt;19.4816343881514&lt;/D&gt;&lt;D xsi:type="xsd:double"&gt;20.2898828854306&lt;/D&gt;&lt;D xsi:type="xsd:double"&gt;20.9486345291608&lt;/D&gt;&lt;D xsi:type="xsd:double"&gt;20.6256672929469&lt;/D&gt;&lt;D xsi:type="xsd:double"&gt;19.7704429737078&lt;/D&gt;&lt;D xsi:type="xsd:double"&gt;19.3451169803558&lt;/D&gt;&lt;D xsi:type="xsd:double"&gt;18.8841874240172&lt;/D&gt;&lt;D xsi:type="xsd:double"&gt;18.6014861645513&lt;/D&gt;&lt;D xsi:type="xsd:double"&gt;18.0020714647619&lt;/D&gt;&lt;D xsi:type="xsd:double"&gt;17.339344182118&lt;/D&gt;&lt;D xsi:type="xsd:double"&gt;16.5937490888562&lt;/D&gt;&lt;D xsi:type="xsd:double"&gt;16.915227203612&lt;/D&gt;&lt;D xsi:type="xsd:double"&gt;16.3394647971549&lt;/D&gt;&lt;D xsi:type="xsd:double"&gt;15.4313829899497&lt;/D&gt;&lt;D xsi:type="xsd:double"&gt;14.9995068318366&lt;/D&gt;&lt;D xsi:type="xsd:double"&gt;15.191773736243&lt;/D&gt;&lt;D xsi:type="xsd:double"&gt;15.1536062297544&lt;/D&gt;&lt;D xsi:type="xsd:double"&gt;14.8572436060277&lt;/D&gt;&lt;D xsi:type="xsd:double"&gt;14.2772308383899&lt;/D&gt;&lt;D xsi:type="xsd:double"&gt;13.6397595592261&lt;/D&gt;&lt;D xsi:type="xsd:double"&gt;13.2214876954067&lt;/D&gt;&lt;D xsi:type="xsd:double"&gt;13.2706614528033&lt;/D&gt;&lt;D xsi:type="xsd:double"&gt;12.5754730779615&lt;/D&gt;&lt;D xsi:type="xsd:double"&gt;12.2845264544013&lt;/D&gt;&lt;D xsi:type="xsd:double"&gt;12.5733798271175&lt;/D&gt;&lt;D xsi:type="xsd:double"&gt;12.23947299598&lt;/D&gt;&lt;D xsi:type="xsd:double"&gt;12.7392300665732&lt;/D&gt;&lt;D xsi:type="xsd:double"&gt;12.6012135187464&lt;/D&gt;&lt;D xsi:type="xsd:double"&gt;12.5463052346121&lt;/D&gt;&lt;D xsi:type="xsd:double"&gt;12.8245785362705&lt;/D&gt;&lt;D xsi:type="xsd:double"&gt;12.8649210355595&lt;/D&gt;&lt;D xsi:type="xsd:double"&gt;12.8667040963178&lt;/D&gt;&lt;D xsi:type="xsd:double"&gt;13.4598152143447&lt;/D&gt;&lt;D xsi:type="xsd:double"&gt;13.259872055546&lt;/D&gt;&lt;D xsi:type="xsd:double"&gt;13.3957645739372&lt;/D&gt;&lt;D xsi:type="xsd:double"&gt;13.1021039589462&lt;/D&gt;&lt;D xsi:type="xsd:double"&gt;13.721108040744&lt;/D&gt;&lt;D xsi:type="xsd:double"&gt;14.4046108440396&lt;/D&gt;&lt;D xsi:type="xsd:double"&gt;14.5722441977082&lt;/D&gt;&lt;D xsi:type="xsd:double"&gt;14.7006759658342&lt;/D&gt;&lt;D xsi:type="xsd:double"&gt;14.9217474554776&lt;/D&gt;&lt;/FQL&gt;&lt;FQL&gt;&lt;Q&gt;WL-FDS^FG_PRICE_CHANGE(0,-3AM)&lt;/Q&gt;&lt;R&gt;1&lt;/R&gt;&lt;C&gt;1&lt;/C&gt;&lt;D xsi:type="xsd:double"&gt;9.08471109596045&lt;/D&gt;&lt;/FQL&gt;&lt;FQL&gt;&lt;Q&gt;CPALM-FDS^FG_PRICE_CHANGE(0,-3AM)&lt;/Q&gt;&lt;R&gt;1&lt;/R&gt;&lt;C&gt;1&lt;/C&gt;&lt;D xsi:type="xsd:double"&gt;18.4540010887316&lt;/D&gt;&lt;/FQL&gt;&lt;FQL&gt;&lt;Q&gt;BRENT-FDS^FG_PRICE_CHANGE(0,-3AM)&lt;/Q&gt;&lt;R&gt;1&lt;/R&gt;&lt;C&gt;1&lt;/C&gt;&lt;D xsi:type="xsd:double"&gt;0&lt;/D&gt;&lt;/FQL&gt;&lt;FQL&gt;&lt;Q&gt;EWU^FG_PRICE_MAVG(0,,,,200)&lt;/Q&gt;&lt;R&gt;1&lt;/R&gt;&lt;C&gt;1&lt;/C&gt;&lt;D xsi:type="xsd:double"&gt;32.26905&lt;/D&gt;&lt;/FQL&gt;&lt;FQL&gt;&lt;Q&gt;FXI^PERCENT_CHANGE(FMA_EPS(+1,0,,,,"PORTAGG","MEAN"),FMA_EPS(+1,-3AM,,,,"PORTAGG","MEAN"))&lt;/Q&gt;&lt;R&gt;1&lt;/R&gt;&lt;C&gt;1&lt;/C&gt;&lt;D xsi:type="xsd:double"&gt;-3.92676623640929&lt;/D&gt;&lt;/FQL&gt;&lt;FQL&gt;&lt;Q&gt;EWJ^FG_TOTAL_RETURNC(0,-3AM)&lt;/Q&gt;&lt;R&gt;1&lt;/R&gt;&lt;C&gt;1&lt;/C&gt;&lt;D xsi:type="xsd:double"&gt;13.781082&lt;/D&gt;&lt;/FQL&gt;&lt;FQL&gt;&lt;Q&gt;VWO^P_PRICE(0)/P_PRICE_HIGH_PR(0,,,USD,,,"PRICE","INTRA","52W")&lt;/Q&gt;&lt;R&gt;1&lt;/R&gt;&lt;C&gt;1&lt;/C&gt;&lt;D xsi:type="xsd:double"&gt;0.9716938&lt;/D&gt;&lt;/FQL&gt;&lt;FQL&gt;&lt;Q&gt;EWI^FG_TOTAL_RETURNC(0,-12AM)&lt;/Q&gt;&lt;R&gt;1&lt;/R&gt;&lt;C&gt;1&lt;/C&gt;&lt;D xsi:type="xsd:double"&gt;31.330181&lt;/D&gt;&lt;/FQL&gt;&lt;FQL&gt;&lt;Q&gt;EWD^PERCENT_CHANGE(FMA_EPS(+1,0,,,,"PORTAGG","MEAN"),FMA_EPS(+1,-1AM,,,,"PORTAGG","MEAN"))&lt;/Q&gt;&lt;R&gt;1&lt;/R&gt;&lt;C&gt;1&lt;/C&gt;&lt;D xsi:type="xsd:double"&gt;-0.50993075393794&lt;/D&gt;&lt;/FQL&gt;&lt;FQL&gt;&lt;Q&gt;EWQ^FG_TOTAL_RETURNC(0,-1AM)&lt;/Q&gt;&lt;R&gt;1&lt;/R&gt;&lt;C&gt;1&lt;/C&gt;&lt;D xsi:type="xsd:double"&gt;4.155123&lt;/D&gt;&lt;/FQL&gt;&lt;FQL&gt;&lt;Q&gt;EWU^FMA_ROE(NTMA,-20AY,NOW,FY,"PORTAGG","MEANR")&lt;/Q&gt;&lt;R&gt;20&lt;/R&gt;&lt;C&gt;1&lt;/C&gt;&lt;D xsi:type="xsd:double"&gt;17.0013743335587&lt;/D&gt;&lt;D xsi:type="xsd:double"&gt;17.4840740170497&lt;/D&gt;&lt;D xsi:type="xsd:double"&gt;19.4425742504053&lt;/D&gt;&lt;D xsi:type="xsd:double"&gt;18.9225481633064&lt;/D&gt;&lt;D xsi:type="xsd:double"&gt;14.9735451636047&lt;/D&gt;&lt;D xsi:type="xsd:double"&gt;14.6457818658238&lt;/D&gt;&lt;D xsi:type="xsd:double"&gt;16.1542964974398&lt;/D&gt;&lt;D xsi:type="xsd:double"&gt;15.1996078376158&lt;/D&gt;&lt;D xsi:type="xsd:double"&gt;14.4781479669762&lt;/D&gt;&lt;D xsi:type="xsd:double"&gt;13.3640315886099&lt;/D&gt;&lt;D xsi:type="xsd:double"&gt;12.2326503305714&lt;/D&gt;&lt;D xsi:type="xsd:double"&gt;11.1900784012713&lt;/D&gt;&lt;D xsi:type="xsd:double"&gt;12.1967915012023&lt;/D&gt;&lt;D xsi:type="xsd:double"&gt;12.7329318595365&lt;/D&gt;&lt;D xsi:type="xsd:double"&gt;13.1887832891224&lt;/D&gt;&lt;D xsi:type="xsd:double"&gt;12.8710545012496&lt;/D&gt;&lt;D xsi:type="xsd:double"&gt;11.2050609808234&lt;/D&gt;&lt;D xsi:type="xsd:double"&gt;13.9227699470217&lt;/D&gt;&lt;D xsi:type="xsd:double"&gt;15.8587444123321&lt;/D&gt;&lt;D xsi:type="xsd:double"&gt;14.732463877154&lt;/D&gt;&lt;/FQL&gt;&lt;FQL&gt;&lt;Q&gt;TRYMX10Y-FDS^FG_YIELD(-10AY,0,Y,,"YTM")&lt;/Q&gt;&lt;R&gt;10&lt;/R&gt;&lt;C&gt;1&lt;/C&gt;&lt;D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xsi:type="xsd:double"&gt;6.6087&lt;/D&gt;&lt;/FQL&gt;&lt;FQL&gt;&lt;Q&gt;USDAUD^STD(FG_PRICE_CHANGE(0,-1AY,AM))&lt;/Q&gt;&lt;R&gt;1&lt;/R&gt;&lt;C&gt;1&lt;/C&gt;&lt;D xsi:type="xsd:double"&gt;2.55642220218155&lt;/D&gt;&lt;/FQL&gt;&lt;FQL&gt;&lt;Q&gt;EWD^FMA_EPS(NTMA,-20AY,0,CY,,"PORTAGG","MEANR")&lt;/Q&gt;&lt;R&gt;20&lt;/R&gt;&lt;C&gt;1&lt;/C&gt;&lt;D xsi:type="xsd:double"&gt;1.55275820794805&lt;/D&gt;&lt;D xsi:type="xsd:double"&gt;1.54581744522321&lt;/D&gt;&lt;D xsi:type="xsd:double"&gt;2.18886161040082&lt;/D&gt;&lt;D xsi:type="xsd:double"&gt;2.54439610565031&lt;/D&gt;&lt;D xsi:type="xsd:double"&gt;1.55027933568846&lt;/D&gt;&lt;D xsi:type="xsd:double"&gt;1.36361799599867&lt;/D&gt;&lt;D xsi:type="xsd:double"&gt;2.27207932583515&lt;/D&gt;&lt;D xsi:type="xsd:double"&gt;2.18253517023992&lt;/D&gt;&lt;D xsi:type="xsd:double"&gt;2.32063293486455&lt;/D&gt;&lt;D xsi:type="xsd:double"&gt;2.31545066006368&lt;/D&gt;&lt;D xsi:type="xsd:double"&gt;2.02872425818202&lt;/D&gt;&lt;D xsi:type="xsd:double"&gt;1.94857888922314&lt;/D&gt;&lt;D xsi:type="xsd:double"&gt;1.75138174890933&lt;/D&gt;&lt;D xsi:type="xsd:double"&gt;2.10390186893761&lt;/D&gt;&lt;D xsi:type="xsd:double"&gt;2.115438961001&lt;/D&gt;&lt;D xsi:type="xsd:double"&gt;2.04500090470961&lt;/D&gt;&lt;D xsi:type="xsd:double"&gt;2.21381527836792&lt;/D&gt;&lt;D xsi:type="xsd:double"&gt;2.4898156587914&lt;/D&gt;&lt;D xsi:type="xsd:double"&gt;2.56419575016557&lt;/D&gt;&lt;D xsi:type="xsd:double"&gt;2.5100925842499&lt;/D&gt;&lt;/FQL&gt;&lt;FQL&gt;&lt;Q&gt;EWQ^P_PRICE_RETURNS_PR('52W',2,-10AY,0,AM)&lt;/Q&gt;&lt;R&gt;121&lt;/R&gt;&lt;C&gt;1&lt;/C&gt;&lt;D xsi:type="xsd:double"&gt;24.86037&lt;/D&gt;&lt;D xsi:type="xsd:double"&gt;32.32868&lt;/D&gt;&lt;D xsi:type="xsd:double"&gt;20.495296&lt;/D&gt;&lt;D xsi:type="xsd:double"&gt;29.582918&lt;/D&gt;&lt;D xsi:type="xsd:double"&gt;16.269386&lt;/D&gt;&lt;D xsi:type="xsd:double"&gt;8.473885&lt;/D&gt;&lt;D xsi:type="xsd:double"&gt;3.0389547&lt;/D&gt;&lt;D xsi:type="xsd:double"&gt;-7.896328&lt;/D&gt;&lt;D xsi:type="xsd:double"&gt;-3.5247743&lt;/D&gt;&lt;D xsi:type="xsd:double"&gt;-5.840069&lt;/D&gt;&lt;D xsi:type="xsd:double"&gt;-8.861846&lt;/D&gt;&lt;D xsi:type="xsd:double"&gt;-4.1514516&lt;/D&gt;&lt;D xsi:type="xsd:double"&gt;-5.1161346&lt;/D&gt;&lt;D xsi:type="xsd:double"&gt;-6.426561&lt;/D&gt;&lt;D xsi:type="xsd:double"&gt;-3.9768696&lt;/D&gt;&lt;D xsi:type="xsd:double"&gt;-9.607786&lt;/D&gt;&lt;D xsi:type="xsd:double"&gt;-2.0499587&lt;/D&gt;&lt;D xsi:type="xsd:double"&gt;-5.4529905&lt;/D&gt;&lt;D xsi:type="xsd:double"&gt;-7.6080856&lt;/D&gt;&lt;D xsi:type="xsd:double"&gt;4.2690277&lt;/D&gt;&lt;D xsi:type="xsd:double"&gt;1.0698915&lt;/D&gt;&lt;D xsi:type="xsd:double"&gt;-1.6305208&lt;/D&gt;&lt;D xsi:type="xsd:double"&gt;-9.751236&lt;/D&gt;&lt;D xsi:type="xsd:double"&gt;-11.621893&lt;/D&gt;&lt;D xsi:type="xsd:double"&gt;-6.2829375&lt;/D&gt;&lt;D xsi:type="xsd:double"&gt;-5.3752184&lt;/D&gt;&lt;D xsi:type="xsd:double"&gt;-11.382431&lt;/D&gt;&lt;D xsi:type="xsd:double"&gt;-6.4343095&lt;/D&gt;&lt;D xsi:type="xsd:double"&gt;-10.850203&lt;/D&gt;&lt;D xsi:type="xsd:double"&gt;-5.1861105&lt;/D&gt;&lt;D xsi:type="xsd:double"&gt;0.40117502&lt;/D&gt;&lt;D xsi:type="xsd:double"&gt;-3.5389483&lt;/D&gt;&lt;D xsi:type="xsd:double"&gt;-4.245031&lt;/D&gt;&lt;D xsi:type="xsd:double"&gt;3.8660645&lt;/D&gt;&lt;D xsi:type="xsd:double"&gt;18.257534&lt;/D&gt;&lt;D xsi:type="xsd:double"&gt;12.790155&lt;/D&gt;&lt;D xsi:type="xsd:double"&gt;10.755014&lt;/D&gt;&lt;D xsi:type="xsd:double"&gt;9.014833&lt;/D&gt;&lt;D xsi:type="xsd:double"&gt;27.103592&lt;/D&gt;&lt;D xsi:type="xsd:double"&gt;23.316406&lt;/D&gt;&lt;D xsi:type="xsd:double"&gt;29.390192&lt;/D&gt;&lt;D xsi:type="xsd:double"&gt;24.44359&lt;/D&gt;&lt;D xsi:type="xsd:double"&gt;30.827225&lt;/D&gt;&lt;D xsi:type="xsd:double"&gt;31.987274&lt;/D&gt;&lt;D xsi:type="xsd:double"&gt;34.571243&lt;/D&gt;&lt;D xsi:type="xsd:double"&gt;30.838549&lt;/D&gt;&lt;D xsi:type="xsd:double"&gt;35.26175&lt;/D&gt;&lt;D xsi:type="xsd:double"&gt;29.814743&lt;/D&gt;&lt;D xsi:type="xsd:double"&gt;23.774994&lt;/D&gt;&lt;D xsi:type="xsd:double"&gt;26.321924&lt;/D&gt;&lt;D xsi:type="xsd:double"&gt;14.480114&lt;/D&gt;&lt;D xsi:type="xsd:double"&gt;8.374702&lt;/D&gt;&lt;D xsi:type="xsd:double"&gt;8.211195&lt;/D&gt;&lt;D xsi:type="xsd:double"&gt;7.6238036&lt;/D&gt;&lt;D xsi:type="xsd:double"&gt;5.759418&lt;/D&gt;&lt;D xsi:type="xsd:double"&gt;-4.919595&lt;/D&gt;&lt;D xsi:type="xsd:double"&gt;-7.4524937&lt;/D&gt;&lt;D xsi:type="xsd:double"&gt;-14.660543&lt;/D&gt;&lt;D xsi:type="xsd:double"&gt;-15.058523&lt;/D&gt;&lt;D xsi:type="xsd:double"&gt;-6.6388426&lt;/D&gt;&lt;D xsi:type="xsd:double"&gt;-2.4625123&lt;/D&gt;&lt;D xsi:type="xsd:double"&gt;-3.9040685&lt;/D&gt;&lt;D xsi:type="xsd:double"&gt;-7.1867228&lt;/D&gt;&lt;D xsi:type="xsd:double"&gt;2.9508471&lt;/D&gt;&lt;D xsi:type="xsd:double"&gt;0.3440857&lt;/D&gt;&lt;D xsi:type="xsd:double"&gt;-2.313298&lt;/D&gt;&lt;D xsi:type="xsd:double"&gt;-1.3008952&lt;/D&gt;&lt;D xsi:type="xsd:double"&gt;9.063232&lt;/D&gt;&lt;D xsi:type="xsd:double"&gt;16.86213&lt;/D&gt;&lt;D xsi:type="xsd:double"&gt;26.226212&lt;/D&gt;&lt;D xsi:type="xsd:double"&gt;22.60517&lt;/D&gt;&lt;D xsi:type="xsd:double"&gt;13.915407&lt;/D&gt;&lt;D xsi:type="xsd:double"&gt;-30.573845&lt;/D&gt;&lt;D xsi:type="xsd:double"&gt;-22.326029&lt;/D&gt;&lt;D xsi:type="xsd:double"&gt;-16.97359&lt;/D&gt;&lt;D xsi:type="xsd:double"&gt;-10.062122&lt;/D&gt;&lt;D xsi:type="xsd:double"&gt;-3.974998&lt;/D&gt;&lt;D xsi:type="xsd:double"&gt;-0.9900093&lt;/D&gt;&lt;D xsi:type="xsd:double"&gt;-6.794381&lt;/D&gt;&lt;D xsi:type="xsd:double"&gt;-6.067151&lt;/D&gt;&lt;D xsi:type="xsd:double"&gt;2.840519&lt;/D&gt;&lt;D xsi:type="xsd:double"&gt;2.6211858&lt;/D&gt;&lt;D xsi:type="xsd:double"&gt;4.628873&lt;/D&gt;&lt;D xsi:type="xsd:double"&gt;7.3681355&lt;/D&gt;&lt;D xsi:type="xsd:double"&gt;76.44829&lt;/D&gt;&lt;D xsi:type="xsd:double"&gt;60.11324&lt;/D&gt;&lt;D xsi:type="xsd:double"&gt;61.212967&lt;/D&gt;&lt;D xsi:type="xsd:double"&gt;44.7269&lt;/D&gt;&lt;D xsi:type="xsd:double"&gt;31.242847&lt;/D&gt;&lt;D xsi:type="xsd:double"&gt;33.048927&lt;/D&gt;&lt;D xsi:type="xsd:double"&gt;36.659348&lt;/D&gt;&lt;D xsi:type="xsd:double"&gt;37.457478&lt;/D&gt;&lt;D xsi:type="xsd:double"&gt;24.080717&lt;/D&gt;&lt;D xsi:type="xsd:double"&gt;19.808567&lt;/D&gt;&lt;D xsi:type="xsd:double"&gt;17.296743&lt;/D&gt;&lt;D xsi:type="xsd:double"&gt;13.938189&lt;/D&gt;&lt;D xsi:type="xsd:double"&gt;2.9941797&lt;/D&gt;&lt;D xsi:type="xsd:double"&gt;-2.2895217&lt;/D&gt;&lt;D xsi:type="xsd:double"&gt;-11.47238&lt;/D&gt;&lt;D xsi:type="xsd:double"&gt;-17.046309&lt;/D&gt;&lt;D xsi:type="xsd:double"&gt;-13.41517&lt;/D&gt;&lt;D xsi:type="xsd:double"&gt;-11.839998&lt;/D&gt;&lt;D xsi:type="xsd:double"&gt;-20.882761&lt;/D&gt;&lt;D xsi:type="xsd:double"&gt;-21.130705&lt;/D&gt;&lt;D xsi:type="xsd:double"&gt;-12.767136&lt;/D&gt;&lt;D xsi:type="xsd:double"&gt;-9.048051&lt;/D&gt;&lt;D xsi:type="xsd:double"&gt;-2.2762418&lt;/D&gt;&lt;D xsi:type="xsd:double"&gt;1.7509103&lt;/D&gt;&lt;D xsi:type="xsd:double"&gt;8.948553&lt;/D&gt;&lt;D xsi:type="xsd:double"&gt;18.40911&lt;/D&gt;&lt;D xsi:type="xsd:double"&gt;23.45419&lt;/D&gt;&lt;D xsi:type="xsd:double"&gt;28.749107&lt;/D&gt;&lt;D xsi:type="xsd:double"&gt;32.21214&lt;/D&gt;&lt;D xsi:type="xsd:double"&gt;21.73071&lt;/D&gt;&lt;D xsi:type="xsd:double"&gt;31.250847&lt;/D&gt;&lt;D xsi:type="xsd:double"&gt;23.139751&lt;/D&gt;&lt;D xsi:type="xsd:double"&gt;17.298115&lt;/D&gt;&lt;D xsi:type="xsd:double"&gt;21.035158&lt;/D&gt;&lt;D xsi:type="xsd:double"&gt;7.9697013&lt;/D&gt;&lt;D xsi:type="xsd:double"&gt;10.617733&lt;/D&gt;&lt;D xsi:type="xsd:double"&gt;16.316105&lt;/D&gt;&lt;/FQL&gt;&lt;FQL&gt;&lt;Q&gt;EWL^FMA_DIV_YLD(NTMA,-10AY,0,AM,"PORTAGG","MEANR")&lt;/Q&gt;&lt;R&gt;121&lt;/R&gt;&lt;C&gt;1&lt;/C&gt;&lt;D xsi:type="xsd:double"&gt;3.26334842592375&lt;/D&gt;&lt;D xsi:type="xsd:double"&gt;3.23083968174258&lt;/D&gt;&lt;D xsi:type="xsd:double"&gt;3.2030909195417&lt;/D&gt;&lt;D xsi:type="xsd:double"&gt;3.21447314813105&lt;/D&gt;&lt;D xsi:type="xsd:double"&gt;3.34301515406123&lt;/D&gt;&lt;D xsi:type="xsd:double"&gt;3.34792187627285&lt;/D&gt;&lt;D xsi:type="xsd:double"&gt;3.29066449606286&lt;/D&gt;&lt;D xsi:type="xsd:double"&gt;3.48364420333708&lt;/D&gt;&lt;D xsi:type="xsd:double"&gt;3.22526286562279&lt;/D&gt;&lt;D xsi:type="xsd:double"&gt;3.28488023478789&lt;/D&gt;&lt;D xsi:type="xsd:double"&gt;3.50540442888882&lt;/D&gt;&lt;D xsi:type="xsd:double"&gt;3.19493223754832&lt;/D&gt;&lt;D xsi:type="xsd:double"&gt;3.05933368920966&lt;/D&gt;&lt;D xsi:type="xsd:double"&gt;3.04284633104958&lt;/D&gt;&lt;D xsi:type="xsd:double"&gt;3.05194834524454&lt;/D&gt;&lt;D xsi:type="xsd:double"&gt;3.23891181601589&lt;/D&gt;&lt;D xsi:type="xsd:double"&gt;3.11823283595249&lt;/D&gt;&lt;D xsi:type="xsd:double"&gt;3.30792559169902&lt;/D&gt;&lt;D xsi:type="xsd:double"&gt;3.3452801941458&lt;/D&gt;&lt;D xsi:type="xsd:double"&gt;3.35694329204605&lt;/D&gt;&lt;D xsi:type="xsd:double"&gt;3.22379306076531&lt;/D&gt;&lt;D xsi:type="xsd:double"&gt;3.36081385966095&lt;/D&gt;&lt;D xsi:type="xsd:double"&gt;3.61727667742148&lt;/D&gt;&lt;D xsi:type="xsd:double"&gt;3.545220472161&lt;/D&gt;&lt;D xsi:type="xsd:double"&gt;3.5164618312829&lt;/D&gt;&lt;D xsi:type="xsd:double"&gt;3.43526600552866&lt;/D&gt;&lt;D xsi:type="xsd:double"&gt;3.53320644241307&lt;/D&gt;&lt;D xsi:type="xsd:double"&gt;3.5423103494047&lt;/D&gt;&lt;D xsi:type="xsd:double"&gt;3.49879200889092&lt;/D&gt;&lt;D xsi:type="xsd:double"&gt;3.46979556242389&lt;/D&gt;&lt;D xsi:type="xsd:double"&gt;3.47476791641228&lt;/D&gt;&lt;D xsi:type="xsd:double"&gt;3.56742675198337&lt;/D&gt;&lt;D xsi:type="xsd:double"&gt;3.65938500358781&lt;/D&gt;&lt;D xsi:type="xsd:double"&gt;3.56616736417389&lt;/D&gt;&lt;D xsi:type="xsd:double"&gt;3.52230032714073&lt;/D&gt;&lt;D xsi:type="xsd:double"&gt;3.36350564207631&lt;/D&gt;&lt;D xsi:type="xsd:double"&gt;3.35253647807395&lt;/D&gt;&lt;D xsi:type="xsd:double"&gt;3.45218101166211&lt;/D&gt;&lt;D xsi:type="xsd:double"&gt;3.29377916133254&lt;/D&gt;&lt;D xsi:type="xsd:double"&gt;3.2660780611443&lt;/D&gt;&lt;D xsi:type="xsd:double"&gt;3.28432749165607&lt;/D&gt;&lt;D xsi:type="xsd:double"&gt;3.33400675006154&lt;/D&gt;&lt;D xsi:type="xsd:double"&gt;3.27871525809949&lt;/D&gt;&lt;D xsi:type="xsd:double"&gt;3.24966037876628&lt;/D&gt;&lt;D xsi:type="xsd:double"&gt;3.23306819065856&lt;/D&gt;&lt;D xsi:type="xsd:double"&gt;3.21651014368715&lt;/D&gt;&lt;D xsi:type="xsd:double"&gt;3.16403380670957&lt;/D&gt;&lt;D xsi:type="xsd:double"&gt;3.34969080905579&lt;/D&gt;&lt;D xsi:type="xsd:double"&gt;3.47656189060338&lt;/D&gt;&lt;D xsi:type="xsd:double"&gt;3.43479232535952&lt;/D&gt;&lt;D xsi:type="xsd:double"&gt;3.43578443232971&lt;/D&gt;&lt;D xsi:type="xsd:double"&gt;3.62555035579307&lt;/D&gt;&lt;D xsi:type="xsd:double"&gt;3.42167513725533&lt;/D&gt;&lt;D xsi:type="xsd:double"&gt;3.40847232229981&lt;/D&gt;&lt;D xsi:type="xsd:double"&gt;3.40084739441311&lt;/D&gt;&lt;D xsi:type="xsd:double"&gt;3.55312583626533&lt;/D&gt;&lt;D xsi:type="xsd:double"&gt;3.58213805463394&lt;/D&gt;&lt;D xsi:type="xsd:double"&gt;3.71524614199325&lt;/D&gt;&lt;D xsi:type="xsd:double"&gt;3.46354294014338&lt;/D&gt;&lt;D xsi:type="xsd:double"&gt;3.34552082119125&lt;/D&gt;&lt;D xsi:type="xsd:double"&gt;3.31891327317163&lt;/D&gt;&lt;D xsi:type="xsd:double"&gt;3.28800706694223&lt;/D&gt;&lt;D xsi:type="xsd:double"&gt;3.29824863798291&lt;/D&gt;&lt;D xsi:type="xsd:double"&gt;3.21114839362282&lt;/D&gt;&lt;D xsi:type="xsd:double"&gt;3.21027166533471&lt;/D&gt;&lt;D xsi:type="xsd:double"&gt;3.24986263326602&lt;/D&gt;&lt;D xsi:type="xsd:double"&gt;3.20683131263701&lt;/D&gt;&lt;D xsi:type="xsd:double"&gt;3.22122803740274&lt;/D&gt;&lt;D xsi:type="xsd:double"&gt;3.13735149292433&lt;/D&gt;&lt;D xsi:type="xsd:double"&gt;3.03897830447652&lt;/D&gt;&lt;D xsi:type="xsd:double"&gt;2.9607752391554&lt;/D&gt;&lt;D xsi:type="xsd:double"&gt;2.93328552085048&lt;/D&gt;&lt;D xsi:type="xsd:double"&gt;3.81366594964767&lt;/D&gt;&lt;D xsi:type="xsd:double"&gt;3.36081541580378&lt;/D&gt;&lt;D xsi:type="xsd:double"&gt;3.18287907172789&lt;/D&gt;&lt;D xsi:type="xsd:double"&gt;3.04071212004107&lt;/D&gt;&lt;D xsi:type="xsd:double"&gt;2.93584983748191&lt;/D&gt;&lt;D xsi:type="xsd:double"&gt;2.9479147534443&lt;/D&gt;&lt;D xsi:type="xsd:double"&gt;2.94668917168682&lt;/D&gt;&lt;D xsi:type="xsd:double"&gt;2.9982122718217&lt;/D&gt;&lt;D xsi:type="xsd:double"&gt;2.88812794463314&lt;/D&gt;&lt;D xsi:type="xsd:double"&gt;2.92602502856465&lt;/D&gt;&lt;D xsi:type="xsd:double"&gt;2.80340373454488&lt;/D&gt;&lt;D xsi:type="xsd:double"&gt;2.84611919452709&lt;/D&gt;&lt;D xsi:type="xsd:double"&gt;2.8254800443156&lt;/D&gt;&lt;D xsi:type="xsd:double"&gt;2.73870426115476&lt;/D&gt;&lt;D xsi:type="xsd:double"&gt;2.74965272005439&lt;/D&gt;&lt;D xsi:type="xsd:double"&gt;2.61732386284783&lt;/D&gt;&lt;D xsi:type="xsd:double"&gt;2.62000243800957&lt;/D&gt;&lt;D xsi:type="xsd:double"&gt;2.56359419917719&lt;/D&gt;&lt;D xsi:type="xsd:double"&gt;2.700784668062&lt;/D&gt;&lt;D xsi:type="xsd:double"&gt;2.67472135348091&lt;/D&gt;&lt;D xsi:type="xsd:double"&gt;2.5835416134179&lt;/D&gt;&lt;D xsi:type="xsd:double"&gt;2.57991849016234&lt;/D&gt;&lt;D xsi:type="xsd:double"&gt;2.67405248890151&lt;/D&gt;&lt;D xsi:type="xsd:double"&gt;2.79053229627967&lt;/D&gt;&lt;D xsi:type="xsd:double"&gt;2.7715521363383&lt;/D&gt;&lt;D xsi:type="xsd:double"&gt;2.79346058352255&lt;/D&gt;&lt;D xsi:type="xsd:double"&gt;3.04974756970702&lt;/D&gt;&lt;D xsi:type="xsd:double"&gt;3.27869870670565&lt;/D&gt;&lt;D xsi:type="xsd:double"&gt;3.09193543636172&lt;/D&gt;&lt;D xsi:type="xsd:double"&gt;3.09438755753858&lt;/D&gt;&lt;D xsi:type="xsd:double"&gt;3.345743268849&lt;/D&gt;&lt;D xsi:type="xsd:double"&gt;3.39462724382704&lt;/D&gt;&lt;D xsi:type="xsd:double"&gt;3.13749001663932&lt;/D&gt;&lt;D xsi:type="xsd:double"&gt;3.20161955474602&lt;/D&gt;&lt;D xsi:type="xsd:double"&gt;3.06334580528549&lt;/D&gt;&lt;D xsi:type="xsd:double"&gt;3.07555405427964&lt;/D&gt;&lt;D xsi:type="xsd:double"&gt;3.24623539303684&lt;/D&gt;&lt;D xsi:type="xsd:double"&gt;3.05675584961871&lt;/D&gt;&lt;D xsi:type="xsd:double"&gt;3.0780211377929&lt;/D&gt;&lt;D xsi:type="xsd:double"&gt;3.20055473959089&lt;/D&gt;&lt;D xsi:type="xsd:double"&gt;3.16521022142486&lt;/D&gt;&lt;D xsi:type="xsd:double"&gt;3.29714751831631&lt;/D&gt;&lt;D xsi:type="xsd:double"&gt;3.2935819044159&lt;/D&gt;&lt;D xsi:type="xsd:double"&gt;3.52821536416501&lt;/D&gt;&lt;D xsi:type="xsd:double"&gt;3.39934850639011&lt;/D&gt;&lt;D xsi:type="xsd:double"&gt;3.29352314107184&lt;/D&gt;&lt;D xsi:type="xsd:double"&gt;3.34187792215908&lt;/D&gt;&lt;D xsi:type="xsd:double"&gt;3.29664819570599&lt;/D&gt;&lt;D xsi:type="xsd:double"&gt;3.2701113771527&lt;/D&gt;&lt;/FQL&gt;&lt;FQL&gt;&lt;Q&gt;EWG^FMA_PE(NTMA,-10AY,0,AM,"PORTAGG","MEANR")&lt;/Q&gt;&lt;R&gt;121&lt;/R&gt;&lt;C&gt;1&lt;/C&gt;&lt;D xsi:type="xsd:double"&gt;12.8431756938204&lt;/D&gt;&lt;D xsi:type="xsd:double"&gt;12.8516827494846&lt;/D&gt;&lt;D xsi:type="xsd:double"&gt;13.0766651793887&lt;/D&gt;&lt;D xsi:type="xsd:double"&gt;13.3775164895927&lt;/D&gt;&lt;D xsi:type="xsd:double"&gt;12.776852453962&lt;/D&gt;&lt;D xsi:type="xsd:double"&gt;12.522207953917&lt;/D&gt;&lt;D xsi:type="xsd:double"&gt;12.9481588340572&lt;/D&gt;&lt;D xsi:type="xsd:double"&gt;11.7324840785485&lt;/D&gt;&lt;D xsi:type="xsd:double"&gt;12.7882914875153&lt;/D&gt;&lt;D xsi:type="xsd:double"&gt;12.8489629399095&lt;/D&gt;&lt;D xsi:type="xsd:double"&gt;13.4921900189755&lt;/D&gt;&lt;D xsi:type="xsd:double"&gt;14.3791236954653&lt;/D&gt;&lt;D xsi:type="xsd:double"&gt;15.5961346773817&lt;/D&gt;&lt;D xsi:type="xsd:double"&gt;15.3337885707006&lt;/D&gt;&lt;D xsi:type="xsd:double"&gt;14.734690479664&lt;/D&gt;&lt;D xsi:type="xsd:double"&gt;13.4893897642187&lt;/D&gt;&lt;D xsi:type="xsd:double"&gt;14.0643556634726&lt;/D&gt;&lt;D xsi:type="xsd:double"&gt;12.3005861796804&lt;/D&gt;&lt;D xsi:type="xsd:double"&gt;12.0462069169611&lt;/D&gt;&lt;D xsi:type="xsd:double"&gt;12.5687195134615&lt;/D&gt;&lt;D xsi:type="xsd:double"&gt;13.8551774870897&lt;/D&gt;&lt;D xsi:type="xsd:double"&gt;13.0543318697272&lt;/D&gt;&lt;D xsi:type="xsd:double"&gt;11.9678686269671&lt;/D&gt;&lt;D xsi:type="xsd:double"&gt;11.9441515133279&lt;/D&gt;&lt;D xsi:type="xsd:double"&gt;12.6709477971996&lt;/D&gt;&lt;D xsi:type="xsd:double"&gt;13.2756700539393&lt;/D&gt;&lt;D xsi:type="xsd:double"&gt;12.3962658665405&lt;/D&gt;&lt;D xsi:type="xsd:double"&gt;12.3099759883845&lt;/D&gt;&lt;D xsi:type="xsd:double"&gt;12.5227099348886&lt;/D&gt;&lt;D xsi:type="xsd:double"&gt;12.9365114692617&lt;/D&gt;&lt;D xsi:type="xsd:double"&gt;12.8105768781213&lt;/D&gt;&lt;D xsi:type="xsd:double"&gt;13.0537447694821&lt;/D&gt;&lt;D xsi:type="xsd:double"&gt;12.7896152739759&lt;/D&gt;&lt;D xsi:type="xsd:double"&gt;13.6523886277245&lt;/D&gt;&lt;D xsi:type="xsd:double"&gt;13.744290848276&lt;/D&gt;&lt;D xsi:type="xsd:double"&gt;13.8914252678508&lt;/D&gt;&lt;D xsi:type="xsd:double"&gt;13.7802403053219&lt;/D&gt;&lt;D xsi:type="xsd:double"&gt;13.6397854774381&lt;/D&gt;&lt;D xsi:type="xsd:double"&gt;13.8297910272041&lt;/D&gt;&lt;D xsi:type="xsd:double"&gt;13.7945250882742&lt;/D&gt;&lt;D xsi:type="xsd:double"&gt;13.185003885294&lt;/D&gt;&lt;D xsi:type="xsd:double"&gt;12.9277594771044&lt;/D&gt;&lt;D xsi:type="xsd:double"&gt;13.4468816146034&lt;/D&gt;&lt;D xsi:type="xsd:double"&gt;13.7943454782864&lt;/D&gt;&lt;D xsi:type="xsd:double"&gt;13.9686239146546&lt;/D&gt;&lt;D xsi:type="xsd:double"&gt;13.9574944149276&lt;/D&gt;&lt;D xsi:type="xsd:double"&gt;14.2223903759097&lt;/D&gt;&lt;D xsi:type="xsd:double"&gt;13.1649479056731&lt;/D&gt;&lt;D xsi:type="xsd:double"&gt;12.9585033258188&lt;/D&gt;&lt;D xsi:type="xsd:double"&gt;13.1761383633635&lt;/D&gt;&lt;D xsi:type="xsd:double"&gt;13.4465050336424&lt;/D&gt;&lt;D xsi:type="xsd:double"&gt;12.9706462114756&lt;/D&gt;&lt;D xsi:type="xsd:double"&gt;12.9849931266052&lt;/D&gt;&lt;D xsi:type="xsd:double"&gt;12.8294030002555&lt;/D&gt;&lt;D xsi:type="xsd:double"&gt;12.8405984967396&lt;/D&gt;&lt;D xsi:type="xsd:double"&gt;11.9691476749086&lt;/D&gt;&lt;D xsi:type="xsd:double"&gt;11.5217564023359&lt;/D&gt;&lt;D xsi:type="xsd:double"&gt;11.0267567517539&lt;/D&gt;&lt;D xsi:type="xsd:double"&gt;11.7177722778855&lt;/D&gt;&lt;D xsi:type="xsd:double"&gt;12.0164308148611&lt;/D&gt;&lt;D xsi:type="xsd:double"&gt;12.2377727374962&lt;/D&gt;&lt;D xsi:type="xsd:double"&gt;12.8911577902584&lt;/D&gt;&lt;D xsi:type="xsd:double"&gt;12.5170907608996&lt;/D&gt;&lt;D xsi:type="xsd:double"&gt;12.6426575438608&lt;/D&gt;&lt;D xsi:type="xsd:double"&gt;12.7576789396309&lt;/D&gt;&lt;D xsi:type="xsd:double"&gt;12.4607616831121&lt;/D&gt;&lt;D xsi:type="xsd:double"&gt;13.1101827120198&lt;/D&gt;&lt;D xsi:type="xsd:double"&gt;13.401158560941&lt;/D&gt;&lt;D xsi:type="xsd:double"&gt;13.9293908971687&lt;/D&gt;&lt;D xsi:type="xsd:double"&gt;14.2192548913009&lt;/D&gt;&lt;D xsi:type="xsd:double"&gt;14.4148014565505&lt;/D&gt;&lt;D xsi:type="xsd:double"&gt;14.375801549094&lt;/D&gt;&lt;D xsi:type="xsd:double"&gt;10.0043374041136&lt;/D&gt;&lt;D xsi:type="xsd:double"&gt;13.6666349359134&lt;/D&gt;&lt;D xsi:type="xsd:double"&gt;15.8233471836451&lt;/D&gt;&lt;D xsi:type="xsd:double"&gt;17.8345858824584&lt;/D&gt;&lt;D xsi:type="xsd:double"&gt;18.8333167085031&lt;/D&gt;&lt;D xsi:type="xsd:double"&gt;17.7347966548426&lt;/D&gt;&lt;D xsi:type="xsd:double"&gt;16.7310788489031&lt;/D&gt;&lt;D xsi:type="xsd:double"&gt;16.0955717092902&lt;/D&gt;&lt;D xsi:type="xsd:double"&gt;16.1630531247761&lt;/D&gt;&lt;D xsi:type="xsd:double"&gt;15.7119051826227&lt;/D&gt;&lt;D xsi:type="xsd:double"&gt;16.0717508208376&lt;/D&gt;&lt;D xsi:type="xsd:double"&gt;15.6780714053552&lt;/D&gt;&lt;D xsi:type="xsd:double"&gt;15.9270628334146&lt;/D&gt;&lt;D xsi:type="xsd:double"&gt;15.6632144330014&lt;/D&gt;&lt;D xsi:type="xsd:double"&gt;14.7842072984687&lt;/D&gt;&lt;D xsi:type="xsd:double"&gt;14.8789180639029&lt;/D&gt;&lt;D xsi:type="xsd:double"&gt;14.3062984959268&lt;/D&gt;&lt;D xsi:type="xsd:double"&gt;14.1899761103456&lt;/D&gt;&lt;D xsi:type="xsd:double"&gt;13.6941462152315&lt;/D&gt;&lt;D xsi:type="xsd:double"&gt;13.6355331225025&lt;/D&gt;&lt;D xsi:type="xsd:double"&gt;13.7604013796232&lt;/D&gt;&lt;D xsi:type="xsd:double"&gt;13.0812222878478&lt;/D&gt;&lt;D xsi:type="xsd:double"&gt;13.0784016991169&lt;/D&gt;&lt;D xsi:type="xsd:double"&gt;12.3538309085282&lt;/D&gt;&lt;D xsi:type="xsd:double"&gt;11.6433989429152&lt;/D&gt;&lt;D xsi:type="xsd:double"&gt;11.599576158912&lt;/D&gt;&lt;D xsi:type="xsd:double"&gt;10.6635752618516&lt;/D&gt;&lt;D xsi:type="xsd:double"&gt;10.1143563724378&lt;/D&gt;&lt;D xsi:type="xsd:double"&gt;10.1471035497854&lt;/D&gt;&lt;D xsi:type="xsd:double"&gt;10.090093152451&lt;/D&gt;&lt;D xsi:type="xsd:double"&gt;9.51561665353631&lt;/D&gt;&lt;D xsi:type="xsd:double"&gt;9.4606338309228&lt;/D&gt;&lt;D xsi:type="xsd:double"&gt;10.7071735687615&lt;/D&gt;&lt;D xsi:type="xsd:double"&gt;10.5765128693462&lt;/D&gt;&lt;D xsi:type="xsd:double"&gt;11.4031199551592&lt;/D&gt;&lt;D xsi:type="xsd:double"&gt;11.616074466051&lt;/D&gt;&lt;D xsi:type="xsd:double"&gt;11.1669167880026&lt;/D&gt;&lt;D xsi:type="xsd:double"&gt;11.4581699961439&lt;/D&gt;&lt;D xsi:type="xsd:double"&gt;11.158617909738&lt;/D&gt;&lt;D xsi:type="xsd:double"&gt;10.7505204593879&lt;/D&gt;&lt;D xsi:type="xsd:double"&gt;10.8332947227765&lt;/D&gt;&lt;D xsi:type="xsd:double"&gt;10.456164908219&lt;/D&gt;&lt;D xsi:type="xsd:double"&gt;10.4844705871009&lt;/D&gt;&lt;D xsi:type="xsd:double"&gt;9.88283357476853&lt;/D&gt;&lt;D xsi:type="xsd:double"&gt;10.7345178204042&lt;/D&gt;&lt;D xsi:type="xsd:double"&gt;11.1634890914819&lt;/D&gt;&lt;D xsi:type="xsd:double"&gt;11.0315197620324&lt;/D&gt;&lt;D xsi:type="xsd:double"&gt;11.6251350259704&lt;/D&gt;&lt;D xsi:type="xsd:double"&gt;12.0704620930793&lt;/D&gt;&lt;/FQL&gt;&lt;FQL&gt;&lt;Q&gt;WL-FDS^FG_PRICE_CHANGE(0,-1AM)&lt;/Q&gt;&lt;R&gt;1&lt;/R&gt;&lt;C&gt;1&lt;/C&gt;&lt;D xsi:type="xsd:double"&gt;2.31814548361311&lt;/D&gt;&lt;/FQL&gt;&lt;FQL&gt;&lt;Q&gt;CPALM-FDS^FG_PRICE_CHANGE(0,-1AM)&lt;/Q&gt;&lt;R&gt;1&lt;/R&gt;&lt;C&gt;1&lt;/C&gt;&lt;D xsi:type="xsd:double"&gt;9.59456056408965&lt;/D&gt;&lt;/FQL&gt;&lt;FQL&gt;&lt;Q&gt;BRENT-FDS^FG_PRICE_CHANGE(0,-1AM)&lt;/Q&gt;&lt;R&gt;1&lt;/R&gt;&lt;C&gt;1&lt;/C&gt;&lt;D xsi:type="xsd:double"&gt;0&lt;/D&gt;&lt;/FQL&gt;&lt;FQL&gt;&lt;Q&gt;EWN^FG_PRICE_MAVG(0,,,,60)&lt;/Q&gt;&lt;R&gt;1&lt;/R&gt;&lt;C&gt;1&lt;/C&gt;&lt;D xsi:type="xsd:double"&gt;46.21325&lt;/D&gt;&lt;/FQL&gt;&lt;FQL&gt;&lt;Q&gt;EWU^FG_PRICE_MAVG(0,,,,60)&lt;/Q&gt;&lt;R&gt;1&lt;/R&gt;&lt;C&gt;1&lt;/C&gt;&lt;D xsi:type="xsd:double"&gt;32.755833&lt;/D&gt;&lt;/FQL&gt;&lt;FQL&gt;&lt;Q&gt;EWC^FG_PRICE_MAVG(0,,,,60)&lt;/Q&gt;&lt;R&gt;1&lt;/R&gt;&lt;C&gt;1&lt;/C&gt;&lt;D xsi:type="xsd:double"&gt;36.6955&lt;/D&gt;&lt;/FQL&gt;&lt;FQL&gt;&lt;Q&gt;SPY^FG_COMPANY_NAME&lt;/Q&gt;&lt;R&gt;1&lt;/R&gt;&lt;C&gt;1&lt;/C&gt;&lt;D xsi:type="xsd:string"&gt;SPDR S&amp;amp;P 500 ETF Trust&lt;/D&gt;&lt;/FQL&gt;&lt;FQL&gt;&lt;Q&gt;FXI^PERCENT_CHANGE(FMA_EPS(+1,0,,,,"PORTAGG","MEAN"),FMA_EPS(+1,-1AM,,,,"PORTAGG","MEAN"))&lt;/Q&gt;&lt;R&gt;1&lt;/R&gt;&lt;C&gt;1&lt;/C&gt;&lt;D xsi:type="xsd:double"&gt;0.0464765999368703&lt;/D&gt;&lt;/FQL&gt;&lt;FQL&gt;&lt;Q&gt;VWO^FG_TOTAL_RETURNC(0,-6AM)&lt;/Q&gt;&lt;R&gt;1&lt;/R&gt;&lt;C&gt;1&lt;/C&gt;&lt;D xsi:type="xsd:double"&gt;9.2641945&lt;/D&gt;&lt;/FQL&gt;&lt;FQL&gt;&lt;Q&gt;EWD^FMA_PCT_ABOVE_MAVG(200,0,,,,"PORTAGG")&lt;/Q&gt;&lt;R&gt;1&lt;/R&gt;&lt;C&gt;1&lt;/C&gt;&lt;D xsi:type="xsd:double"&gt;83.7209302325581&lt;/D&gt;&lt;/FQL&gt;&lt;FQL&gt;&lt;Q&gt;EWQ^PERCENT_CHANGE(FMA_EPS(+1,0,,,,"PORTAGG","MEAN"),FMA_EPS(+1,-3AM,,,,"PORTAGG","MEAN"))&lt;/Q&gt;&lt;R&gt;1&lt;/R&gt;&lt;C&gt;1&lt;/C&gt;&lt;D xsi:type="xsd:double"&gt;-5.09651007862275&lt;/D&gt;&lt;/FQL&gt;&lt;FQL&gt;&lt;Q&gt;EWL^P_PRICE(0)/P_PRICE_HIGH_PR(0,,,USD,,,"PRICE","INTRA","52W")&lt;/Q&gt;&lt;R&gt;1&lt;/R&gt;&lt;C&gt;1&lt;/C&gt;&lt;D xsi:type="xsd:double"&gt;0.9721058&lt;/D&gt;&lt;/FQL&gt;&lt;FQL&gt;&lt;Q&gt;EWG^FG_TOTAL_RETURNC(0,-12AM)&lt;/Q&gt;&lt;R&gt;1&lt;/R&gt;&lt;C&gt;1&lt;/C&gt;&lt;D xsi:type="xsd:double"&gt;17.072117&lt;/D&gt;&lt;/FQL&gt;&lt;FQL&gt;&lt;Q&gt;EWU^FMA_RBICS_REV_CURRENT(30, LOC, "PORTAGG")&lt;/Q&gt;&lt;R&gt;1&lt;/R&gt;&lt;C&gt;1&lt;/C&gt;&lt;D xsi:type="xsd:double"&gt;17.7139371648032&lt;/D&gt;&lt;/FQL&gt;&lt;FQL&gt;&lt;Q&gt;TRYNZ10Y-FDS^FG_YIELD_NAME&lt;/Q&gt;&lt;R&gt;1&lt;/R&gt;&lt;C&gt;1&lt;/C&gt;&lt;D xsi:type="xsd:string"&gt;New Zealand Benchmark Bond - 10 Year&lt;/D&gt;&lt;/FQL&gt;&lt;FQL&gt;&lt;Q&gt;REFGBBANK-FDS^(SUBARRAY(NOT_NA(NO_REPEAT_F(FG_YIELD(NOW,-10AY,D))),0,1)-SUBARRAY(NOT_NA(NO_REPEAT_F(FG_YIELD(NOW,-10AY,D))),1,1))*100&lt;/Q&gt;&lt;R&gt;1&lt;/R&gt;&lt;C&gt;1&lt;/C&gt;&lt;D xsi:type="xsd:double"&gt;25&lt;/D&gt;&lt;/FQL&gt;&lt;FQL&gt;&lt;Q&gt;TRYUS10Y-FDS^FG_YIELD_NAME&lt;/Q&gt;&lt;R&gt;1&lt;/R&gt;&lt;C&gt;1&lt;/C&gt;&lt;D xsi:type="xsd:string"&gt;US Benchmark Bond - 10 Year&lt;/D&gt;&lt;/FQL&gt;&lt;FQL&gt;&lt;Q&gt;CAGDPY@GB^EE_ACTUAL_ANNUAL(MED,+1)&lt;/Q&gt;&lt;R&gt;1&lt;/R&gt;&lt;C&gt;1&lt;/C&gt;&lt;D xsi:type="xsd:double"&gt;-2.95&lt;/D&gt;&lt;/FQL&gt;&lt;FQL&gt;&lt;Q&gt;CC_GB^FG_COMPANY_NAME&lt;/Q&gt;&lt;R&gt;1&lt;/R&gt;&lt;C&gt;1&lt;/C&gt;&lt;D xsi:type="xsd:string"&gt;United Kingdom&lt;/D&gt;&lt;/FQL&gt;&lt;FQL&gt;&lt;Q&gt;USDSEK^STD(FG_PRICE_CHANGE(0,-1AY,AM))&lt;/Q&gt;&lt;R&gt;1&lt;/R&gt;&lt;C&gt;1&lt;/C&gt;&lt;D xsi:type="xsd:double"&gt;2.88869183613869&lt;/D&gt;&lt;/FQL&gt;&lt;FQL&gt;&lt;Q&gt;USDCHF^STD(FG_PRICE_CHANGE(0,-1AY,AM))&lt;/Q&gt;&lt;R&gt;1&lt;/R&gt;&lt;C&gt;1&lt;/C&gt;&lt;D xsi:type="xsd:double"&gt;2.05634028196729&lt;/D&gt;&lt;/FQL&gt;&lt;FQL&gt;&lt;Q&gt;USDUSD^STD(FG_PRICE_CHANGE(0,-1AY,AM))&lt;/Q&gt;&lt;R&gt;1&lt;/R&gt;&lt;C&gt;1&lt;/C&gt;&lt;D xsi:type="xsd:double"&gt;0&lt;/D&gt;&lt;/FQL&gt;&lt;FQL&gt;&lt;Q&gt;USDEUR^STD(FG_PRICE_CHANGE(0,-1AY,AM))&lt;/Q&gt;&lt;R&gt;1&lt;/R&gt;&lt;C&gt;1&lt;/C&gt;&lt;D xsi:type="xsd:double"&gt;1.64847976263964&lt;/D&gt;&lt;/FQL&gt;&lt;FQL&gt;&lt;Q&gt;QQQ^FG_TOTAL_RETURNC(-10AY,0,AM)&lt;/Q&gt;&lt;R&gt;121&lt;/R&gt;&lt;C&gt;1&lt;/C&gt;&lt;D xsi:type="xsd:double"&gt;-0.395751&lt;/D&gt;&lt;D xsi:type="xsd:double"&gt;-2.42697&lt;/D&gt;&lt;D xsi:type="xsd:double"&gt;2.3030877&lt;/D&gt;&lt;D xsi:type="xsd:double"&gt;4.70407&lt;/D&gt;&lt;D xsi:type="xsd:double"&gt;3.4817338&lt;/D&gt;&lt;D xsi:type="xsd:double"&gt;3.020835&lt;/D&gt;&lt;D xsi:type="xsd:double"&gt;1.3324618&lt;/D&gt;&lt;D xsi:type="xsd:double"&gt;-3.1106234&lt;/D&gt;&lt;D xsi:type="xsd:double"&gt;7.226181&lt;/D&gt;&lt;D xsi:type="xsd:double"&gt;0.8056283&lt;/D&gt;&lt;D xsi:type="xsd:double"&gt;-2.089727&lt;/D&gt;&lt;D xsi:type="xsd:double"&gt;6.1386347&lt;/D&gt;&lt;D xsi:type="xsd:double"&gt;0.33950806&lt;/D&gt;&lt;D xsi:type="xsd:double"&gt;-0.4330635&lt;/D&gt;&lt;D xsi:type="xsd:double"&gt;2.3320436&lt;/D&gt;&lt;D xsi:type="xsd:double"&gt;-0.39414167&lt;/D&gt;&lt;D xsi:type="xsd:double"&gt;3.6582112&lt;/D&gt;&lt;D xsi:type="xsd:double"&gt;-10.104471&lt;/D&gt;&lt;D xsi:type="xsd:double"&gt;3.4578562&lt;/D&gt;&lt;D xsi:type="xsd:double"&gt;1.7410994&lt;/D&gt;&lt;D xsi:type="xsd:double"&gt;6.4732194&lt;/D&gt;&lt;D xsi:type="xsd:double"&gt;-2.693808&lt;/D&gt;&lt;D xsi:type="xsd:double"&gt;-9.185058&lt;/D&gt;&lt;D xsi:type="xsd:double"&gt;0.7734299&lt;/D&gt;&lt;D xsi:type="xsd:double"&gt;6.375134&lt;/D&gt;&lt;D xsi:type="xsd:double"&gt;2.6533127&lt;/D&gt;&lt;D xsi:type="xsd:double"&gt;-3.7776768&lt;/D&gt;&lt;D xsi:type="xsd:double"&gt;1.2392044&lt;/D&gt;&lt;D xsi:type="xsd:double"&gt;5.2837253&lt;/D&gt;&lt;D xsi:type="xsd:double"&gt;3.604877&lt;/D&gt;&lt;D xsi:type="xsd:double"&gt;1.0114431&lt;/D&gt;&lt;D xsi:type="xsd:double"&gt;0&lt;/D&gt;&lt;D xsi:type="xsd:double"&gt;0.33009052&lt;/D&gt;&lt;D xsi:type="xsd:double"&gt;1.9212842&lt;/D&gt;&lt;D xsi:type="xsd:double"&gt;2.3161173&lt;/D&gt;&lt;D xsi:type="xsd:double"&gt;5.8417797&lt;/D&gt;&lt;D xsi:type="xsd:double"&gt;-0.2834499&lt;/D&gt;&lt;D xsi:type="xsd:double"&gt;2.1184802&lt;/D&gt;&lt;D xsi:type="xsd:double"&gt;3.9831042&lt;/D&gt;&lt;D xsi:type="xsd:double"&gt;2.3835778&lt;/D&gt;&lt;D xsi:type="xsd:double"&gt;2.3944855&lt;/D&gt;&lt;D xsi:type="xsd:double"&gt;-2.1233737&lt;/D&gt;&lt;D xsi:type="xsd:double"&gt;2.6423216&lt;/D&gt;&lt;D xsi:type="xsd:double"&gt;2.94199&lt;/D&gt;&lt;D xsi:type="xsd:double"&gt;4.5659304&lt;/D&gt;&lt;D xsi:type="xsd:double"&gt;1.5287161&lt;/D&gt;&lt;D xsi:type="xsd:double"&gt;5.5791736&lt;/D&gt;&lt;D xsi:type="xsd:double"&gt;-0.9137869&lt;/D&gt;&lt;D xsi:type="xsd:double"&gt;1.4417291&lt;/D&gt;&lt;D xsi:type="xsd:double"&gt;-2.7677894&lt;/D&gt;&lt;D xsi:type="xsd:double"&gt;3.7584662&lt;/D&gt;&lt;D xsi:type="xsd:double"&gt;4.5645356&lt;/D&gt;&lt;D xsi:type="xsd:double"&gt;1.8667102&lt;/D&gt;&lt;D xsi:type="xsd:double"&gt;0.7654071&lt;/D&gt;&lt;D xsi:type="xsd:double"&gt;1.8574&lt;/D&gt;&lt;D xsi:type="xsd:double"&gt;-5.650073&lt;/D&gt;&lt;D xsi:type="xsd:double"&gt;-7.3112965&lt;/D&gt;&lt;D xsi:type="xsd:double"&gt;-7.981533&lt;/D&gt;&lt;D xsi:type="xsd:double"&gt;12.308968&lt;/D&gt;&lt;D xsi:type="xsd:double"&gt;3.8547635&lt;/D&gt;&lt;D xsi:type="xsd:double"&gt;6.573653&lt;/D&gt;&lt;D xsi:type="xsd:double"&gt;2.6400805&lt;/D&gt;&lt;D xsi:type="xsd:double"&gt;-2.9670715&lt;/D&gt;&lt;D xsi:type="xsd:double"&gt;3.7067652&lt;/D&gt;&lt;D xsi:type="xsd:double"&gt;1.5176654&lt;/D&gt;&lt;D xsi:type="xsd:double"&gt;-1.2460053&lt;/D&gt;&lt;D xsi:type="xsd:double"&gt;1.1503935&lt;/D&gt;&lt;D xsi:type="xsd:double"&gt;1.5618205&lt;/D&gt;&lt;D xsi:type="xsd:double"&gt;4.297018&lt;/D&gt;&lt;D xsi:type="xsd:double"&gt;4.962826&lt;/D&gt;&lt;D xsi:type="xsd:double"&gt;5.692899&lt;/D&gt;&lt;D xsi:type="xsd:double"&gt;3.1306028&lt;/D&gt;&lt;D xsi:type="xsd:double"&gt;-25.869633&lt;/D&gt;&lt;D xsi:type="xsd:double"&gt;20.284689&lt;/D&gt;&lt;D xsi:type="xsd:double"&gt;11.703836&lt;/D&gt;&lt;D xsi:type="xsd:double"&gt;6.7156076&lt;/D&gt;&lt;D xsi:type="xsd:double"&gt;8.276248&lt;/D&gt;&lt;D xsi:type="xsd:double"&gt;6.768942&lt;/D&gt;&lt;D xsi:type="xsd:double"&gt;-4.9568057&lt;/D&gt;&lt;D xsi:type="xsd:double"&gt;6.2352777&lt;/D&gt;&lt;D xsi:type="xsd:double"&gt;2.1781206&lt;/D&gt;&lt;D xsi:type="xsd:double"&gt;6.578052&lt;/D&gt;&lt;D xsi:type="xsd:double"&gt;5.645466&lt;/D&gt;&lt;D xsi:type="xsd:double"&gt;1.427877&lt;/D&gt;&lt;D xsi:type="xsd:double"&gt;-5.40148&lt;/D&gt;&lt;D xsi:type="xsd:double"&gt;8.485115&lt;/D&gt;&lt;D xsi:type="xsd:double"&gt;-3.6193252&lt;/D&gt;&lt;D xsi:type="xsd:double"&gt;5.426979&lt;/D&gt;&lt;D xsi:type="xsd:double"&gt;4.994774&lt;/D&gt;&lt;D xsi:type="xsd:double"&gt;1.7064929&lt;/D&gt;&lt;D xsi:type="xsd:double"&gt;-0.31697154&lt;/D&gt;&lt;D xsi:type="xsd:double"&gt;3.0369997&lt;/D&gt;&lt;D xsi:type="xsd:double"&gt;7.0824623&lt;/D&gt;&lt;D xsi:type="xsd:double"&gt;-3.5341442&lt;/D&gt;&lt;D xsi:type="xsd:double"&gt;-9.640038&lt;/D&gt;&lt;D xsi:type="xsd:double"&gt;-2.8945923&lt;/D&gt;&lt;D xsi:type="xsd:double"&gt;2.6364326&lt;/D&gt;&lt;D xsi:type="xsd:double"&gt;-4.5503855&lt;/D&gt;&lt;D xsi:type="xsd:double"&gt;-13.607663&lt;/D&gt;&lt;D xsi:type="xsd:double"&gt;-2.4499834&lt;/D&gt;&lt;D xsi:type="xsd:double"&gt;9.356773&lt;/D&gt;&lt;D xsi:type="xsd:double"&gt;5.0361037&lt;/D&gt;&lt;D xsi:type="xsd:double"&gt;-12.015974&lt;/D&gt;&lt;D xsi:type="xsd:double"&gt;-2.8706372&lt;/D&gt;&lt;D xsi:type="xsd:double"&gt;2.3491383&lt;/D&gt;&lt;D xsi:type="xsd:double"&gt;-2.7583838&lt;/D&gt;&lt;D xsi:type="xsd:double"&gt;3.3753872&lt;/D&gt;&lt;D xsi:type="xsd:double"&gt;4.0151477&lt;/D&gt;&lt;D xsi:type="xsd:double"&gt;5.709958&lt;/D&gt;&lt;D xsi:type="xsd:double"&gt;2.020359&lt;/D&gt;&lt;D xsi:type="xsd:double"&gt;6.2853456&lt;/D&gt;&lt;D xsi:type="xsd:double"&gt;7.692802&lt;/D&gt;&lt;D xsi:type="xsd:double"&gt;3.7938714&lt;/D&gt;&lt;D xsi:type="xsd:double"&gt;-3.1227589&lt;/D&gt;&lt;D xsi:type="xsd:double"&gt;-1.5177131&lt;/D&gt;&lt;D xsi:type="xsd:double"&gt;-0.9109676&lt;/D&gt;&lt;D xsi:type="xsd:double"&gt;9.551609&lt;/D&gt;&lt;D xsi:type="xsd:double"&gt;5.1766157&lt;/D&gt;&lt;D xsi:type="xsd:double"&gt;3.3427954&lt;/D&gt;&lt;D xsi:type="xsd:double"&gt;1.0518074&lt;/D&gt;&lt;D xsi:type="xsd:double"&gt;4.8975587&lt;/D&gt;&lt;/FQL&gt;&lt;FQL&gt;&lt;Q&gt;EWA^FMA_PE(LTMA,-10AY,0,AM,"PORTAGG","MEANR")&lt;/Q&gt;&lt;R&gt;121&lt;/R&gt;&lt;C&gt;1&lt;/C&gt;&lt;D xsi:type="xsd:double"&gt;15.2416937827447&lt;/D&gt;&lt;D xsi:type="xsd:double"&gt;15.2763566539992&lt;/D&gt;&lt;D xsi:type="xsd:double"&gt;15.1227209619398&lt;/D&gt;&lt;D xsi:type="xsd:double"&gt;15.1251827221979&lt;/D&gt;&lt;D xsi:type="xsd:double"&gt;15.3698612098919&lt;/D&gt;&lt;D xsi:type="xsd:double"&gt;15.5088365578252&lt;/D&gt;&lt;D xsi:type="xsd:double"&gt;15.0201032852782&lt;/D&gt;&lt;D xsi:type="xsd:double"&gt;14.8978731781834&lt;/D&gt;&lt;D xsi:type="xsd:double"&gt;14.7187949275655&lt;/D&gt;&lt;D xsi:type="xsd:double"&gt;14.4472713137842&lt;/D&gt;&lt;D xsi:type="xsd:double"&gt;14.7535302489835&lt;/D&gt;&lt;D xsi:type="xsd:double"&gt;16.0585798294627&lt;/D&gt;&lt;D xsi:type="xsd:double"&gt;16.2918339428668&lt;/D&gt;&lt;D xsi:type="xsd:double"&gt;16.3531709684492&lt;/D&gt;&lt;D xsi:type="xsd:double"&gt;16.1727720987828&lt;/D</t>
        </r>
      </text>
    </comment>
    <comment ref="A7" authorId="0" shapeId="0" xr:uid="{BFB3654A-68B9-4572-B6C7-CA235C6CE75D}">
      <text>
        <r>
          <rPr>
            <b/>
            <sz val="9"/>
            <color indexed="81"/>
            <rFont val="Tahoma"/>
            <charset val="1"/>
          </rPr>
          <t>&gt;&lt;D xsi:type="xsd:double"&gt;16.0728003586647&lt;/D&gt;&lt;D xsi:type="xsd:double"&gt;16.2008897804358&lt;/D&gt;&lt;D xsi:type="xsd:double"&gt;15.5039754593051&lt;/D&gt;&lt;D xsi:type="xsd:double"&gt;15.2282212131654&lt;/D&gt;&lt;D xsi:type="xsd:double"&gt;15.573749987097&lt;/D&gt;&lt;D xsi:type="xsd:double"&gt;15.711572078039&lt;/D&gt;&lt;D xsi:type="xsd:double"&gt;15.3960949497945&lt;/D&gt;&lt;D xsi:type="xsd:double"&gt;14.6430619513997&lt;/D&gt;&lt;D xsi:type="xsd:double"&gt;15.1718117066642&lt;/D&gt;&lt;D xsi:type="xsd:double"&gt;15.1972996627148&lt;/D&gt;&lt;D xsi:type="xsd:double"&gt;15.4339977889243&lt;/D&gt;&lt;D xsi:type="xsd:double"&gt;15.6806663728403&lt;/D&gt;&lt;D xsi:type="xsd:double"&gt;15.7676747935482&lt;/D&gt;&lt;D xsi:type="xsd:double"&gt;16.3041688925256&lt;/D&gt;&lt;D xsi:type="xsd:double"&gt;16.658087789312&lt;/D&gt;&lt;D xsi:type="xsd:double"&gt;16.4395358568828&lt;/D&gt;&lt;D xsi:type="xsd:double"&gt;16.8360321572039&lt;/D&gt;&lt;D xsi:type="xsd:double"&gt;16.9164180220087&lt;/D&gt;&lt;D xsi:type="xsd:double"&gt;17.4968572068624&lt;/D&gt;&lt;D xsi:type="xsd:double"&gt;17.6338489225176&lt;/D&gt;&lt;D xsi:type="xsd:double"&gt;17.8936876170058&lt;/D&gt;&lt;D xsi:type="xsd:double"&gt;17.3970856175613&lt;/D&gt;&lt;D xsi:type="xsd:double"&gt;17.2706529574721&lt;/D&gt;&lt;D xsi:type="xsd:double"&gt;16.9862520695836&lt;/D&gt;&lt;D xsi:type="xsd:double"&gt;16.7015010172152&lt;/D&gt;&lt;D xsi:type="xsd:double"&gt;16.8294394827482&lt;/D&gt;&lt;D xsi:type="xsd:double"&gt;16.7003773837743&lt;/D&gt;&lt;D xsi:type="xsd:double"&gt;16.3671939227008&lt;/D&gt;&lt;D xsi:type="xsd:double"&gt;16.7209858489174&lt;/D&gt;&lt;D xsi:type="xsd:double"&gt;16.6442763785307&lt;/D&gt;&lt;D xsi:type="xsd:double"&gt;16.7362425754533&lt;/D&gt;&lt;D xsi:type="xsd:double"&gt;16.5652247975026&lt;/D&gt;&lt;D xsi:type="xsd:double"&gt;16.399602151429&lt;/D&gt;&lt;D xsi:type="xsd:double"&gt;16.4326498421424&lt;/D&gt;&lt;D xsi:type="xsd:double"&gt;16.2561738366328&lt;/D&gt;&lt;D xsi:type="xsd:double"&gt;16.3257249911012&lt;/D&gt;&lt;D xsi:type="xsd:double"&gt;16.3134596263606&lt;/D&gt;&lt;D xsi:type="xsd:double"&gt;16.3589700334754&lt;/D&gt;&lt;D xsi:type="xsd:double"&gt;16.4089626468432&lt;/D&gt;&lt;D xsi:type="xsd:double"&gt;16.0816063939496&lt;/D&gt;&lt;D xsi:type="xsd:double"&gt;15.5159117832605&lt;/D&gt;&lt;D xsi:type="xsd:double"&gt;14.8648774467737&lt;/D&gt;&lt;D xsi:type="xsd:double"&gt;14.2454800785266&lt;/D&gt;&lt;D xsi:type="xsd:double"&gt;15.2609966992131&lt;/D&gt;&lt;D xsi:type="xsd:double"&gt;15.827219702534&lt;/D&gt;&lt;D xsi:type="xsd:double"&gt;15.8625225123014&lt;/D&gt;&lt;D xsi:type="xsd:double"&gt;15.8513450872888&lt;/D&gt;&lt;D xsi:type="xsd:double"&gt;16.0492784957369&lt;/D&gt;&lt;D xsi:type="xsd:double"&gt;16.2652813593759&lt;/D&gt;&lt;D xsi:type="xsd:double"&gt;16.3860710678592&lt;/D&gt;&lt;D xsi:type="xsd:double"&gt;16.2193108453101&lt;/D&gt;&lt;D xsi:type="xsd:double"&gt;16.8055483457641&lt;/D&gt;&lt;D xsi:type="xsd:double"&gt;17.0657313514938&lt;/D&gt;&lt;D xsi:type="xsd:double"&gt;17.3122340898006&lt;/D&gt;&lt;D xsi:type="xsd:double"&gt;17.9800718008&lt;/D&gt;&lt;D xsi:type="xsd:double"&gt;18.6662486990995&lt;/D&gt;&lt;D xsi:type="xsd:double"&gt;18.9112660895619&lt;/D&gt;&lt;D xsi:type="xsd:double"&gt;16.1101869044614&lt;/D&gt;&lt;D xsi:type="xsd:double"&gt;16.7893400072631&lt;/D&gt;&lt;D xsi:type="xsd:double"&gt;17.6454054203668&lt;/D&gt;&lt;D xsi:type="xsd:double"&gt;18.4527204179859&lt;/D&gt;&lt;D xsi:type="xsd:double"&gt;19.277928953628&lt;/D&gt;&lt;D xsi:type="xsd:double"&gt;19.6665494068422&lt;/D&gt;&lt;D xsi:type="xsd:double"&gt;19.1269432805317&lt;/D&gt;&lt;D xsi:type="xsd:double"&gt;20.0048764920542&lt;/D&gt;&lt;D xsi:type="xsd:double"&gt;21.8656358150391&lt;/D&gt;&lt;D xsi:type="xsd:double"&gt;22.9780652729919&lt;/D&gt;&lt;D xsi:type="xsd:double"&gt;23.4648686691622&lt;/D&gt;&lt;D xsi:type="xsd:double"&gt;22.4460279711902&lt;/D&gt;&lt;D xsi:type="xsd:double"&gt;21.4947469343916&lt;/D&gt;&lt;D xsi:type="xsd:double"&gt;21.1642713951011&lt;/D&gt;&lt;D xsi:type="xsd:double"&gt;20.6802089926005&lt;/D&gt;&lt;D xsi:type="xsd:double"&gt;20.2629576604521&lt;/D&gt;&lt;D xsi:type="xsd:double"&gt;19.2426337385455&lt;/D&gt;&lt;D xsi:type="xsd:double"&gt;18.9613988064358&lt;/D&gt;&lt;D xsi:type="xsd:double"&gt;18.4421285347346&lt;/D&gt;&lt;D xsi:type="xsd:double"&gt;18.8634203544533&lt;/D&gt;&lt;D xsi:type="xsd:double"&gt;18.0880293186142&lt;/D&gt;&lt;D xsi:type="xsd:double"&gt;17.6413289268703&lt;/D&gt;&lt;D xsi:type="xsd:double"&gt;16.9738165590657&lt;/D&gt;&lt;D xsi:type="xsd:double"&gt;15.9806795378185&lt;/D&gt;&lt;D xsi:type="xsd:double"&gt;15.738134121955&lt;/D&gt;&lt;D xsi:type="xsd:double"&gt;15.6778744675602&lt;/D&gt;&lt;D xsi:type="xsd:double"&gt;15.0992256455987&lt;/D&gt;&lt;D xsi:type="xsd:double"&gt;14.1474824248736&lt;/D&gt;&lt;D xsi:type="xsd:double"&gt;14.3384492756489&lt;/D&gt;&lt;D xsi:type="xsd:double"&gt;14.580482841744&lt;/D&gt;&lt;D xsi:type="xsd:double"&gt;13.6790899680378&lt;/D&gt;&lt;D xsi:type="xsd:double"&gt;13.2126382091239&lt;/D&gt;&lt;D xsi:type="xsd:double"&gt;14.0566645317503&lt;/D&gt;&lt;D xsi:type="xsd:double"&gt;14.1409030921511&lt;/D&gt;&lt;D xsi:type="xsd:double"&gt;14.7631597650033&lt;/D&gt;&lt;D xsi:type="xsd:double"&gt;14.5287549971057&lt;/D&gt;&lt;D xsi:type="xsd:double"&gt;14.1238183295423&lt;/D&gt;&lt;D xsi:type="xsd:double"&gt;14.3444408904695&lt;/D&gt;&lt;D xsi:type="xsd:double"&gt;14.3746367148827&lt;/D&gt;&lt;D xsi:type="xsd:double"&gt;14.6822722383519&lt;/D&gt;&lt;D xsi:type="xsd:double"&gt;14.9224636605663&lt;/D&gt;&lt;D xsi:type="xsd:double"&gt;14.6825494159432&lt;/D&gt;&lt;D xsi:type="xsd:double"&gt;14.8507315128537&lt;/D&gt;&lt;D xsi:type="xsd:double"&gt;14.5208983880783&lt;/D&gt;&lt;D xsi:type="xsd:double"&gt;15.1513115175266&lt;/D&gt;&lt;D xsi:type="xsd:double"&gt;16.303377479306&lt;/D&gt;&lt;D xsi:type="xsd:double"&gt;16.0241095205866&lt;/D&gt;&lt;D xsi:type="xsd:double"&gt;16.4968691198856&lt;/D&gt;&lt;D xsi:type="xsd:double"&gt;16.5817283799741&lt;/D&gt;&lt;/FQL&gt;&lt;FQL&gt;&lt;Q&gt;NI-FDS^FG_PRICE_CHANGE(0,-1AM)&lt;/Q&gt;&lt;R&gt;1&lt;/R&gt;&lt;C&gt;1&lt;/C&gt;&lt;D xsi:type="xsd:double"&gt;5.60436231445016&lt;/D&gt;&lt;/FQL&gt;&lt;FQL&gt;&lt;Q&gt;TIOS-FDS^FG_PRICE_CHANGE(0,-1AM)&lt;/Q&gt;&lt;R&gt;1&lt;/R&gt;&lt;C&gt;1&lt;/C&gt;&lt;D xsi:type="xsd:double"&gt;-12.8515318146111&lt;/D&gt;&lt;/FQL&gt;&lt;FQL&gt;&lt;Q&gt;EWI^P_PRICE(0)/P_PRICE_LOW_PR(0,,,USD,,,"PRICE","INTRA","52W")-1&lt;/Q&gt;&lt;R&gt;1&lt;/R&gt;&lt;C&gt;1&lt;/C&gt;&lt;D xsi:type="xsd:double"&gt;0.3019458&lt;/D&gt;&lt;/FQL&gt;&lt;FQL&gt;&lt;Q&gt;QQQ^FG_TOTAL_RETURNC(0,-3AM)&lt;/Q&gt;&lt;R&gt;1&lt;/R&gt;&lt;C&gt;1&lt;/C&gt;&lt;D xsi:type="xsd:double"&gt;9.544266&lt;/D&gt;&lt;/FQL&gt;&lt;FQL&gt;&lt;Q&gt;EWC^PERCENT_CHANGE(FMA_EPS(+1,0,,,,"PORTAGG","MEAN"),FMA_EPS(+1,-1AM,,,,"PORTAGG","MEAN"))&lt;/Q&gt;&lt;R&gt;1&lt;/R&gt;&lt;C&gt;1&lt;/C&gt;&lt;D xsi:type="xsd:double"&gt;-0.930705520261693&lt;/D&gt;&lt;/FQL&gt;&lt;FQL&gt;&lt;Q&gt;ENZL^FG_TOTAL_RETURNC(0,-1AM)&lt;/Q&gt;&lt;R&gt;1&lt;/R&gt;&lt;C&gt;1&lt;/C&gt;&lt;D xsi:type="xsd:double"&gt;1.0078311&lt;/D&gt;&lt;/FQL&gt;&lt;FQL&gt;&lt;Q&gt;VWO^SIZE(FG_CONSTITUENTS)&lt;/Q&gt;&lt;R&gt;1&lt;/R&gt;&lt;C&gt;1&lt;/C&gt;&lt;D xsi:type="xsd:long"&gt;4715&lt;/D&gt;&lt;/FQL&gt;&lt;FQL&gt;&lt;Q&gt;EWQ^FMA_COS_DOWN("EPS","1M",+1,0,,,"PORTAGG","MEANR")&lt;/Q&gt;&lt;R&gt;1&lt;/R&gt;&lt;C&gt;1&lt;/C&gt;&lt;D xsi:type="xsd:double"&gt;24&lt;/D&gt;&lt;/FQL&gt;&lt;FQL&gt;&lt;Q&gt;EWG^FG_ROE(0)&lt;/Q&gt;&lt;R&gt;1&lt;/R&gt;&lt;C&gt;1&lt;/C&gt;&lt;D xsi:type="xsd:double"&gt;12.3288954686977&lt;/D&gt;&lt;/FQL&gt;&lt;FQL&gt;&lt;Q&gt;REFEUREFI-FDS^PROPER_NAME(0,,,"SECURITY","NAME")&lt;/Q&gt;&lt;R&gt;1&lt;/R&gt;&lt;C&gt;1&lt;/C&gt;&lt;D xsi:type="xsd:string"&gt;Eurozone Main Refinancing Operations Minimum Bid Rate&lt;/D&gt;&lt;/FQL&gt;&lt;FQL&gt;&lt;Q&gt;REFAUCASH-FDS^FG_YIELD(NOW,,,0)&lt;/Q&gt;&lt;R&gt;1&lt;/R&gt;&lt;C&gt;1&lt;/C&gt;&lt;D xsi:type="xsd:double"&gt;4.35&lt;/D&gt;&lt;/FQL&gt;&lt;FQL&gt;&lt;Q&gt;TRYUS10Y-FDS^PCTCHG(FG_YIELD(0,,,,"YTM"),FG_YIELD(-1AM,,,,"YTM"))&lt;/Q&gt;&lt;R&gt;1&lt;/R&gt;&lt;C&gt;1&lt;/C&gt;&lt;D xsi:type="xsd:double"&gt;-1.1859637&lt;/D&gt;&lt;/FQL&gt;&lt;FQL&gt;&lt;Q&gt;EWL^FMA_ROE(NTMA,-20AY,NOW,FY,"PORTAGG","MEANR")&lt;/Q&gt;&lt;R&gt;20&lt;/R&gt;&lt;C&gt;1&lt;/C&gt;&lt;D xsi:type="xsd:double"&gt;15.9587717941353&lt;/D&gt;&lt;D xsi:type="xsd:double"&gt;16.6709442456462&lt;/D&gt;&lt;D xsi:type="xsd:double"&gt;17.3190561042513&lt;/D&gt;&lt;D xsi:type="xsd:double"&gt;18.194046530629&lt;/D&gt;&lt;D xsi:type="xsd:double"&gt;15.5136874283454&lt;/D&gt;&lt;D xsi:type="xsd:double"&gt;17.2258858021045&lt;/D&gt;&lt;D xsi:type="xsd:double"&gt;16.663378494352&lt;/D&gt;&lt;D xsi:type="xsd:double"&gt;15.1353221205521&lt;/D&gt;&lt;D xsi:type="xsd:double"&gt;15.5882414428409&lt;/D&gt;&lt;D xsi:type="xsd:double"&gt;15.2483951449653&lt;/D&gt;&lt;D xsi:type="xsd:double"&gt;14.5028009204846&lt;/D&gt;&lt;D xsi:type="xsd:double"&gt;13.2798091113486&lt;/D&gt;&lt;D xsi:type="xsd:double"&gt;13.3994953105419&lt;/D&gt;&lt;D xsi:type="xsd:double"&gt;13.9322208239423&lt;/D&gt;&lt;D xsi:type="xsd:double"&gt;14.6457996836392&lt;/D&gt;&lt;D xsi:type="xsd:double"&gt;14.5388198691271&lt;/D&gt;&lt;D xsi:type="xsd:double"&gt;14.6677795152565&lt;/D&gt;&lt;D xsi:type="xsd:double"&gt;16.3837417700753&lt;/D&gt;&lt;D xsi:type="xsd:double"&gt;16.6906517335277&lt;/D&gt;&lt;D xsi:type="xsd:double"&gt;19.2996868123636&lt;/D&gt;&lt;/FQL&gt;&lt;FQL&gt;&lt;Q&gt;TRYIN10Y-FDS^FG_YIELD(-10AY,0,Y,,"YTM")&lt;/Q&gt;&lt;R&gt;10&lt;/R&gt;&lt;C&gt;1&lt;/C&gt;&lt;D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xsi:type="xsd:double"&gt;3.099&lt;/D&gt;&lt;/FQL&gt;&lt;FQL&gt;&lt;Q&gt;QQQ^FG_COMPANY_NAME&lt;/Q&gt;&lt;R&gt;1&lt;/R&gt;&lt;C&gt;1&lt;/C&gt;&lt;D xsi:type="xsd:string"&gt;Invesco QQQ Trust Series I&lt;/D&gt;&lt;/FQL&gt;&lt;FQL&gt;&lt;Q&gt;CAGDPY@GB^EE_ACTUAL_ANNUAL(MED,0)&lt;/Q&gt;&lt;R&gt;1&lt;/R&gt;&lt;C&gt;1&lt;/C&gt;&lt;D xsi:type="xsd:double"&gt;-2.95&lt;/D&gt;&lt;/FQL&gt;&lt;FQL&gt;&lt;Q&gt;CC_CH^FG_COMPANY_NAME&lt;/Q&gt;&lt;R&gt;1&lt;/R&gt;&lt;C&gt;1&lt;/C&gt;&lt;D xsi:type="xsd:string"&gt;Switzerland&lt;/D&gt;&lt;/FQL&gt;&lt;FQL&gt;&lt;Q&gt;USDSEK^FG_PRICE_CHANGE(0,-6AM)&lt;/Q&gt;&lt;R&gt;1&lt;/R&gt;&lt;C&gt;1&lt;/C&gt;&lt;D xsi:type="xsd:double"&gt;-6.4970493&lt;/D&gt;&lt;/FQL&gt;&lt;FQL&gt;&lt;Q&gt;USDCHF^FG_PRICE_CHANGE(0,-6AM)&lt;/Q&gt;&lt;R&gt;1&lt;/R&gt;&lt;C&gt;1&lt;/C&gt;&lt;D xsi:type="xsd:double"&gt;-0.40425658&lt;/D&gt;&lt;/FQL&gt;&lt;FQL&gt;&lt;Q&gt;USDUSD^FG_PRICE_CHANGE(0,-6AM)&lt;/Q&gt;&lt;R&gt;1&lt;/R&gt;&lt;C&gt;1&lt;/C&gt;&lt;D xsi:type="xsd:double"&gt;0&lt;/D&gt;&lt;/FQL&gt;&lt;FQL&gt;&lt;Q&gt;USDEUR^FG_PRICE_CHANGE(0,-6AM)&lt;/Q&gt;&lt;R&gt;1&lt;/R&gt;&lt;C&gt;1&lt;/C&gt;&lt;D xsi:type="xsd:double"&gt;-1.8506646&lt;/D&gt;&lt;/FQL&gt;&lt;FQL&gt;&lt;Q&gt;USDAUD^FG_PRICE_CHANGE(0,-6AM)&lt;/Q&gt;&lt;R&gt;1&lt;/R&gt;&lt;C&gt;1&lt;/C&gt;&lt;D xsi:type="xsd:double"&gt;-2.283281&lt;/D&gt;&lt;/FQL&gt;&lt;FQL&gt;&lt;Q&gt;EWN^FMA_EPS(NTMA,-20AY,0,CY,,"PORTAGG","MEANR")&lt;/Q&gt;&lt;R&gt;20&lt;/R&gt;&lt;C&gt;1&lt;/C&gt;&lt;D xsi:type="xsd:double"&gt;1.49109929215903&lt;/D&gt;&lt;D xsi:type="xsd:double"&gt;1.5900517234348&lt;/D&gt;&lt;D xsi:type="xsd:double"&gt;2.15625739003115&lt;/D&gt;&lt;D xsi:type="xsd:double"&gt;2.62697068480407&lt;/D&gt;&lt;D xsi:type="xsd:double"&gt;1.79921066251297&lt;/D&gt;&lt;D xsi:type="xsd:double"&gt;1.65442974417331&lt;/D&gt;&lt;D xsi:type="xsd:double"&gt;2.1135843669069&lt;/D&gt;&lt;D xsi:type="xsd:double"&gt;1.84050659390711&lt;/D&gt;&lt;D xsi:type="xsd:double"&gt;1.84155905202006&lt;/D&gt;&lt;D xsi:type="xsd:double"&gt;1.85694784607263&lt;/D&gt;&lt;D xsi:type="xsd:double"&gt;1.61003576125895&lt;/D&gt;&lt;D xsi:type="xsd:double"&gt;1.5506283745409&lt;/D&gt;&lt;D xsi:type="xsd:double"&gt;1.60511092021475&lt;/D&gt;&lt;D xsi:type="xsd:double"&gt;1.99467947715871&lt;/D&gt;&lt;D xsi:type="xsd:double"&gt;2.00955458235889&lt;/D&gt;&lt;D xsi:type="xsd:double"&gt;1.99085797419876&lt;/D&gt;&lt;D xsi:type="xsd:double"&gt;2.00892945351409&lt;/D&gt;&lt;D xsi:type="xsd:double"&gt;2.43601807668502&lt;/D&gt;&lt;D xsi:type="xsd:double"&gt;2.42941425498409&lt;/D&gt;&lt;D xsi:type="xsd:double"&gt;2.95560750409213&lt;/D&gt;&lt;/FQL&gt;&lt;FQL&gt;&lt;Q&gt;SPY^P_PRICE_RETURNS_PR('52W',2,-10AY,0,AM)&lt;/Q&gt;&lt;R&gt;121&lt;/R&gt;&lt;C&gt;1&lt;/C&gt;&lt;D xsi:type="xsd:double"&gt;23.05994&lt;/D&gt;&lt;D xsi:type="xsd:double"&gt;22.72383&lt;/D&gt;&lt;D xsi:type="xsd:double"&gt;15.417337&lt;/D&gt;&lt;D xsi:type="xsd:double"&gt;26.001286&lt;/D&gt;&lt;D xsi:type="xsd:double"&gt;18.945229&lt;/D&gt;&lt;D xsi:type="xsd:double"&gt;23.615753&lt;/D&gt;&lt;D xsi:type="xsd:double"&gt;19.010948&lt;/D&gt;&lt;D xsi:type="xsd:double"&gt;13.440537&lt;/D&gt;&lt;D xsi:type="xsd:double"&gt;17.11147&lt;/D&gt;&lt;D xsi:type="xsd:double"&gt;16.639542&lt;/D&gt;&lt;D xsi:type="xsd:double"&gt;12.414587&lt;/D&gt;&lt;D xsi:type="xsd:double"&gt;16.98177&lt;/D&gt;&lt;D xsi:type="xsd:double"&gt;14.76469&lt;/D&gt;&lt;D xsi:type="xsd:double"&gt;14.24905&lt;/D&gt;&lt;D xsi:type="xsd:double"&gt;15.088844&lt;/D&gt;&lt;D xsi:type="xsd:double"&gt;9.922242&lt;/D&gt;&lt;D xsi:type="xsd:double"&gt;9.408188&lt;/D&gt;&lt;D xsi:type="xsd:double"&gt;1.0070086&lt;/D&gt;&lt;D xsi:type="xsd:double"&gt;-0.13093352&lt;/D&gt;&lt;D xsi:type="xsd:double"&gt;6.114471&lt;/D&gt;&lt;D xsi:type="xsd:double"&gt;3.875947&lt;/D&gt;&lt;D xsi:type="xsd:double"&gt;-0.31589866&lt;/D&gt;&lt;D xsi:type="xsd:double"&gt;-6.157261&lt;/D&gt;&lt;D xsi:type="xsd:double"&gt;-6.6595078&lt;/D&gt;&lt;D xsi:type="xsd:double"&gt;-0.6329894&lt;/D&gt;&lt;D xsi:type="xsd:double"&gt;1.8467188&lt;/D&gt;&lt;D xsi:type="xsd:double"&gt;-1.392442&lt;/D&gt;&lt;D xsi:type="xsd:double"&gt;1.0390639&lt;/D&gt;&lt;D xsi:type="xsd:double"&gt;4.3667912&lt;/D&gt;&lt;D xsi:type="xsd:double"&gt;7.201147&lt;/D&gt;&lt;D xsi:type="xsd:double"&gt;12.233818&lt;/D&gt;&lt;D xsi:type="xsd:double"&gt;8.305502&lt;/D&gt;&lt;D xsi:type="xsd:double"&gt;7.4566245&lt;/D&gt;&lt;D xsi:type="xsd:double"&gt;14.357746&lt;/D&gt;&lt;D xsi:type="xsd:double"&gt;24.759567&lt;/D&gt;&lt;D xsi:type="xsd:double"&gt;25.820732&lt;/D&gt;&lt;D xsi:type="xsd:double"&gt;16.564142&lt;/D&gt;&lt;D xsi:type="xsd:double"&gt;14.585662&lt;/D&gt;&lt;D xsi:type="xsd:double"&gt;19.121815&lt;/D&gt;&lt;D xsi:type="xsd:double"&gt;18.9299&lt;/D&gt;&lt;D xsi:type="xsd:double"&gt;16.480946&lt;/D&gt;&lt;D xsi:type="xsd:double"&gt;13.410128&lt;/D&gt;&lt;D xsi:type="xsd:double"&gt;17.894089&lt;/D&gt;&lt;D xsi:type="xsd:double"&gt;22.64601&lt;/D&gt;&lt;D xsi:type="xsd:double"&gt;20.487679&lt;/D&gt;&lt;D xsi:type="xsd:double"&gt;20.817947&lt;/D&gt;&lt;D xsi:type="xsd:double"&gt;26.532507&lt;/D&gt;&lt;D xsi:type="xsd:double"&gt;16.406036&lt;/D&gt;&lt;D xsi:type="xsd:double"&gt;17.904222&lt;/D&gt;&lt;D xsi:type="xsd:double"&gt;15.44354&lt;/D&gt;&lt;D xsi:type="xsd:double"&gt;16.895449&lt;/D&gt;&lt;D xsi:type="xsd:double"&gt;14.984155&lt;/D&gt;&lt;D xsi:type="xsd:double"&gt;15.295601&lt;/D&gt;&lt;D xsi:type="xsd:double"&gt;20.0822&lt;/D&gt;&lt;D xsi:type="xsd:double"&gt;19.214594&lt;/D&gt;&lt;D xsi:type="xsd:double"&gt;9.966207&lt;/D&gt;&lt;D xsi:type="xsd:double"&gt;3.791666&lt;/D&gt;&lt;D xsi:type="xsd:double"&gt;-8.325476&lt;/D&gt;&lt;D xsi:type="xsd:double"&gt;-2.717179&lt;/D&gt;&lt;D xsi:type="xsd:double"&gt;4.693532&lt;/D&gt;&lt;D xsi:type="xsd:double"&gt;7.3421955&lt;/D&gt;&lt;D xsi:type="xsd:double"&gt;9.35266&lt;/D&gt;&lt;D xsi:type="xsd:double"&gt;6.8516016&lt;/D&gt;&lt;D xsi:type="xsd:double"&gt;9.337902&lt;/D&gt;&lt;D xsi:type="xsd:double"&gt;8.243334&lt;/D&gt;&lt;D xsi:type="xsd:double"&gt;4.1654825&lt;/D&gt;&lt;D xsi:type="xsd:double"&gt;4.1026473&lt;/D&gt;&lt;D xsi:type="xsd:double"&gt;10.765839&lt;/D&gt;&lt;D xsi:type="xsd:double"&gt;19.415987&lt;/D&gt;&lt;D xsi:type="xsd:double"&gt;33.004368&lt;/D&gt;&lt;D xsi:type="xsd:double"&gt;26.68618&lt;/D&gt;&lt;D xsi:type="xsd:double"&gt;22.481882&lt;/D&gt;&lt;D xsi:type="xsd:double"&gt;-17.05302&lt;/D&gt;&lt;D xsi:type="xsd:double"&gt;-3.9055228&lt;/D&gt;&lt;D xsi:type="xsd:double"&gt;5.0523043&lt;/D&gt;&lt;D xsi:type="xsd:double"&gt;7.9727054&lt;/D&gt;&lt;D xsi:type="xsd:double"&gt;11.5835905&lt;/D&gt;&lt;D xsi:type="xsd:double"&gt;18.43258&lt;/D&gt;&lt;D xsi:type="xsd:double"&gt;11.773276&lt;/D&gt;&lt;D xsi:type="xsd:double"&gt;16.492928&lt;/D&gt;&lt;D xsi:type="xsd:double"&gt;16.58616&lt;/D&gt;&lt;D xsi:type="xsd:double"&gt;16.877556&lt;/D&gt;&lt;D xsi:type="xsd:double"&gt;18.186892&lt;/D&gt;&lt;D xsi:type="xsd:double"&gt;17.471577&lt;/D&gt;&lt;D xsi:type="xsd:double"&gt;65.56278&lt;/D&gt;&lt;D xsi:type="xsd:double"&gt;54.842793&lt;/D&gt;&lt;D xsi:type="xsd:double"&gt;42.98512&lt;/D&gt;&lt;D xsi:type="xsd:double"&gt;38.40629&lt;/D&gt;&lt;D xsi:type="xsd:double"&gt;35.71049&lt;/D&gt;&lt;D xsi:type="xsd:double"&gt;33.030308&lt;/D&gt;&lt;D xsi:type="xsd:double"&gt;34.50216&lt;/D&gt;&lt;D xsi:type="xsd:double"&gt;34.2237&lt;/D&gt;&lt;D xsi:type="xsd:double"&gt;32.914616&lt;/D&gt;&lt;D xsi:type="xsd:double"&gt;27.573513&lt;/D&gt;&lt;D xsi:type="xsd:double"&gt;15.520096&lt;/D&gt;&lt;D xsi:type="xsd:double"&gt;12.631536&lt;/D&gt;&lt;D xsi:type="xsd:double"&gt;15.609884&lt;/D&gt;&lt;D xsi:type="xsd:double"&gt;6.6800117&lt;/D&gt;&lt;D xsi:type="xsd:double"&gt;-4.93356&lt;/D&gt;&lt;D xsi:type="xsd:double"&gt;-9.609956&lt;/D&gt;&lt;D xsi:type="xsd:double"&gt;-6.9212794&lt;/D&gt;&lt;D xsi:type="xsd:double"&gt;-2.6607513&lt;/D&gt;&lt;D xsi:type="xsd:double"&gt;-11.6495905&lt;/D&gt;&lt;D xsi:type="xsd:double"&gt;-16.231209&lt;/D&gt;&lt;D xsi:type="xsd:double"&gt;-14.569574&lt;/D&gt;&lt;D xsi:type="xsd:double"&gt;-15.234828&lt;/D&gt;&lt;D xsi:type="xsd:double"&gt;-9.945023&lt;/D&gt;&lt;D xsi:type="xsd:double"&gt;-6.5972385&lt;/D&gt;&lt;D xsi:type="xsd:double"&gt;-8.702082&lt;/D&gt;&lt;D xsi:type="xsd:double"&gt;-4.297203&lt;/D&gt;&lt;D xsi:type="xsd:double"&gt;9.321939&lt;/D&gt;&lt;D xsi:type="xsd:double"&gt;17.873323&lt;/D&gt;&lt;D xsi:type="xsd:double"&gt;15.2565365&lt;/D&gt;&lt;D xsi:type="xsd:double"&gt;5.789542&lt;/D&gt;&lt;D xsi:type="xsd:double"&gt;16.12661&lt;/D&gt;&lt;D xsi:type="xsd:double"&gt;17.098045&lt;/D&gt;&lt;D xsi:type="xsd:double"&gt;16.697872&lt;/D&gt;&lt;D xsi:type="xsd:double"&gt;24.261904&lt;/D&gt;&lt;D xsi:type="xsd:double"&gt;26.03327&lt;/D&gt;&lt;D xsi:type="xsd:double"&gt;26.493275&lt;/D&gt;&lt;D xsi:type="xsd:double"&gt;32.81368&lt;/D&gt;&lt;/FQL&gt;&lt;FQL&gt;&lt;Q&gt;EWU^FG_TOTAL_RETURNC(-10AY,0,AM)&lt;/Q&gt;&lt;R&gt;121&lt;/R&gt;&lt;C&gt;1&lt;/C&gt;&lt;D xsi:type="xsd:double"&gt;-4.9929323&lt;/D&gt;&lt;D xsi:type="xsd:double"&gt;4.115021&lt;/D&gt;&lt;D xsi:type="xsd:double"&gt;3.9999962&lt;/D&gt;&lt;D xsi:type="xsd:double"&gt;0.778389&lt;/D&gt;&lt;D xsi:type="xsd:double"&gt;-0.9925127&lt;/D&gt;&lt;D xsi:type="xsd:double"&gt;-1.9258499&lt;/D&gt;&lt;D xsi:type="xsd:double"&gt;-0.58910847&lt;/D&gt;&lt;D xsi:type="xsd:double"&gt;-7.753086&lt;/D&gt;&lt;D xsi:type="xsd:double"&gt;2.6766539&lt;/D&gt;&lt;D xsi:type="xsd:double"&gt;-2.5454104&lt;/D&gt;&lt;D xsi:type="xsd:double"&gt;-1.0911107&lt;/D&gt;&lt;D xsi:type="xsd:double"&gt;5.295098&lt;/D&gt;&lt;D xsi:type="xsd:double"&gt;-1.4143527&lt;/D&gt;&lt;D xsi:type="xsd:double"&gt;0.7970214&lt;/D&gt;&lt;D xsi:type="xsd:double"&gt;4.902482&lt;/D&gt;&lt;D xsi:type="xsd:double"&gt;-3.3165812&lt;/D&gt;&lt;D xsi:type="xsd:double"&gt;-1.1940539&lt;/D&gt;&lt;D xsi:type="xsd:double"&gt;-7.980716&lt;/D&gt;&lt;D xsi:type="xsd:double"&gt;-1.6880155&lt;/D&gt;&lt;D xsi:type="xsd:double"&gt;3.1971693&lt;/D&gt;&lt;D xsi:type="xsd:double"&gt;-1.4343083&lt;/D&gt;&lt;D xsi:type="xsd:double"&gt;-6.018096&lt;/D&gt;&lt;D xsi:type="xsd:double"&gt;-8.712572&lt;/D&gt;&lt;D xsi:type="xsd:double"&gt;4.4232845&lt;/D&gt;&lt;D xsi:type="xsd:double"&gt;4.705107&lt;/D&gt;&lt;D xsi:type="xsd:double"&gt;2.8481007&lt;/D&gt;&lt;D xsi:type="xsd:double"&gt;-1.8461525&lt;/D&gt;&lt;D xsi:type="xsd:double"&gt;2.7586222&lt;/D&gt;&lt;D xsi:type="xsd:double"&gt;-3.2215536&lt;/D&gt;&lt;D xsi:type="xsd:double"&gt;2.519381&lt;/D&gt;&lt;D xsi:type="xsd:double"&gt;-0.44108033&lt;/D&gt;&lt;D xsi:type="xsd:double"&gt;-3.7341774&lt;/D&gt;&lt;D xsi:type="xsd:double"&gt;-1.1176884&lt;/D&gt;&lt;D xsi:type="xsd:double"&gt;2.699256&lt;/D&gt;&lt;D xsi:type="xsd:double"&gt;2.2973418&lt;/D&gt;&lt;D xsi:type="xsd:double"&gt;2.7590632&lt;/D&gt;&lt;D xsi:type="xsd:double"&gt;1.5298247&lt;/D&gt;&lt;D xsi:type="xsd:double"&gt;-0.4612565&lt;/D&gt;&lt;D xsi:type="xsd:double"&gt;7.59964&lt;/D&gt;&lt;D xsi:type="xsd:double"&gt;-3.216976&lt;/D&gt;&lt;D xsi:type="xsd:double"&gt;2.9117346&lt;/D&gt;&lt;D xsi:type="xsd:double"&gt;-1.9451797&lt;/D&gt;&lt;D xsi:type="xsd:double"&gt;4.328215&lt;/D&gt;&lt;D xsi:type="xsd:double"&gt;0.7778764&lt;/D&gt;&lt;D xsi:type="xsd:double"&gt;-1.0005653&lt;/D&gt;&lt;D xsi:type="xsd:double"&gt;3.5960197&lt;/D&gt;&lt;D xsi:type="xsd:double"&gt;5.9074163&lt;/D&gt;&lt;D xsi:type="xsd:double"&gt;-5.765623&lt;/D&gt;&lt;D xsi:type="xsd:double"&gt;-1.3090491&lt;/D&gt;&lt;D xsi:type="xsd:double"&gt;4.5847774&lt;/D&gt;&lt;D xsi:type="xsd:double"&gt;2.6468158&lt;/D&gt;&lt;D xsi:type="xsd:double"&gt;-5.1011267&lt;/D&gt;&lt;D xsi:type="xsd:double"&gt;0.81136227&lt;/D&gt;&lt;D xsi:type="xsd:double"&gt;-2.6731849&lt;/D&gt;&lt;D xsi:type="xsd:double"&gt;0.85647106&lt;/D&gt;&lt;D xsi:type="xsd:double"&gt;-5.65154&lt;/D&gt;&lt;D xsi:type="xsd:double"&gt;-1.7070174&lt;/D&gt;&lt;D xsi:type="xsd:double"&gt;-7.009691&lt;/D&gt;&lt;D xsi:type="xsd:double"&gt;7.4253917&lt;/D&gt;&lt;D xsi:type="xsd:double"&gt;4.521966&lt;/D&gt;&lt;D xsi:type="xsd:double"&gt;3.461063&lt;/D&gt;&lt;D xsi:type="xsd:double"&gt;0.9856701&lt;/D&gt;&lt;D xsi:type="xsd:double"&gt;-3.2534838&lt;/D&gt;&lt;D xsi:type="xsd:double"&gt;0.81032515&lt;/D&gt;&lt;D xsi:type="xsd:double"&gt;-0.124418736&lt;/D&gt;&lt;D xsi:type="xsd:double"&gt;-6.4154506&lt;/D&gt;&lt;D xsi:type="xsd:double"&gt;5.0249577&lt;/D&gt;&lt;D xsi:type="xsd:double"&gt;1.8377662&lt;/D&gt;&lt;D xsi:type="xsd:double"&gt;0.8400798&lt;/D&gt;&lt;D xsi:type="xsd:double"&gt;5.235636&lt;/D&gt;&lt;D xsi:type="xsd:double"&gt;0.6264925&lt;/D&gt;&lt;D xsi:type="xsd:double"&gt;-3.0536592&lt;/D&gt;&lt;D xsi:type="xsd:double"&gt;-38.654434&lt;/D&gt;&lt;D xsi:type="xsd:double"&gt;17.996014&lt;/D&gt;&lt;D xsi:type="xsd:double"&gt;6.33713&lt;/D&gt;&lt;D xsi:type="xsd:double"&gt;4.41972&lt;/D&gt;&lt;D xsi:type="xsd:double"&gt;3.0900002&lt;/D&gt;&lt;D xsi:type="xsd:double"&gt;-0.6744087&lt;/D&gt;&lt;D xsi:type="xsd:double"&gt;-4.9038115&lt;/D&gt;&lt;D xsi:type="xsd:double"&gt;0.9520054&lt;/D&gt;&lt;D xsi:type="xsd:double"&gt;12.29862&lt;/D&gt;&lt;D xsi:type="xsd:double"&gt;2.207458&lt;/D&gt;&lt;D xsi:type="xsd:double"&gt;7.0637107&lt;/D&gt;&lt;D xsi:type="xsd:double"&gt;0.1617074&lt;/D&gt;&lt;D xsi:type="xsd:double"&gt;1.3561487&lt;/D&gt;&lt;D xsi:type="xsd:double"&gt;4.014027&lt;/D&gt;&lt;D xsi:type="xsd:double"&gt;3.5221934&lt;/D&gt;&lt;D xsi:type="xsd:double"&gt;-0.7472575&lt;/D&gt;&lt;D xsi:type="xsd:double"&gt;-2.2734165&lt;/D&gt;&lt;D xsi:type="xsd:double"&gt;1.4267921&lt;/D&gt;&lt;D xsi:type="xsd:double"&gt;-1.8042803&lt;/D&gt;&lt;D xsi:type="xsd:double"&gt;5.0140142&lt;/D&gt;&lt;D xsi:type="xsd:double"&gt;-2.135235&lt;/D&gt;&lt;D xsi:type="xsd:double"&gt;0.38648844&lt;/D&gt;&lt;D xsi:type="xsd:double"&gt;4.5285344&lt;/D&gt;&lt;D xsi:type="xsd:double"&gt;1.6913891&lt;/D&gt;&lt;D xsi:type="xsd:double"&gt;-2.6845694&lt;/D&gt;&lt;D xsi:type="xsd:double"&gt;1.1394382&lt;/D&gt;&lt;D xsi:type="xsd:double"&gt;-4.8917828&lt;/D&gt;&lt;D xsi:type="xsd:double"&gt;-4.9255967&lt;/D&gt;&lt;D xsi:type="xsd:double"&gt;-0.8013427&lt;/D&gt;&lt;D xsi:type="xsd:double"&gt;2.8273344&lt;/D&gt;&lt;D xsi:type="xsd:double"&gt;-8.968902&lt;/D&gt;&lt;D xsi:type="xsd:double"&gt;-2.2294104&lt;/D&gt;&lt;D xsi:type="xsd:double"&gt;10.812796&lt;/D&gt;&lt;D xsi:type="xsd:double"&gt;4.0901065&lt;/D&gt;&lt;D xsi:type="xsd:double"&gt;6.0194135&lt;/D&gt;&lt;D xsi:type="xsd:double"&gt;0.0915885&lt;/D&gt;&lt;D xsi:type="xsd:double"&gt;-3.842634&lt;/D&gt;&lt;D xsi:type="xsd:double"&gt;7.1677804&lt;/D&gt;&lt;D xsi:type="xsd:double"&gt;-1.3909459&lt;/D&gt;&lt;D xsi:type="xsd:double"&gt;-0.59682727&lt;/D&gt;&lt;D xsi:type="xsd:double"&gt;2.4315119&lt;/D&gt;&lt;D xsi:type="xsd:double"&gt;-5.1983175&lt;/D&gt;&lt;D xsi:type="xsd:double"&gt;1.5847802&lt;/D&gt;&lt;D xsi:type="xsd:double"&gt;-3.8689554&lt;/D&gt;&lt;D xsi:type="xsd:double"&gt;4.5115232&lt;/D&gt;&lt;D xsi:type="xsd:double"&gt;4.240179&lt;/D&gt;&lt;D xsi:type="xsd:double"&gt;-2.5906801&lt;/D&gt;&lt;D xsi:type="xsd:double"&gt;2.1589518&lt;/D&gt;&lt;D xsi:type="xsd:double"&gt;3.7672281&lt;/D&gt;&lt;/FQL&gt;&lt;FQL&gt;&lt;Q&gt;EWJ^FMA_DIV_YLD(NTMA,-10AY,0,AM,"PORTAGG","MEANR")&lt;/Q&gt;&lt;R&gt;121&lt;/R&gt;&lt;C&gt;1&lt;/C&gt;&lt;D xsi:type="xsd:double"&gt;2.2039348091621&lt;/D&gt;&lt;D xsi:type="xsd:double"&gt;2.16156136528031&lt;/D&gt;&lt;D xsi:type="xsd:double"&gt;2.25370759149053&lt;/D&gt;&lt;D xsi:type="xsd:double"&gt;2.05659569326344&lt;/D&gt;&lt;D xsi:type="xsd:double"&gt;2.08107772290316&lt;/D&gt;&lt;D xsi:type="xsd:double"&gt;2.05768534101458&lt;/D&gt;&lt;D xsi:type="xsd:double"&gt;2.00639305179748&lt;/D&gt;&lt;D xsi:type="xsd:double"&gt;2.24027130595851&lt;/D&gt;&lt;D xsi:type="xsd:double"&gt;1.94976065748657&lt;/D&gt;&lt;D xsi:type="xsd:double"&gt;1.97180319069752&lt;/D&gt;&lt;D xsi:type="xsd:double"&gt;2.02574668073336&lt;/D&gt;&lt;D xsi:type="xsd:double"&gt;1.90598148520216&lt;/D&gt;&lt;D xsi:type="xsd:double"&gt;1.82912940592292&lt;/D&gt;&lt;D xsi:type="xsd:double"&gt;1.82456605427912&lt;/D&gt;&lt;D xsi:type="xsd:double"&gt;1.84203319979619&lt;/D&gt;&lt;D xsi:type="xsd:double"&gt;1.91024143775999&lt;/D&gt;&lt;D xsi:type="xsd:double"&gt;1.88392881117792&lt;/D&gt;&lt;D xsi:type="xsd:double"&gt;2.02094644491183&lt;/D&gt;&lt;D xsi:type="xsd:double"&gt;2.18464258004541&lt;/D&gt;&lt;D xsi:type="xsd:double"&gt;2.09180412487313&lt;/D&gt;&lt;D xsi:type="xsd:double"&gt;2.00020851613267&lt;/D&gt;&lt;D xsi:type="xsd:double"&gt;2.10997602384589&lt;/D&gt;&lt;D xsi:type="xsd:double"&gt;2.50082519814487&lt;/D&gt;&lt;D xsi:type="xsd:double"&gt;2.51303717130127&lt;/D&gt;&lt;D xsi:type="xsd:double"&gt;2.40399901832262&lt;/D&gt;&lt;D xsi:type="xsd:double"&gt;2.3039729663343&lt;/D&gt;&lt;D xsi:type="xsd:double"&gt;2.38195148956895&lt;/D&gt;&lt;D xsi:type="xsd:double"&gt;2.43353667873692&lt;/D&gt;&lt;D xsi:type="xsd:double"&gt;2.34675202757047&lt;/D&gt;&lt;D xsi:type="xsd:double"&gt;2.42441926141922&lt;/D&gt;&lt;D xsi:type="xsd:double"&gt;2.34938660926341&lt;/D&gt;&lt;D xsi:type="xsd:double"&gt;2.34279797821504&lt;/D&gt;&lt;D xsi:type="xsd:double"&gt;2.22777000328764&lt;/D&gt;&lt;D xsi:type="xsd:double"&gt;2.08263920286649&lt;/D&gt;&lt;D xsi:type="xsd:double"&gt;2.12089435472609&lt;/D&gt;&lt;D xsi:type="xsd:double"&gt;2.12688089830695&lt;/D&gt;&lt;D xsi:type="xsd:double"&gt;2.14290943385693&lt;/D&gt;&lt;D xsi:type="xsd:double"&gt;2.27189414492703&lt;/D&gt;&lt;D xsi:type="xsd:double"&gt;2.20151078711361&lt;/D&gt;&lt;D xsi:type="xsd:double"&gt;2.16634763367838&lt;/D&gt;&lt;D xsi:type="xsd:double"&gt;2.15624643917012&lt;/D&gt;&lt;D xsi:type="xsd:double"&gt;2.22504172062491&lt;/D&gt;&lt;D xsi:type="xsd:double"&gt;2.15603654278611&lt;/D&gt;&lt;D xsi:type="xsd:double"&gt;2.09375033941542&lt;/D&gt;&lt;D xsi:type="xsd:double"&gt;2.08898404062881&lt;/D&gt;&lt;D xsi:type="xsd:double"&gt;2.04844354452505&lt;/D&gt;&lt;D xsi:type="xsd:double"&gt;1.98461803992112&lt;/D&gt;&lt;D xsi:type="xsd:double"&gt;2.18161949727555&lt;/D&gt;&lt;D xsi:type="xsd:double"&gt;2.26291198496611&lt;/D&gt;&lt;D xsi:type="xsd:double"&gt;2.23439025119991&lt;/D&gt;&lt;D xsi:type="xsd:double"&gt;2.18320465777464&lt;/D&gt;&lt;D xsi:type="xsd:double"&gt;2.27153061283342&lt;/D&gt;&lt;D xsi:type="xsd:double"&gt;2.2809295352768&lt;/D&gt;&lt;D xsi:type="xsd:double"&gt;2.37385946667564&lt;/D&gt;&lt;D xsi:type="xsd:double"&gt;2.23243756132627&lt;/D&gt;&lt;D xsi:type="xsd:double"&gt;2.38680580014321&lt;/D&gt;&lt;D xsi:type="xsd:double"&gt;2.53417681499449&lt;/D&gt;&lt;D xsi:type="xsd:double"&gt;2.7298021243985&lt;/D&gt;&lt;D xsi:type="xsd:double"&gt;2.64761940495709&lt;/D&gt;&lt;D xsi:type="xsd:double"&gt;2.56015716853852&lt;/D&gt;&lt;D xsi:type="xsd:double"&gt;2.55685460546419&lt;/D&gt;&lt;D xsi:type="xsd:double"&gt;2.56631366359215&lt;/D&gt;&lt;D xsi:type="xsd:double"&gt;2.66415819433833&lt;/D&gt;&lt;D xsi:type="xsd:double"&gt;2.69250642517286&lt;/D&gt;&lt;D xsi:type="xsd:double"&gt;2.66649243280881&lt;/D&gt;&lt;D xsi:type="xsd:double"&gt;2.78379445793552&lt;/D&gt;&lt;D xsi:type="xsd:double"&gt;2.57431772389208&lt;/D&gt;&lt;D xsi:type="xsd:double"&gt;2.56451459291695&lt;/D&gt;&lt;D xsi:type="xsd:double"&gt;2.48283982601247&lt;/D&gt;&lt;D xsi:type="xsd:double"&gt;2.42752864051104&lt;/D&gt;&lt;D xsi:type="xsd:double"&gt;2.42894601893344&lt;/D&gt;&lt;D xsi:type="xsd:double"&gt;2.50116735552417&lt;/D&gt;&lt;D xsi:type="xsd:double"&gt;3.27962460011387&lt;/D&gt;&lt;D xsi:type="xsd:double"&gt;2.90475776671597&lt;/D&gt;&lt;D xsi:type="xsd:double"&gt;2.72636197953538&lt;/D&gt;&lt;D xsi:type="xsd:double"&gt;2.47291306388242&lt;/D&gt;&lt;D xsi:type="xsd:double"&gt;2.46910020460175&lt;/D&gt;&lt;D xsi:type="xsd:double"&gt;2.41522801206409&lt;/D&gt;&lt;D xsi:type="xsd:double"&gt;2.35006542749454&lt;/D&gt;&lt;D xsi:type="xsd:double"&gt;2.37534195133478&lt;/D&gt;&lt;D xsi:type="xsd:double"&gt;2.24255205471908&lt;/D&gt;&lt;D xsi:type="xsd:double"&gt;2.15979391213097&lt;/D&gt;&lt;D xsi:type="xsd:double"&gt;2.08274963370009&lt;/D&gt;&lt;D xsi:type="xsd:double"&gt;2.03825299008744&lt;/D&gt;&lt;D xsi:type="xsd:double"&gt;2.01047366389626&lt;/D&gt;&lt;D xsi:type="xsd:double"&gt;2.15772262158759&lt;/D&gt;&lt;D xsi:type="xsd:double"&gt;2.18971909029155&lt;/D&gt;&lt;D xsi:type="xsd:double"&gt;2.23278620706711&lt;/D&gt;&lt;D xsi:type="xsd:double"&gt;2.26191584498899&lt;/D&gt;&lt;D xsi:type="xsd:double"&gt;2.32254465468936&lt;/D&gt;&lt;D xsi:type="xsd:double"&gt;2.16403706869489&lt;/D&gt;&lt;D xsi:type="xsd:double"&gt;2.23882107331528&lt;/D&gt;&lt;D xsi:type="xsd:double"&gt;2.21588403999355&lt;/D&gt;&lt;D xsi:type="xsd:double"&gt;2.33284571194024&lt;/D&gt;&lt;D xsi:type="xsd:double"&gt;2.41700525159677&lt;/D&gt;&lt;D xsi:type="xsd:double"&gt;2.47669564139631&lt;/D&gt;&lt;D xsi:type="xsd:double"&gt;2.55687211589411&lt;/D&gt;&lt;D xsi:type="xsd:double"&gt;2.548484228904&lt;/D&gt;&lt;D xsi:type="xsd:double"&gt;2.63915039763335&lt;/D&gt;&lt;D xsi:type="xsd:double"&gt;2.71236750938502&lt;/D&gt;&lt;D xsi:type="xsd:double"&gt;2.59327282989631&lt;/D&gt;&lt;D xsi:type="xsd:double"&gt;2.55168021102097&lt;/D&gt;&lt;D xsi:type="xsd:double"&gt;2.67550767723656&lt;/D&gt;&lt;D xsi:type="xsd:double"&gt;2.74311711952318&lt;/D&gt;&lt;D xsi:type="xsd:double"&gt;2.61643204927733&lt;/D&gt;&lt;D xsi:type="xsd:double"&gt;2.74728335825833&lt;/D&gt;&lt;D xsi:type="xsd:double"&gt;2.6890686216796&lt;/D&gt;&lt;D xsi:type="xsd:double"&gt;2.61085080889667&lt;/D&gt;&lt;D xsi:type="xsd:double"&gt;2.71046734849329&lt;/D&gt;&lt;D xsi:type="xsd:double"&gt;2.58164667355494&lt;/D&gt;&lt;D xsi:type="xsd:double"&gt;2.44911390696027&lt;/D&gt;&lt;D xsi:type="xsd:double"&gt;2.32017974496805&lt;/D&gt;&lt;D xsi:type="xsd:double"&gt;2.37720510382462&lt;/D&gt;&lt;D xsi:type="xsd:double"&gt;2.43995432545742&lt;/D&gt;&lt;D xsi:type="xsd:double"&gt;2.31646839618689&lt;/D&gt;&lt;D xsi:type="xsd:double"&gt;2.46579166163086&lt;/D&gt;&lt;D xsi:type="xsd:double"&gt;2.38448174451396&lt;/D&gt;&lt;D xsi:type="xsd:double"&gt;2.45734928522482&lt;/D&gt;&lt;D xsi:type="xsd:double"&gt;2.28015134835395&lt;/D&gt;&lt;D xsi:type="xsd:double"&gt;2.22803471921408&lt;/D&gt;&lt;D xsi:type="xsd:double"&gt;2.17765160146462&lt;/D&gt;&lt;/FQL&gt;&lt;FQL&gt;&lt;Q&gt;EWC^FMA_PE(NTMA,-10AY,0,AM,"PORTAGG","MEANR")&lt;/Q&gt;&lt;R&gt;121&lt;/R&gt;&lt;C&gt;1&lt;/C&gt;&lt;D xsi:type="xsd:double"&gt;15.142730584226&lt;/D&gt;&lt;D xsi:type="xsd:double"&gt;14.8610583722886&lt;/D&gt;&lt;D xsi:type="xsd:double"&gt;14.7958370573734&lt;/D&gt;&lt;D xsi:type="xsd:double"&gt;15.0107340269245&lt;/D&gt;&lt;D xsi:type="xsd:double"&gt;15.0494421024248&lt;/D&gt;&lt;D xsi:type="xsd:double"&gt;15.2035027332322&lt;/D&gt;&lt;D xsi:type="xsd:double"&gt;14.8817641624827&lt;/D&gt;&lt;D xsi:type="xsd:double"&gt;14.110632371532&lt;/D&gt;&lt;D xsi:type="xsd:double"&gt;14.9097226459368&lt;/D&gt;&lt;D xsi:type="xsd:double"&gt;15.2628642702012&lt;/D&gt;&lt;D xsi:type="xsd:double"&gt;15.8240608452155&lt;/D&gt;&lt;D xsi:type="xsd:double"&gt;17.3365517190018&lt;/D&gt;&lt;D xsi:type="xsd:double"&gt;17.1684376983059&lt;/D&gt;&lt;D xsi:type="xsd:double"&gt;17.4166411690044&lt;/D&gt;&lt;D xsi:type="xsd:double"&gt;16.8707254169838&lt;/D&gt;&lt;D xsi:type="xsd:double"&gt;16.0437327745369&lt;/D&gt;&lt;D xsi:type="xsd:double"&gt;15.5651786921012&lt;/D&gt;&lt;D xsi:type="xsd:double"&gt;14.5116568782717&lt;/D&gt;&lt;D xsi:type="xsd:double"&gt;14.9720770407803&lt;/D&gt;&lt;D xsi:type="xsd:double"&gt;14.9216280896026&lt;/D&gt;&lt;D xsi:type="xsd:double"&gt;14.648176634722&lt;/D&gt;&lt;D xsi:type="xsd:double"&gt;14.309183455482&lt;/D&gt;&lt;D xsi:type="xsd:double"&gt;13.4088362421767&lt;/D&gt;&lt;D xsi:type="xsd:double"&gt;14.7101050964884&lt;/D&gt;&lt;D xsi:type="xsd:double"&gt;16.1706186242843&lt;/D&gt;&lt;D xsi:type="xsd:double"&gt;16.5184654471665&lt;/D&gt;&lt;D xsi:type="xsd:double"&gt;16.4145969563589&lt;/D&gt;&lt;D xsi:type="xsd:double"&gt;16.4182641449829&lt;/D&gt;&lt;D xsi:type="xsd:double"&gt;16.5668060532661&lt;/D&gt;&lt;D xsi:type="xsd:double"&gt;16.4296771339149&lt;/D&gt;&lt;D xsi:type="xsd:double"&gt;16.1155116427577&lt;/D&gt;&lt;D xsi:type="xsd:double"&gt;16.1693333867502&lt;/D&gt;&lt;D xsi:type="xsd:double"&gt;16.0650263028126&lt;/D&gt;&lt;D xsi:type="xsd:double"&gt;15.9409349426102&lt;/D&gt;&lt;D xsi:type="xsd:double"&gt;16.1960048140973&lt;/D&gt;&lt;D xsi:type="xsd:double"&gt;16.4406070651119&lt;/D&gt;&lt;D xsi:type="xsd:double"&gt;15.611430855586&lt;/D&gt;&lt;D xsi:type="xsd:double"&gt;15.80233094217&lt;/D&gt;&lt;D xsi:type="xsd:double"&gt;15.527647307414&lt;/D&gt;&lt;D xsi:type="xsd:double"&gt;15.1664980724797&lt;/D&gt;&lt;D xsi:type="xsd:double"&gt;15.563501222778&lt;/D&gt;&lt;D xsi:type="xsd:double"&gt;15.3409202445755&lt;/D&gt;&lt;D xsi:type="xsd:double"&gt;15.6034188598134&lt;/D&gt;&lt;D xsi:type="xsd:double"&gt;15.7934789301647&lt;/D&gt;&lt;D xsi:type="xsd:double"&gt;15.8972278934237&lt;/D&gt;&lt;D xsi:type="xsd:double"&gt;15.9502669736091&lt;/D&gt;&lt;D xsi:type="xsd:double"&gt;15.7579108415669&lt;/D&gt;&lt;D xsi:type="xsd:double"&gt;14.6112047804169&lt;/D&gt;&lt;D xsi:type="xsd:double"&gt;14.4909557158653&lt;/D&gt;&lt;D xsi:type="xsd:double"&gt;14.1130331686968&lt;/D&gt;&lt;D xsi:type="xsd:double"&gt;14.3755570391332&lt;/D&gt;&lt;D xsi:type="xsd:double"&gt;14.3618308373369&lt;/D&gt;&lt;D xsi:type="xsd:double"&gt;14.2302386809933&lt;/D&gt;&lt;D xsi:type="xsd:double"&gt;13.9186461836889&lt;/D&gt;&lt;D xsi:type="xsd:double"&gt;13.7207618508399&lt;/D&gt;&lt;D xsi:type="xsd:double"&gt;12.8834181886489&lt;/D&gt;&lt;D xsi:type="xsd:double"&gt;12.6204426594422&lt;/D&gt;&lt;D xsi:type="xsd:double"&gt;11.777730421635&lt;/D&gt;&lt;D xsi:type="xsd:double"&gt;13.3283988257423&lt;/D&gt;&lt;D xsi:type="xsd:double"&gt;14.0807289582851&lt;/D&gt;&lt;D xsi:type="xsd:double"&gt;14.2491459839972&lt;/D&gt;&lt;D xsi:type="xsd:double"&gt;13.9994623415739&lt;/D&gt;&lt;D xsi:type="xsd:double"&gt;13.6739403782241&lt;/D&gt;&lt;D xsi:type="xsd:double"&gt;13.7760768323577&lt;/D&gt;&lt;D xsi:type="xsd:double"&gt;13.6822234938865&lt;/D&gt;&lt;D xsi:type="xsd:double"&gt;13.593326794141&lt;/D&gt;&lt;D xsi:type="xsd:double"&gt;14.1297211689308&lt;/D&gt;&lt;D xsi:type="xsd:double"&gt;13.7968562971873&lt;/D&gt;&lt;D xsi:type="xsd:double"&gt;14.3453538518953&lt;/D&gt;&lt;D xsi:type="xsd:double"&gt;14.520281912079&lt;/D&gt;&lt;D xsi:type="xsd:double"&gt;14.7192730199047&lt;/D&gt;&lt;D xsi:type="xsd:double"&gt;15.0150758140171&lt;/D&gt;&lt;D xsi:type="xsd:double"&gt;11.1242024992922&lt;/D&gt;&lt;D xsi:type="xsd:double"&gt;15.061838215567&lt;/D&gt;&lt;D xsi:type="xsd:double"&gt;18.1898764241669&lt;/D&gt;&lt;D xsi:type="xsd:double"&gt;17.8651327583764&lt;/D&gt;&lt;D xsi:type="xsd:double"&gt;17.6977299375974&lt;/D&gt;&lt;D xsi:type="xsd:double"&gt;17.3550290785924&lt;/D&gt;&lt;D xsi:type="xsd:double"&gt;16.2682845624977&lt;/D&gt;&lt;D xsi:type="xsd:double"&gt;15.9388267201642&lt;/D&gt;&lt;D xsi:type="xsd:double"&gt;16.0378679796625&lt;/D&gt;&lt;D xsi:type="xsd:double"&gt;15.9399397464648&lt;/D&gt;&lt;D xsi:type="xsd:double"&gt;16.007824936489&lt;/D&gt;&lt;D xsi:type="xsd:double"&gt;16.0705557968304&lt;/D&gt;&lt;D xsi:type="xsd:double"&gt;15.4931404986196&lt;/D&gt;&lt;D xsi:type="xsd:double"&gt;15.4729426646621&lt;/D&gt;&lt;D xsi:type="xsd:double"&gt;15.3447925811567&lt;/D&gt;&lt;D xsi:type="xsd:double"&gt;15.6368164439859&lt;/D&gt;&lt;D xsi:type="xsd:double"&gt;15.1501678342507&lt;/D&gt;&lt;D xsi:type="xsd:double"&gt;14.8412872254299&lt;/D&gt;&lt;D xsi:type="xsd:double"&gt;14.4911888302253&lt;/D&gt;&lt;D xsi:type="xsd:double"&gt;15.1092298319548&lt;/D&gt;&lt;D xsi:type="xsd:double"&gt;14.8603055652879&lt;/D&gt;&lt;D xsi:type="xsd:double"&gt;14.255640796583&lt;/D&gt;&lt;D xsi:type="xsd:double"&gt;13.8455440890379&lt;/D&gt;&lt;D xsi:type="xsd:double"&gt;13.8683930521253&lt;/D&gt;&lt;D xsi:type="xsd:double"&gt;13.8791501747682&lt;/D&gt;&lt;D xsi:type="xsd:double"&gt;13.2610690901605&lt;/D&gt;&lt;D xsi:type="xsd:double"&gt;12.2071691124817&lt;/D&gt;&lt;D xsi:type="xsd:double"&gt;11.4230275376361&lt;/D&gt;&lt;D xsi:type="xsd:double"&gt;11.2144317046449&lt;/D&gt;&lt;D xsi:type="xsd:double"&gt;11.8454227031972&lt;/D&gt;&lt;D xsi:type="xsd:double"&gt;11.1932254234344&lt;/D&gt;&lt;D xsi:type="xsd:double"&gt;11.1460467915049&lt;/D&gt;&lt;D xsi:type="xsd:double"&gt;11.9086874598236&lt;/D&gt;&lt;D xsi:type="xsd:double"&gt;12.0209773702305&lt;/D&gt;&lt;D xsi:type="xsd:double"&gt;12.8610111435154&lt;/D&gt;&lt;D xsi:type="xsd:double"&gt;12.722569129652&lt;/D&gt;&lt;D xsi:type="xsd:double"&gt;12.4059099127457&lt;/D&gt;&lt;D xsi:type="xsd:double"&gt;13.1619051334682&lt;/D&gt;&lt;D xsi:type="xsd:double"&gt;13.0151491456949&lt;/D&gt;&lt;D xsi:type="xsd:double"&gt;12.735765828151&lt;/D&gt;&lt;D xsi:type="xsd:double"&gt;13.4866112497064&lt;/D&gt;&lt;D xsi:type="xsd:double"&gt;12.8577441367597&lt;/D&gt;&lt;D xsi:type="xsd:double"&gt;12.7633210796526&lt;/D&gt;&lt;D xsi:type="xsd:double"&gt;12.2620214853663&lt;/D&gt;&lt;D xsi:type="xsd:double"&gt;12.7985379369824&lt;/D&gt;&lt;D xsi:type="xsd:double"&gt;13.5377694793038&lt;/D&gt;&lt;D xsi:type="xsd:double"&gt;13.6873100231909&lt;/D&gt;&lt;D xsi:type="xsd:double"&gt;14.0019598951687&lt;/D&gt;&lt;D xsi:type="xsd:double"&gt;14.4897833466545&lt;/D&gt;&lt;/FQL&gt;&lt;FQL&gt;&lt;Q&gt;ENZL^FMA_PE(LTMA,-10AY,0,AM,"PORTAGG","MEANR")&lt;/Q&gt;&lt;R&gt;121&lt;/R&gt;&lt;C&gt;1&lt;/C&gt;&lt;D xsi:type="xsd:double"&gt;17.9758814406622&lt;/D&gt;&lt;D xsi:type="xsd:double"&gt;17.9096737286589&lt;/D&gt;&lt;D xsi:type="xsd:double"&gt;17.9291592294231&lt;/D&gt;&lt;D xsi:type="xsd:double"&gt;17.9115933867413&lt;/D&gt;&lt;D xsi:type="xsd:double"&gt;17.9734937919931&lt;/D&gt;&lt;D xsi:type="xsd:double"&gt;18.0187840631252&lt;/D&gt;&lt;D xsi:type="xsd:double"&gt;17.7643404554934&lt;/D&gt;&lt;D xsi:type="xsd:double"&gt;17.9543915127188&lt;/D&gt;&lt;D xsi:type="xsd:double"&gt;18.7784100435702&lt;/D&gt;&lt;D xsi:type="xsd:double"&gt;19.0401387534111&lt;/D&gt;&lt;D xsi:type="xsd:double"&gt;19.6358171416005&lt;/D&gt;&lt;D xsi:type="xsd:double"&gt;20.0512324528168&lt;/D&gt;&lt;D xsi:type="xsd:double"&gt;20.3814970750879&lt;/D&gt;&lt;D xsi:type="xsd:double"&gt;20.1191136909312&lt;/D&gt;&lt;D xsi:type="xsd:double"&gt;19.9880130205619&lt;/D&gt;&lt;D xsi:type="xsd:double"&gt;19.7701370291584&lt;/D&gt;&lt;D xsi:type="xsd:double"&gt;19.8234680996059&lt;/D&gt;&lt;D xsi:type="xsd:double"&gt;19.4082032376429&lt;/D&gt;&lt;D xsi:type="xsd:double"&gt;19.0865467613311&lt;/D&gt;&lt;D xsi:type="xsd:double"&gt;19.3716503642136&lt;/D&gt;&lt;D xsi:type="xsd:double"&gt;19.4093229720054&lt;/D&gt;&lt;D xsi:type="xsd:double"&gt;19.444412983199&lt;/D&gt;&lt;D xsi:type="xsd:double"&gt;18.9626991919436&lt;/D&gt;&lt;D xsi:type="xsd:double"&gt;19.1966001449046&lt;/D&gt;&lt;D xsi:type="xsd:double"&gt;19.3148523171507&lt;/D&gt;&lt;D xsi:type="xsd:double"&gt;19.5061512998379&lt;/D&gt;&lt;D xsi:type="xsd:double"&gt;19.6402543032251&lt;/D&gt;&lt;D xsi:type="xsd:double"&gt;19.5807269293807&lt;/D&gt;&lt;D xsi:type="xsd:double"&gt;20.2988047790329&lt;/D&gt;&lt;D xsi:type="xsd:double"&gt;20.7649033638206&lt;/D&gt;&lt;D xsi:type="xsd:double"&gt;20.8721981663312&lt;/D&gt;&lt;D xsi:type="xsd:double"&gt;20.1075417451936&lt;/D&gt;&lt;D xsi:type="xsd:double"&gt;19.9818392261576&lt;/D&gt;&lt;D xsi:type="xsd:double"&gt;19.702803231501&lt;/D&gt;&lt;D xsi:type="xsd:double"&gt;20.3900594570109&lt;/D&gt;&lt;D xsi:type="xsd:double"&gt;20.4459973369214&lt;/D&gt;&lt;D xsi:type="xsd:double"&gt;19.7383306990798&lt;/D&gt;&lt;D xsi:type="xsd:double"&gt;19.7761968054248&lt;/D&gt;&lt;D xsi:type="xsd:double"&gt;19.9465763491337&lt;/D&gt;&lt;D xsi:type="xsd:double"&gt;20.0774869174673&lt;/D&gt;&lt;D xsi:type="xsd:double"&gt;20.3497145820659&lt;/D&gt;&lt;D xsi:type="xsd:double"&gt;20.8030298624&lt;/D&gt;&lt;D xsi:type="xsd:double"&gt;20.4592011847642&lt;/D&gt;&lt;D xsi:type="xsd:double"&gt;20.9994577739483&lt;/D&gt;&lt;D xsi:type="xsd:double"&gt;21.3692053780474&lt;/D&gt;&lt;D xsi:type="xsd:double"&gt;22.2720253602381&lt;/D&gt;&lt;D xsi:type="xsd:double"&gt;21.9826483306366&lt;/D&gt;&lt;D xsi:type="xsd:double"&gt;22.1159037325648&lt;/D&gt;&lt;D xsi:type="xsd:double"&gt;22.6153684569491&lt;/D&gt;&lt;D xsi:type="xsd:double"&gt;22.2814646387766&lt;/D&gt;&lt;D xsi:type="xsd:double"&gt;22.3702083123956&lt;/D&gt;&lt;D xsi:type="xsd:double"&gt;22.8496050469872&lt;/D&gt;&lt;D xsi:type="xsd:double"&gt;22.8732272957404&lt;/D&gt;&lt;D xsi:type="xsd:double"&gt;23.2844370576566&lt;/D&gt;&lt;D xsi:type="xsd:double"&gt;23.735286351707&lt;/D&gt;&lt;D xsi:type="xsd:double"&gt;22.6265312751349&lt;/D&gt;&lt;D xsi:type="xsd:doub</t>
        </r>
      </text>
    </comment>
    <comment ref="A8" authorId="0" shapeId="0" xr:uid="{EF647FA2-4FA4-4775-8C40-D6F49ED866C8}">
      <text>
        <r>
          <rPr>
            <b/>
            <sz val="9"/>
            <color indexed="81"/>
            <rFont val="Tahoma"/>
            <charset val="1"/>
          </rPr>
          <t>le"&gt;22.368635629301&lt;/D&gt;&lt;D xsi:type="xsd:double"&gt;22.6722839931872&lt;/D&gt;&lt;D xsi:type="xsd:double"&gt;23.6043249880053&lt;/D&gt;&lt;D xsi:type="xsd:double"&gt;24.0053792125613&lt;/D&gt;&lt;D xsi:type="xsd:double"&gt;24.0058836123839&lt;/D&gt;&lt;D xsi:type="xsd:double"&gt;24.1795180117208&lt;/D&gt;&lt;D xsi:type="xsd:double"&gt;24.4154125816931&lt;/D&gt;&lt;D xsi:type="xsd:double"&gt;24.4243909922375&lt;/D&gt;&lt;D xsi:type="xsd:double"&gt;25.1037819125587&lt;/D&gt;&lt;D xsi:type="xsd:double"&gt;25.2001330363253&lt;/D&gt;&lt;D xsi:type="xsd:double"&gt;28.4746245731505&lt;/D&gt;&lt;D xsi:type="xsd:double"&gt;29.1537269170053&lt;/D&gt;&lt;D xsi:type="xsd:double"&gt;29.7175478920984&lt;/D&gt;&lt;D xsi:type="xsd:double"&gt;32.2339311757562&lt;/D&gt;&lt;D xsi:type="xsd:double"&gt;33.0206881403687&lt;/D&gt;&lt;D xsi:type="xsd:double"&gt;33.7103273173697&lt;/D&gt;&lt;D xsi:type="xsd:double"&gt;30.1728660730865&lt;/D&gt;&lt;D xsi:type="xsd:double"&gt;31.3367505330836&lt;/D&gt;&lt;D xsi:type="xsd:double"&gt;32.5167260195454&lt;/D&gt;&lt;D xsi:type="xsd:double"&gt;32.2948434442741&lt;/D&gt;&lt;D xsi:type="xsd:double"&gt;33.8874068177976&lt;/D&gt;&lt;D xsi:type="xsd:double"&gt;34.2154906196155&lt;/D&gt;&lt;D xsi:type="xsd:double"&gt;32.8564691541269&lt;/D&gt;&lt;D xsi:type="xsd:double"&gt;35.2728982419804&lt;/D&gt;&lt;D xsi:type="xsd:double"&gt;35.2428411043767&lt;/D&gt;&lt;D xsi:type="xsd:double"&gt;36.4369372049474&lt;/D&gt;&lt;D xsi:type="xsd:double"&gt;37.5809811414574&lt;/D&gt;&lt;D xsi:type="xsd:double"&gt;34.8078209217878&lt;/D&gt;&lt;D xsi:type="xsd:double"&gt;34.4875892306759&lt;/D&gt;&lt;D xsi:type="xsd:double"&gt;34.373854122701&lt;/D&gt;&lt;D xsi:type="xsd:double"&gt;34.8851875421853&lt;/D&gt;&lt;D xsi:type="xsd:double"&gt;35.6379978879953&lt;/D&gt;&lt;D xsi:type="xsd:double"&gt;36.5726684019017&lt;/D&gt;&lt;D xsi:type="xsd:double"&gt;37.5139293460788&lt;/D&gt;&lt;D xsi:type="xsd:double"&gt;38.7663357287293&lt;/D&gt;&lt;D xsi:type="xsd:double"&gt;38.945649959812&lt;/D&gt;&lt;D xsi:type="xsd:double"&gt;38.5867778632292&lt;/D&gt;&lt;D xsi:type="xsd:double"&gt;38.9687337147475&lt;/D&gt;&lt;D xsi:type="xsd:double"&gt;37.1133216831069&lt;/D&gt;&lt;D xsi:type="xsd:double"&gt;36.1299188194238&lt;/D&gt;&lt;D xsi:type="xsd:double"&gt;35.1031642135905&lt;/D&gt;&lt;D xsi:type="xsd:double"&gt;34.5500746426601&lt;/D&gt;&lt;D xsi:type="xsd:double"&gt;34.0089505924656&lt;/D&gt;&lt;D xsi:type="xsd:double"&gt;32.8543676652045&lt;/D&gt;&lt;D xsi:type="xsd:double"&gt;33.1341879156177&lt;/D&gt;&lt;D xsi:type="xsd:double"&gt;34.1480091695522&lt;/D&gt;&lt;D xsi:type="xsd:double"&gt;33.1470346465987&lt;/D&gt;&lt;D xsi:type="xsd:double"&gt;30.7643675200782&lt;/D&gt;&lt;D xsi:type="xsd:double"&gt;30.522483942815&lt;/D&gt;&lt;D xsi:type="xsd:double"&gt;29.16292757557&lt;/D&gt;&lt;D xsi:type="xsd:double"&gt;30.0399540023687&lt;/D&gt;&lt;D xsi:type="xsd:double"&gt;29.2013094822435&lt;/D&gt;&lt;D xsi:type="xsd:double"&gt;28.9230531276996&lt;/D&gt;&lt;D xsi:type="xsd:double"&gt;28.5473427436474&lt;/D&gt;&lt;D xsi:type="xsd:double"&gt;28.2093889550712&lt;/D&gt;&lt;D xsi:type="xsd:double"&gt;26.1793474755765&lt;/D&gt;&lt;D xsi:type="xsd:double"&gt;25.5269573344851&lt;/D&gt;&lt;D xsi:type="xsd:double"&gt;24.3440782146453&lt;/D&gt;&lt;D xsi:type="xsd:double"&gt;23.8494202857271&lt;/D&gt;&lt;D xsi:type="xsd:double"&gt;22.756372275695&lt;/D&gt;&lt;D xsi:type="xsd:double"&gt;22.2098297881143&lt;/D&gt;&lt;D xsi:type="xsd:double"&gt;23.9093806842857&lt;/D&gt;&lt;D xsi:type="xsd:double"&gt;23.0573169123882&lt;/D&gt;&lt;D xsi:type="xsd:double"&gt;22.6861068490424&lt;/D&gt;&lt;D xsi:type="xsd:double"&gt;23.8320441922562&lt;/D&gt;&lt;/FQL&gt;&lt;FQL&gt;&lt;Q&gt;WL-FDS^FG_PRICE_MAVG(0,,,,30)&lt;/Q&gt;&lt;R&gt;1&lt;/R&gt;&lt;C&gt;1&lt;/C&gt;&lt;D xsi:type="xsd:double"&gt;625.6433&lt;/D&gt;&lt;/FQL&gt;&lt;FQL&gt;&lt;Q&gt;NI-FDS^FG_PRICE_MAVG(0,,,,30)&lt;/Q&gt;&lt;R&gt;1&lt;/R&gt;&lt;C&gt;1&lt;/C&gt;&lt;D xsi:type="xsd:double"&gt;17075.834&lt;/D&gt;&lt;/FQL&gt;&lt;FQL&gt;&lt;Q&gt;CPALM-FDS^FG_PRICE_MAVG(0,,,,30)&lt;/Q&gt;&lt;R&gt;1&lt;/R&gt;&lt;C&gt;1&lt;/C&gt;&lt;D xsi:type="xsd:double"&gt;4089.4&lt;/D&gt;&lt;/FQL&gt;&lt;FQL&gt;&lt;Q&gt;BRENT-FDS^FG_PRICE_MAVG(0,,,,30)&lt;/Q&gt;&lt;R&gt;1&lt;/R&gt;&lt;C&gt;1&lt;/C&gt;&lt;D xsi:type="xsd:double"&gt;85.86&lt;/D&gt;&lt;/FQL&gt;&lt;FQL&gt;&lt;Q&gt;TIOS-FDS^FG_PRICE_MAVG(0,,,,30)&lt;/Q&gt;&lt;R&gt;1&lt;/R&gt;&lt;C&gt;1&lt;/C&gt;&lt;D xsi:type="xsd:double"&gt;120.50733&lt;/D&gt;&lt;/FQL&gt;&lt;FQL&gt;&lt;Q&gt;EWN^FG_PRICE_MAVG(0,,,,30)&lt;/Q&gt;&lt;R&gt;1&lt;/R&gt;&lt;C&gt;1&lt;/C&gt;&lt;D xsi:type="xsd:double"&gt;47.9445&lt;/D&gt;&lt;/FQL&gt;&lt;FQL&gt;&lt;Q&gt;EWU^FG_PRICE_MAVG(0,,,,30)&lt;/Q&gt;&lt;R&gt;1&lt;/R&gt;&lt;C&gt;1&lt;/C&gt;&lt;D xsi:type="xsd:double"&gt;32.949665&lt;/D&gt;&lt;/FQL&gt;&lt;FQL&gt;&lt;Q&gt;EWC^FG_PRICE_MAVG(0,,,,30)&lt;/Q&gt;&lt;R&gt;1&lt;/R&gt;&lt;C&gt;1&lt;/C&gt;&lt;D xsi:type="xsd:double"&gt;37.074333&lt;/D&gt;&lt;/FQL&gt;&lt;FQL&gt;&lt;Q&gt;FXI^FMA_PCT_ABOVE_MAVG(200,0,,,,"PORTAGG")&lt;/Q&gt;&lt;R&gt;1&lt;/R&gt;&lt;C&gt;1&lt;/C&gt;&lt;D xsi:type="xsd:double"&gt;47.0588235294118&lt;/D&gt;&lt;/FQL&gt;&lt;FQL&gt;&lt;Q&gt;EWJ^PERCENT_CHANGE(FMA_EPS(+1,0,,,,"PORTAGG","MEAN"),FMA_EPS(+1,-3AM,,,,"PORTAGG","MEAN"))&lt;/Q&gt;&lt;R&gt;1&lt;/R&gt;&lt;C&gt;1&lt;/C&gt;&lt;D xsi:type="xsd:double"&gt;-2.636335944446&lt;/D&gt;&lt;/FQL&gt;&lt;FQL&gt;&lt;Q&gt;VWO^FG_TOTAL_RETURNC(0,-3AM)&lt;/Q&gt;&lt;R&gt;1&lt;/R&gt;&lt;C&gt;1&lt;/C&gt;&lt;D xsi:type="xsd:double"&gt;3.7593007&lt;/D&gt;&lt;/FQL&gt;&lt;FQL&gt;&lt;Q&gt;EWI^P_PRICE(0)/P_PRICE_HIGH_PR(0,,,USD,,,"PRICE","INTRA","52W")&lt;/Q&gt;&lt;R&gt;1&lt;/R&gt;&lt;C&gt;1&lt;/C&gt;&lt;D xsi:type="xsd:double"&gt;0.9878724&lt;/D&gt;&lt;/FQL&gt;&lt;FQL&gt;&lt;Q&gt;EWJ^FMA_ROE(NTMA,-20AY,NOW,FY,"PORTAGG","MEANR")&lt;/Q&gt;&lt;R&gt;20&lt;/R&gt;&lt;C&gt;1&lt;/C&gt;&lt;D xsi:type="xsd:double"&gt;9.47226395470966&lt;/D&gt;&lt;D xsi:type="xsd:double"&gt;9.71080928595139&lt;/D&gt;&lt;D xsi:type="xsd:double"&gt;9.94594902069009&lt;/D&gt;&lt;D xsi:type="xsd:double"&gt;9.91062584648368&lt;/D&gt;&lt;D xsi:type="xsd:double"&gt;6.32645011325218&lt;/D&gt;&lt;D xsi:type="xsd:double"&gt;5.71374560341251&lt;/D&gt;&lt;D xsi:type="xsd:double"&gt;7.77608846456594&lt;/D&gt;&lt;D xsi:type="xsd:double"&gt;7.29309511734397&lt;/D&gt;&lt;D xsi:type="xsd:double"&gt;7.60463906390222&lt;/D&gt;&lt;D xsi:type="xsd:double"&gt;8.908847583029&lt;/D&gt;&lt;D xsi:type="xsd:double"&gt;9.08038865449702&lt;/D&gt;&lt;D xsi:type="xsd:double"&gt;8.77889818317635&lt;/D&gt;&lt;D xsi:type="xsd:double"&gt;8.62096827520989&lt;/D&gt;&lt;D xsi:type="xsd:double"&gt;9.23986519100434&lt;/D&gt;&lt;D xsi:type="xsd:double"&gt;9.49570678525962&lt;/D&gt;&lt;D xsi:type="xsd:double"&gt;8.35596284306888&lt;/D&gt;&lt;D xsi:type="xsd:double"&gt;7.43859940178972&lt;/D&gt;&lt;D xsi:type="xsd:double"&gt;9.22076576077531&lt;/D&gt;&lt;D xsi:type="xsd:double"&gt;9.22544562724396&lt;/D&gt;&lt;D xsi:type="xsd:double"&gt;9.29901050449311&lt;/D&gt;&lt;/FQL&gt;&lt;FQL&gt;&lt;Q&gt;TRYQA10Y-FDS^FG_YIELD(-10AY,0,Y,,"YTM")&lt;/Q&gt;&lt;R&gt;10&lt;/R&gt;&lt;C&gt;1&lt;/C&gt;&lt;D xsi:type="xsd:string"&gt;@NA&lt;/D&gt;&lt;D xsi:type="xsd:double"&gt;2.7255995&lt;/D&gt;&lt;D xsi:type="xsd:double"&gt;3.5394266&lt;/D&gt;&lt;D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xsi:type="xsd:double"&gt;0.703&lt;/D&gt;&lt;/FQL&gt;&lt;FQL&gt;&lt;Q&gt;EWU^FG_COMPANY_NAME&lt;/Q&gt;&lt;R&gt;1&lt;/R&gt;&lt;C&gt;1&lt;/C&gt;&lt;D xsi:type="xsd:string"&gt;iShares MSCI United Kingdom ETF&lt;/D&gt;&lt;/FQL&gt;&lt;FQL&gt;&lt;Q&gt;EWG^FMA_ROE(NTMA,-20AY,NOW,FY,"PORTAGG","MEANR")&lt;/Q&gt;&lt;R&gt;20&lt;/R&gt;&lt;C&gt;1&lt;/C&gt;&lt;D xsi:type="xsd:double"&gt;11.8275550599933&lt;/D&gt;&lt;D xsi:type="xsd:double"&gt;12.5810872006639&lt;/D&gt;&lt;D xsi:type="xsd:double"&gt;13.372977849048&lt;/D&gt;&lt;D xsi:type="xsd:double"&gt;14.712722857709&lt;/D&gt;&lt;D xsi:type="xsd:double"&gt;11.5210886767193&lt;/D&gt;&lt;D xsi:type="xsd:double"&gt;11.0094337648339&lt;/D&gt;&lt;D xsi:type="xsd:double"&gt;13.0475804034897&lt;/D&gt;&lt;D xsi:type="xsd:double"&gt;12.3546044213534&lt;/D&gt;&lt;D xsi:type="xsd:double"&gt;12.1037876491794&lt;/D&gt;&lt;D xsi:type="xsd:double"&gt;12.1465108243325&lt;/D&gt;&lt;D xsi:type="xsd:double"&gt;11.8873581616615&lt;/D&gt;&lt;D xsi:type="xsd:double"&gt;12.0284649417774&lt;/D&gt;&lt;D xsi:type="xsd:double"&gt;11.8967042128795&lt;/D&gt;&lt;D xsi:type="xsd:double"&gt;12.2469207943648&lt;/D&gt;&lt;D xsi:type="xsd:double"&gt;11.6510152415578&lt;/D&gt;&lt;D xsi:type="xsd:double"&gt;10.4475672102116&lt;/D&gt;&lt;D xsi:type="xsd:double"&gt;9.71407742399289&lt;/D&gt;&lt;D xsi:type="xsd:double"&gt;12.1999545354885&lt;/D&gt;&lt;D xsi:type="xsd:double"&gt;11.8188093455252&lt;/D&gt;&lt;D xsi:type="xsd:double"&gt;11.9408562756701&lt;/D&gt;&lt;/FQL&gt;&lt;FQL&gt;&lt;Q&gt;TRYUS10Y-FDS^FG_YIELD(-10AY,0,Y,,"YTM")&lt;/Q&gt;&lt;R&gt;10&lt;/R&gt;&lt;C&gt;1&lt;/C&gt;&lt;D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xsi:type="xsd:double"&gt;2.004&lt;/D&gt;&lt;/FQL&gt;&lt;FQL&gt;&lt;Q&gt;CAGDPY@SE^EE_ACTUAL_ANNUAL(MED,+1)&lt;/Q&gt;&lt;R&gt;1&lt;/R&gt;&lt;C&gt;1&lt;/C&gt;&lt;D xsi:type="xsd:double"&gt;5.4&lt;/D&gt;&lt;/FQL&gt;&lt;FQL&gt;&lt;Q&gt;CAGDPY@DE^EE_ACTUAL_ANNUAL(MED,+1)&lt;/Q&gt;&lt;R&gt;1&lt;/R&gt;&lt;C&gt;1&lt;/C&gt;&lt;D xsi:type="xsd:double"&gt;6.55&lt;/D&gt;&lt;/FQL&gt;&lt;FQL&gt;&lt;Q&gt;CC_NZ^FG_COMPANY_NAME&lt;/Q&gt;&lt;R&gt;1&lt;/R&gt;&lt;C&gt;1&lt;/C&gt;&lt;D xsi:type="xsd:string"&gt;New Zealand&lt;/D&gt;&lt;/FQL&gt;&lt;FQL&gt;&lt;Q&gt;USDSEK^FG_COMPANY_NAME&lt;/Q&gt;&lt;R&gt;1&lt;/R&gt;&lt;C&gt;1&lt;/C&gt;&lt;D xsi:type="xsd:string"&gt;Swedish Krona per U.S. Dollar&lt;/D&gt;&lt;/FQL&gt;&lt;FQL&gt;&lt;Q&gt;USDCHF^FG_COMPANY_NAME&lt;/Q&gt;&lt;R&gt;1&lt;/R&gt;&lt;C&gt;1&lt;/C&gt;&lt;D xsi:type="xsd:string"&gt;Swiss Franc per U.S. Dollar&lt;/D&gt;&lt;/FQL&gt;&lt;FQL&gt;&lt;Q&gt;USDEUR^FG_COMPANY_NAME&lt;/Q&gt;&lt;R&gt;1&lt;/R&gt;&lt;C&gt;1&lt;/C&gt;&lt;D xsi:type="xsd:string"&gt;Euro per U.S. Dollar&lt;/D&gt;&lt;/FQL&gt;&lt;FQL&gt;&lt;Q&gt;USDAUD^FG_COMPANY_NAME&lt;/Q&gt;&lt;R&gt;1&lt;/R&gt;&lt;C&gt;1&lt;/C&gt;&lt;D xsi:type="xsd:string"&gt;Australian Dollar per U.S. Dollar&lt;/D&gt;&lt;/FQL&gt;&lt;FQL&gt;&lt;Q&gt;EWL^FMA_EPS(NTMA,-20AY,0,CY,,"PORTAGG","MEANR")&lt;/Q&gt;&lt;R&gt;20&lt;/R&gt;&lt;C&gt;1&lt;/C&gt;&lt;D xsi:type="xsd:double"&gt;1.15167978614637&lt;/D&gt;&lt;D xsi:type="xsd:double"&gt;1.184604896687&lt;/D&gt;&lt;D xsi:type="xsd:double"&gt;1.51903625271091&lt;/D&gt;&lt;D xsi:type="xsd:double"&gt;1.83335061944152&lt;/D&gt;&lt;D xsi:type="xsd:double"&gt;1.66417500457453&lt;/D&gt;&lt;D xsi:type="xsd:double"&gt;1.62932904763549&lt;/D&gt;&lt;D xsi:type="xsd:double"&gt;1.96787353815353&lt;/D&gt;&lt;D xsi:type="xsd:double"&gt;1.86668659044302&lt;/D&gt;&lt;D xsi:type="xsd:double"&gt;1.99956682614325&lt;/D&gt;&lt;D xsi:type="xsd:double"&gt;2.16083764016243&lt;/D&gt;&lt;D xsi:type="xsd:double"&gt;2.02137608124255&lt;/D&gt;&lt;D xsi:type="xsd:double"&gt;1.83898355626911&lt;/D&gt;&lt;D xsi:type="xsd:double"&gt;1.75546716180555&lt;/D&gt;&lt;D xsi:type="xsd:double"&gt;2.01138269666406&lt;/D&gt;&lt;D xsi:type="xsd:double"&gt;2.17519879472254&lt;/D&gt;&lt;D xsi:type="xsd:double"&gt;2.28084252382762&lt;/D&gt;&lt;D xsi:type="xsd:double"&gt;2.36864078670768&lt;/D&gt;&lt;D xsi:type="xsd:double"&gt;2.66234515884581&lt;/D&gt;&lt;D xsi:type="xsd:double"&gt;2.58388720632297&lt;/D&gt;&lt;D xsi:type="xsd:double"&gt;2.86429657456778&lt;/D&gt;&lt;/FQL&gt;&lt;FQL&gt;&lt;Q&gt;EWG^P_PRICE_RETURNS_PR('52W',2,-10AY,0,AM)&lt;/Q&gt;&lt;R&gt;121&lt;/R&gt;&lt;C&gt;1&lt;/C&gt;&lt;D xsi:type="xsd:double"&gt;24.792397&lt;/D&gt;&lt;D xsi:type="xsd:double"&gt;32.859673&lt;/D&gt;&lt;D xsi:type="xsd:double"&gt;20.923471&lt;/D&gt;&lt;D xsi:type="xsd:double"&gt;29.050945&lt;/D&gt;&lt;D xsi:type="xsd:double"&gt;17.961157&lt;/D&gt;&lt;D xsi:type="xsd:double"&gt;11.438417&lt;/D&gt;&lt;D xsi:type="xsd:double"&gt;5.721736&lt;/D&gt;&lt;D xsi:type="xsd:double"&gt;-6.988364&lt;/D&gt;&lt;D xsi:type="xsd:double"&gt;-3.9726138&lt;/D&gt;&lt;D xsi:type="xsd:double"&gt;-7.065749&lt;/D&gt;&lt;D xsi:type="xsd:double"&gt;-10.003739&lt;/D&gt;&lt;D xsi:type="xsd:double"&gt;-4.4296503&lt;/D&gt;&lt;D xsi:type="xsd:double"&gt;1.3474584&lt;/D&gt;&lt;D xsi:type="xsd:double"&gt;-1.9203246&lt;/D&gt;&lt;D xsi:type="xsd:double"&gt;-0.8678436&lt;/D&gt;&lt;D xsi:type="xsd:double"&gt;-8.32678&lt;/D&gt;&lt;D xsi:type="xsd:double"&gt;-2.8705478&lt;/D&gt;&lt;D xsi:type="xsd:double"&gt;-8.6908455&lt;/D&gt;&lt;D xsi:type="xsd:double"&gt;-10.636359&lt;/D&gt;&lt;D xsi:type="xsd:double"&gt;1.3121963&lt;/D&gt;&lt;D xsi:type="xsd:double"&gt;-1.2427032&lt;/D&gt;&lt;D xsi:type="xsd:double"&gt;-3.9672852&lt;/D&gt;&lt;D xsi:type="xsd:double"&gt;-13.314814&lt;/D&gt;&lt;D xsi:type="xsd:double"&gt;-16.479038&lt;/D&gt;&lt;D xsi:type="xsd:double"&gt;-14.200634&lt;/D&gt;&lt;D xsi:type="xsd:double"&gt;-9.224338&lt;/D&gt;&lt;D xsi:type="xsd:double"&gt;-15.576249&lt;/D&gt;&lt;D xsi:type="xsd:double"&gt;-9.638691&lt;/D&gt;&lt;D xsi:type="xsd:double"&gt;-12.106646&lt;/D&gt;&lt;D xsi:type="xsd:double"&gt;-0.016909838&lt;/D&gt;&lt;D xsi:type="xsd:double"&gt;4.713309&lt;/D&gt;&lt;D xsi:type="xsd:double"&gt;0.52375793&lt;/D&gt;&lt;D xsi:type="xsd:double"&gt;-4.5868278&lt;/D&gt;&lt;D xsi:type="xsd:double"&gt;2.5431752&lt;/D&gt;&lt;D xsi:type="xsd:double"&gt;19.1283&lt;/D&gt;&lt;D xsi:type="xsd:double"&gt;19.149542&lt;/D&gt;&lt;D xsi:type="xsd:double"&gt;13.3059025&lt;/D&gt;&lt;D xsi:type="xsd:double"&gt;8.881235&lt;/D&gt;&lt;D xsi:type="xsd:double"&gt;26.38731&lt;/D&gt;&lt;D xsi:type="xsd:double"&gt;24.021685&lt;/D&gt;&lt;D xsi:type="xsd:double"&gt;26.130867&lt;/D&gt;&lt;D xsi:type="xsd:double"&gt;17.264557&lt;/D&gt;&lt;D xsi:type="xsd:double"&gt;25.351906&lt;/D&gt;&lt;D xsi:type="xsd:double"&gt;28.28412&lt;/D&gt;&lt;D xsi:type="xsd:double"&gt;34.672367&lt;/D&gt;&lt;D xsi:type="xsd:double"&gt;28.951454&lt;/D&gt;&lt;D xsi:type="xsd:double"&gt;32.80597&lt;/D&gt;&lt;D xsi:type="xsd:double"&gt;20.416248&lt;/D&gt;&lt;D xsi:type="xsd:double"&gt;17.524683&lt;/D&gt;&lt;D xsi:type="xsd:double"&gt;18.86629&lt;/D&gt;&lt;D xsi:type="xsd:double"&gt;9.401405&lt;/D&gt;&lt;D xsi:type="xsd:double"&gt;1.933825&lt;/D&gt;&lt;D xsi:type="xsd:double"&gt;1.8783212&lt;/D&gt;&lt;D xsi:type="xsd:double"&gt;1.2609482&lt;/D&gt;&lt;D xsi:type="xsd:double"&gt;-2.2801518&lt;/D&gt;&lt;D xsi:type="xsd:double"&gt;-12.9063015&lt;/D&gt;&lt;D xsi:type="xsd:double"&gt;-16.562689&lt;/D&gt;&lt;D xsi:type="xsd:double"&gt;-22.965305&lt;/D&gt;&lt;D xsi:type="xsd:double"&gt;-21.56551&lt;/D&gt;&lt;D xsi:type="xsd:double"&gt;-15.671563&lt;/D&gt;&lt;D xsi:type="xsd:double"&gt;-13.208092&lt;/D&gt;&lt;D xsi:type="xsd:double"&gt;-12.290746&lt;/D&gt;&lt;D xsi:type="xsd:double"&gt;-13.562703&lt;/D&gt;&lt;D xsi:type="xsd:double"&gt;-5.9959707&lt;/D&gt;&lt;D xsi:type="xsd:double"&gt;-9.1191&lt;/D&gt;&lt;D xsi:type="xsd:double"&gt;-10.937577&lt;/D&gt;&lt;D xsi:type="xsd:double"&gt;-8.622617&lt;/D&gt;&lt;D xsi:type="xsd:double"&gt;4.585922&lt;/D&gt;&lt;D xsi:type="xsd:double"&gt;10.508442&lt;/D&gt;&lt;D xsi:type="xsd:double"&gt;19.456459&lt;/D&gt;&lt;D xsi:type="xsd:double"&gt;14.789354&lt;/D&gt;&lt;D xsi:type="xsd:double"&gt;11.0896&lt;/D&gt;&lt;D xsi:type="xsd:double"&gt;-32.28537&lt;/D&gt;&lt;D xsi:type="xsd:double"&gt;-20.274347&lt;/D&gt;&lt;D xsi:type="xsd:double"&gt;-11.29108&lt;/D&gt;&lt;D xsi:type="xsd:double"&gt;-1.7128527&lt;/D&gt;&lt;D xsi:type="xsd:double"&gt;8.821082&lt;/D&gt;&lt;D xsi:type="xsd:double"&gt;14.0456915&lt;/D&gt;&lt;D xsi:type="xsd:double"&gt;7.845974&lt;/D&gt;&lt;D xsi:type="xsd:double"&gt;3.859508&lt;/D&gt;&lt;D xsi:type="xsd:double"&gt;5.3857803&lt;/D&gt;&lt;D xsi:type="xsd:double"&gt;9.6141815&lt;/D&gt;&lt;D xsi:type="xsd:double"&gt;12.128878&lt;/D&gt;&lt;D xsi:type="xsd:double"&gt;13.37986&lt;/D&gt;&lt;D xsi:type="xsd:double"&gt;87.38181&lt;/D&gt;&lt;D xsi:type="xsd:double"&gt;61.065613&lt;/D&gt;&lt;D xsi:type="xsd:double"&gt;50.69879&lt;/D&gt;&lt;D xsi:type="xsd:double"&gt;34.43272&lt;/D&gt;&lt;D xsi:type="xsd:double"&gt;19.980228&lt;/D&gt;&lt;D xsi:type="xsd:double"&gt;19.722927&lt;/D&gt;&lt;D xsi:type="xsd:double"&gt;19.096601&lt;/D&gt;&lt;D xsi:type="xsd:double"&gt;18.57065&lt;/D&gt;&lt;D xsi:type="xsd:double"&gt;15.45149&lt;/D&gt;&lt;D xsi:type="xsd:double"&gt;4.7300816&lt;/D&gt;&lt;D xsi:type="xsd:double"&gt;0.78982115&lt;/D&gt;&lt;D xsi:type="xsd:double"&gt;-1.7961204&lt;/D&gt;&lt;D xsi:type="xsd:double"&gt;-12.233866&lt;/D&gt;&lt;D xsi:type="xsd:double"&gt;-18.759787&lt;/D&gt;&lt;D xsi:type="xsd:double"&gt;-24.760033&lt;/D&gt;&lt;D xsi:type="xsd:double"&gt;-28.801352&lt;/D&gt;&lt;D xsi:type="xsd:double"&gt;-30.039412&lt;/D&gt;&lt;D xsi:type="xsd:double"&gt;-30.727577&lt;/D&gt;&lt;D xsi:type="xsd:double"&gt;-35.099125&lt;/D&gt;&lt;D xsi:type="xsd:double"&gt;-34.304703&lt;/D&gt;&lt;D xsi:type="xsd:double"&gt;-24.081553&lt;/D&gt;&lt;D xsi:type="xsd:double"&gt;-19.811016&lt;/D&gt;&lt;D xsi:type="xsd:double"&gt;-12.26018&lt;/D&gt;&lt;D xsi:type="xsd:double"&gt;-8.508128&lt;/D&gt;&lt;D xsi:type="xsd:double"&gt;-0.35440326&lt;/D&gt;&lt;D xsi:type="xsd:double"&gt;9.171009&lt;/D&gt;&lt;D xsi:type="xsd:double"&gt;16.519238&lt;/D&gt;&lt;D xsi:type="xsd:double"&gt;22.038305&lt;/D&gt;&lt;D xsi:type="xsd:double"&gt;29.870165&lt;/D&gt;&lt;D xsi:type="xsd:double"&gt;23.345434&lt;/D&gt;&lt;D xsi:type="xsd:double"&gt;30.954218&lt;/D&gt;&lt;D xsi:type="xsd:double"&gt;24.89332&lt;/D&gt;&lt;D xsi:type="xsd:double"&gt;16.23727&lt;/D&gt;&lt;D xsi:type="xsd:double"&gt;21.80065&lt;/D&gt;&lt;D xsi:type="xsd:double"&gt;7.9056263&lt;/D&gt;&lt;D xsi:type="xsd:double"&gt;10.286844&lt;/D&gt;&lt;D xsi:type="xsd:double"&gt;17.072117&lt;/D&gt;&lt;/FQL&gt;&lt;FQL&gt;&lt;Q&gt;EWA^FG_TOTAL_RETURNC(-10AY,0,AM)&lt;/Q&gt;&lt;R&gt;121&lt;/R&gt;&lt;C&gt;1&lt;/C&gt;&lt;D xsi:type="xsd:double"&gt;-0.5997598&lt;/D&gt;&lt;D xsi:type="xsd:double"&gt;6.3555956&lt;/D&gt;&lt;D xsi:type="xsd:double"&gt;-0.9455383&lt;/D&gt;&lt;D xsi:type="xsd:double"&gt;1.5272975&lt;/D&gt;&lt;D xsi:type="xsd:double"&gt;1.620388&lt;/D&gt;&lt;D xsi:type="xsd:double"&gt;1.6153216&lt;/D&gt;&lt;D xsi:type="xsd:double"&gt;-7.208866&lt;/D&gt;&lt;D xsi:type="xsd:double"&gt;-1.9521892&lt;/D&gt;&lt;D xsi:type="xsd:double"&gt;-1.4628232&lt;/D&gt;&lt;D xsi:type="xsd:double"&gt;-5.7343187&lt;/D&gt;&lt;D xsi:type="xsd:double"&gt;0.40650368&lt;/D&gt;&lt;D xsi:type="xsd:double"&gt;5.802977&lt;/D&gt;&lt;D xsi:type="xsd:double"&gt;1.7431974&lt;/D&gt;&lt;D xsi:type="xsd:double"&gt;-3.1759322&lt;/D&gt;&lt;D xsi:type="xsd:double"&gt;-1.0358214&lt;/D&gt;&lt;D xsi:type="xsd:double"&gt;-2.573049&lt;/D&gt;&lt;D xsi:type="xsd:double"&gt;-2.6656806&lt;/D&gt;&lt;D xsi:type="xsd:double"&gt;-11.35186&lt;/D&gt;&lt;D xsi:type="xsd:double"&gt;-1.9659877&lt;/D&gt;&lt;D xsi:type="xsd:double"&gt;3.7398338&lt;/D&gt;&lt;D xsi:type="xsd:double"&gt;1.0971785&lt;/D&gt;&lt;D xsi:type="xsd:double"&gt;-3.1040132&lt;/D&gt;&lt;D xsi:type="xsd:double"&gt;-7.346493&lt;/D&gt;&lt;D xsi:type="xsd:double"&gt;4.260361&lt;/D&gt;&lt;D xsi:type="xsd:double"&gt;11.91827&lt;/D&gt;&lt;D xsi:type="xsd:double"&gt;3.0933142&lt;/D&gt;&lt;D xsi:type="xsd:double"&gt;-4.3285728&lt;/D&gt;&lt;D xsi:type="xsd:double"&gt;1.4395833&lt;/D&gt;&lt;D xsi:type="xsd:double"&gt;4.5534134&lt;/D&gt;&lt;D xsi:type="xsd:double"&gt;2.310717&lt;/D&gt;&lt;D xsi:type="xsd:double"&gt;-1.7779887&lt;/D&gt;&lt;D xsi:type="xsd:double"&gt;1.4187813&lt;/D&gt;&lt;D xsi:type="xsd:double"&gt;-2.5566757&lt;/D&gt;&lt;D xsi:type="xsd:double"&gt;2.5722504&lt;/D&gt;&lt;D xsi:type="xsd:double"&gt;5.5004954&lt;/D&gt;&lt;D xsi:type="xsd:double"&gt;4.8849225&lt;/D&gt;&lt;D xsi:type="xsd:double"&gt;-0.4926145&lt;/D&gt;&lt;D xsi:type="xsd:double"&gt;0.49505234&lt;/D&gt;&lt;D xsi:type="xsd:double"&gt;-2.8660953&lt;/D&gt;&lt;D xsi:type="xsd:double"&gt;-0.29852986&lt;/D&gt;&lt;D xsi:type="xsd:double"&gt;5.8128476&lt;/D&gt;&lt;D xsi:type="xsd:double"&gt;0.89325905&lt;/D&gt;&lt;D xsi:type="xsd:double"&gt;-0.17707348&lt;/D&gt;&lt;D xsi:type="xsd:double"&gt;2.4833798&lt;/D&gt;&lt;D xsi:type="xsd:double"&gt;-1.2548745&lt;/D&gt;&lt;D xsi:type="xsd:double"&gt;2.6419044&lt;/D&gt;&lt;D xsi:type="xsd:double"&gt;3.4995556&lt;/D&gt;&lt;D xsi:type="xsd:double"&gt;-3.3812284&lt;/D&gt;&lt;D xsi:type="xsd:double"&gt;-0.5249381&lt;/D&gt;&lt;D xsi:type="xsd:double"&gt;-2.5065958&lt;/D&gt;&lt;D xsi:type="xsd:double"&gt;3.6986947&lt;/D&gt;&lt;D xsi:type="xsd:double"&gt;-0.79363585&lt;/D&gt;&lt;D xsi:type="xsd:double"&gt;2.101028&lt;/D&gt;&lt;D xsi:type="xsd:double"&gt;-0.13135076&lt;/D&gt;&lt;D xsi:type="xsd:double"&gt;-2.2358596&lt;/D&gt;&lt;D xsi:type="xsd:double"&gt;-6.2331796&lt;/D&gt;&lt;D xsi:type="xsd:double"&gt;-1.4347196&lt;/D&gt;&lt;D xsi:type="xsd:double"&gt;-7.126224&lt;/D&gt;&lt;D xsi:type="xsd:double"&gt;11.665762&lt;/D&gt;&lt;D xsi:type="xsd:double"&gt;2.283764&lt;/D&gt;&lt;D xsi:type="xsd:double"&gt;2.5178194&lt;/D&gt;&lt;D xsi:type="xsd:double"&gt;1.5755296&lt;/D&gt;&lt;D xsi:type="xsd:double"&gt;0.684309&lt;/D&gt;&lt;D xsi:type="xsd:double"&gt;2.9675484&lt;/D&gt;&lt;D xsi:type="xsd:double"&gt;2.1553636&lt;/D&gt;&lt;D xsi:type="xsd:double"&gt;-5.890113&lt;/D&gt;&lt;D xsi:type="xsd:double"&gt;4.530585&lt;/D&gt;&lt;D xsi:type="xsd:double"&gt;0.580883&lt;/D&gt;&lt;D xsi:type="xsd:double"&gt;-0.4442513&lt;/D&gt;&lt;D xsi:type="xsd:double"&gt;2.9095411&lt;/D&gt;&lt;D xsi:type="xsd:double"&gt;3.1844258&lt;/D&gt;&lt;D xsi:type="xsd:double"&gt;-2.5289357&lt;/D&gt;&lt;D xsi:type="xsd:double"&gt;-41.160946&lt;/D&gt;&lt;D xsi:type="xsd:double"&gt;15.844547&lt;/D&gt;&lt;D xsi:type="xsd:double"&gt;12.064516&lt;/D&gt;&lt;D xsi:type="xsd:double"&gt;11.122429&lt;/D&gt;&lt;D xsi:type="xsd:double"&gt;7.6761246&lt;/D&gt;&lt;D xsi:type="xsd:double"&gt;0.5859375&lt;/D&gt;&lt;D xsi:type="xsd:double"&gt;-4.6116533&lt;/D&gt;&lt;D xsi:type="xsd:double"&gt;4.580152&lt;/D&gt;&lt;D xsi:type="xsd:double"&gt;10.948908&lt;/D&gt;&lt;D xsi:type="xsd:double"&gt;5.2717924&lt;/D&gt;&lt;D xsi:type="xsd:double"&gt;5.2941203&lt;/D&gt;&lt;D xsi:type="xsd:double"&gt;0.91780424&lt;/D&gt;&lt;D xsi:type="xsd:double"&gt;-2.4120212&lt;/D&gt;&lt;D xsi:type="xsd:double"&gt;5.713129&lt;/D&gt;&lt;D xsi:type="xsd:double"&gt;0.8049011&lt;/D&gt;&lt;D xsi:type="xsd:double"&gt;1.6251206&lt;/D&gt;&lt;D xsi:type="xsd:double"&gt;-2.3141146&lt;/D&gt;&lt;D xsi:type="xsd:double"&gt;-1.6310692&lt;/D&gt;&lt;D xsi:type="xsd:double"&gt;-1.0264516&lt;/D&gt;&lt;D xsi:type="xsd:double"&gt;5.2253723&lt;/D&gt;&lt;D xsi:type="xsd:double"&gt;-3.980285&lt;/D&gt;&lt;D xsi:type="xsd:double"&gt;-0.7048309&lt;/D&gt;&lt;D xsi:type="xsd:double"&gt;-3.4081578&lt;/D&gt;&lt;D xsi:type="xsd:double"&gt;2.3037553&lt;/D&gt;&lt;D xsi:type="xsd:double"&gt;7.1309447&lt;/D&gt;&lt;D xsi:type="xsd:double"&gt;2.2966146&lt;/D&gt;&lt;D xsi:type="xsd:double"&gt;-8.523589&lt;/D&gt;&lt;D xsi:type="xsd:double"&gt;-8.492273&lt;/D&gt;&lt;D xsi:type="xsd:double"&gt;2.0647645&lt;/D&gt;&lt;D xsi:type="xsd:double"&gt;3.90805&lt;/D&gt;&lt;D xsi:type="xsd:double"&gt;-8.097344&lt;/D&gt;&lt;D xsi:type="xsd:double"&gt;-1.7814219&lt;/D&gt;&lt;D xsi:type="xsd:double"&gt;10.343146&lt;/D&gt;&lt;D xsi:type="xsd:double"&gt;1.3643742&lt;/D&gt;&lt;D xsi:type="xsd:double"&gt;8.839285&lt;/D&gt;&lt;D xsi:type="xsd:double"&gt;-3.773588&lt;/D&gt;&lt;D xsi:type="xsd:double"&gt;-5.1150856&lt;/D&gt;&lt;D xsi:type="xsd:double"&gt;4.4474363&lt;/D&gt;&lt;D xsi:type="xsd:double"&gt;-1.0752678&lt;/D&gt;&lt;D xsi:type="xsd:double"&gt;2.820456&lt;/D&gt;&lt;D xsi:type="xsd:double"&gt;-0.30159354&lt;/D&gt;&lt;D xsi:type="xsd:double"&gt;-7.044077&lt;/D&gt;&lt;D xsi:type="xsd:double"&gt;-0.7438421&lt;/D&gt;&lt;D xsi:type="xsd:double"&gt;-3.3723712&lt;/D&gt;&lt;D xsi:type="xsd:double"&gt;8.240425&lt;/D&gt;&lt;D xsi:type="xsd:double"&gt;10.515857&lt;/D&gt;&lt;D xsi:type="xsd:double"&gt;-3.7220836&lt;/D&gt;&lt;D xsi:type="xsd:double"&gt;1.5034318&lt;/D&gt;&lt;D xsi:type="xsd:double"&gt;3.3432126&lt;/D&gt;&lt;/FQL&gt;&lt;FQL&gt;&lt;Q&gt;ENZL^JULIAN(FMA_DIV_YLD(NTMA,-10AY,0,AM,"PORTAGG","MEANR").DATES)&lt;/Q&gt;&lt;R&gt;121&lt;/R&gt;&lt;C&gt;1&lt;/C&gt;&lt;D xsi:type="xsd:long"&gt;41719&lt;/D&gt;&lt;D xsi:type="xsd:long"&gt;41750&lt;/D&gt;&lt;D xsi:type="xsd:long"&gt;41780&lt;/D&gt;&lt;D xsi:type="xsd:long"&gt;41810&lt;/D&gt;&lt;D xsi:type="xsd:long"&gt;41841&lt;/D&gt;&lt;D xsi:type="xsd:long"&gt;41872&lt;/D&gt;&lt;D xsi:type="xsd:long"&gt;41901&lt;/D&gt;&lt;D xsi:type="xsd:long"&gt;41933&lt;/D&gt;&lt;D xsi:type="xsd:long"&gt;41964&lt;/D&gt;&lt;D xsi:type="xsd:long"&gt;41992&lt;/D&gt;&lt;D xsi:type="xsd:long"&gt;42025&lt;/D&gt;&lt;D xsi:type="xsd:long"&gt;42055&lt;/D&gt;&lt;D xsi:type="xsd:long"&gt;42083&lt;/D&gt;&lt;D xsi:type="xsd:long"&gt;42115&lt;/D&gt;&lt;D xsi:type="xsd:long"&gt;42145&lt;/D&gt;&lt;D xsi:type="xsd:long"&gt;42174&lt;/D&gt;&lt;D xsi:type="xsd:long"&gt;42206&lt;/D&gt;&lt;D xsi:type="xsd:long"&gt;42237&lt;/D&gt;&lt;D xsi:type="xsd:long"&gt;42268&lt;/D&gt;&lt;D xsi:type="xsd:long"&gt;42298&lt;/D&gt;&lt;D xsi:type="xsd:long"&gt;42328&lt;/D&gt;&lt;D xsi:type="xsd:long"&gt;42359&lt;/D&gt;&lt;D xsi:type="xsd:long"&gt;42390&lt;/D&gt;&lt;D xsi:type="xsd:long"&gt;42419&lt;/D&gt;&lt;D xsi:type="xsd:long"&gt;42450&lt;/D&gt;&lt;D xsi:type="xsd:long"&gt;42481&lt;/D&gt;&lt;D xsi:type="xsd:long"&gt;42510&lt;/D&gt;&lt;D xsi:type="xsd:long"&gt;42542&lt;/D&gt;&lt;D xsi:type="xsd:long"&gt;42572&lt;/D&gt;&lt;D xsi:type="xsd:long"&gt;42601&lt;/D&gt;&lt;D xsi:type="xsd:long"&gt;42634&lt;/D&gt;&lt;D xsi:type="xsd:long"&gt;42664&lt;/D&gt;&lt;D xsi:type="xsd:long"&gt;42695&lt;/D&gt;&lt;D xsi:type="xsd:long"&gt;42725&lt;/D&gt;&lt;D xsi:type="xsd:long"&gt;42755&lt;/D&gt;&lt;D xsi:type="xsd:long"&gt;42787&lt;/D&gt;&lt;D xsi:type="xsd:long"&gt;42815&lt;/D&gt;&lt;D xsi:type="xsd:long"&gt;42846&lt;/D&gt;&lt;D xsi:type="xsd:long"&gt;42874&lt;/D&gt;&lt;D xsi:type="xsd:long"&gt;42907&lt;/D&gt;&lt;D xsi:type="xsd:long"&gt;42937&lt;/D&gt;&lt;D xsi:type="xsd:long"&gt;42968&lt;/D&gt;&lt;D xsi:type="xsd:long"&gt;42999&lt;/D&gt;&lt;D xsi:type="xsd:long"&gt;43028&lt;/D&gt;&lt;D xsi:type="xsd:long"&gt;43060&lt;/D&gt;&lt;D xsi:type="xsd:long"&gt;43090&lt;/D&gt;&lt;D xsi:type="xsd:long"&gt;43119&lt;/D&gt;&lt;D xsi:type="xsd:long"&gt;43152&lt;/D&gt;&lt;D xsi:type="xsd:long"&gt;43180&lt;/D&gt;&lt;D xsi:type="xsd:long"&gt;43210&lt;/D&gt;&lt;D xsi:type="xsd:long"&gt;43241&lt;/D&gt;&lt;D xsi:type="xsd:long"&gt;43272&lt;/D&gt;&lt;D xsi:type="xsd:long"&gt;43301&lt;/D&gt;&lt;D xsi:type="xsd:long"&gt;43333&lt;/D&gt;&lt;D xsi:type="xsd:long"&gt;43364&lt;/D&gt;&lt;D xsi:type="xsd:long"&gt;43392&lt;/D&gt;&lt;D xsi:type="xsd:long"&gt;43425&lt;/D&gt;&lt;D xsi:type="xsd:long"&gt;43455&lt;/D&gt;&lt;D xsi:type="xsd:long"&gt;43483&lt;/D&gt;&lt;D xsi:type="xsd:long"&gt;43517&lt;/D&gt;&lt;D xsi:type="xsd:long"&gt;43545&lt;/D&gt;&lt;D xsi:type="xsd:long"&gt;43573&lt;/D&gt;&lt;D xsi:type="xsd:long"&gt;43606&lt;/D&gt;&lt;D xsi:type="xsd:long"&gt;43637&lt;/D&gt;&lt;D xsi:type="xsd:long"&gt;43665&lt;/D&gt;&lt;D xsi:type="xsd:long"&gt;43698&lt;/D&gt;&lt;D xsi:type="xsd:long"&gt;43728&lt;/D&gt;&lt;D xsi:type="xsd:long"&gt;43759&lt;/D&gt;&lt;D xsi:type="xsd:long"&gt;43790&lt;/D&gt;&lt;D xsi:type="xsd:long"&gt;43819&lt;/D&gt;&lt;D xsi:type="xsd:long"&gt;43851&lt;/D&gt;&lt;D xsi:type="xsd:long"&gt;43882&lt;/D&gt;&lt;D xsi:type="xsd:long"&gt;43910&lt;/D&gt;&lt;D xsi:type="xsd:long"&gt;43942&lt;/D&gt;&lt;D xsi:type="xsd:long"&gt;43972&lt;/D&gt;&lt;D xsi:type="xsd:long"&gt;44001&lt;/D&gt;&lt;D xsi:type="xsd:long"&gt;44033&lt;/D&gt;&lt;D xsi:type="xsd:long"&gt;44064&lt;/D&gt;&lt;D xsi:type="xsd:long"&gt;44095&lt;/D&gt;&lt;D xsi:type="xsd:long"&gt;44125&lt;/D&gt;&lt;D xsi:type="xsd:long"&gt;44155&lt;/D&gt;&lt;D xsi:type="xsd:long"&gt;44186&lt;/D&gt;&lt;D xsi:type="xsd:long"&gt;44217&lt;/D&gt;&lt;D xsi:type="xsd:long"&gt;44246&lt;/D&gt;&lt;D xsi:type="xsd:long"&gt;44274&lt;/D&gt;&lt;D xsi:type="xsd:long"&gt;44307&lt;/D&gt;&lt;D xsi:type="xsd:long"&gt;44337&lt;/D&gt;&lt;D xsi:type="xsd:long"&gt;44368&lt;/D&gt;&lt;D xsi:type="xsd:long"&gt;44398&lt;/D&gt;&lt;D xsi:type="xsd:long"&gt;44428&lt;/D&gt;&lt;D xsi:type="xsd:long"&gt;44460&lt;/D&gt;&lt;D xsi:type="xsd:long"&gt;44490&lt;/D&gt;&lt;D xsi:type="xsd:long"&gt;44519&lt;/D&gt;&lt;D xsi:type="xsd:long"&gt;44551&lt;/D&gt;&lt;D xsi:type="xsd:long"&gt;44582&lt;/D&gt;&lt;D xsi:type="xsd:long"&gt;44610&lt;/D&gt;&lt;D xsi:type="xsd:long"&gt;44641&lt;/D&gt;&lt;D xsi:type="xsd:long"&gt;44672&lt;/D&gt;&lt;D xsi:type="xsd:long"&gt;44701&lt;/D&gt;&lt;D xsi:type="xsd:long"&gt;44733&lt;/D&gt;&lt;D xsi:type="xsd:long"&gt;44763&lt;/D&gt;&lt;D xsi:type="xsd:long"&gt;44792&lt;/D&gt;&lt;D xsi:type="xsd:long"&gt;44825&lt;/D&gt;&lt;D xsi:type="xsd:long"&gt;44855&lt;/D&gt;&lt;D xsi:type="xsd:long"&gt;44886&lt;/D&gt;&lt;D xsi:type="xsd:long"&gt;44916&lt;/D&gt;&lt;D xsi:type="xsd:long"&gt;44946&lt;/D&gt;&lt;D xsi:type="xsd:long"&gt;44978&lt;/D&gt;&lt;D xsi:type="xsd:long"&gt;45006&lt;/D&gt;&lt;D xsi:type="xsd:long"&gt;45037&lt;/D&gt;&lt;D xsi:type="xsd:long"&gt;45065&lt;/D&gt;&lt;D xsi:type="xsd:long"&gt;45098&lt;/D&gt;&lt;D xsi:type="xsd:long"&gt;45128&lt;/D&gt;&lt;D xsi:type="xsd:long"&gt;45159&lt;/D&gt;&lt;D xsi:type="xsd:long"&gt;45190&lt;/D&gt;&lt;D xsi:type="xsd:long"&gt;45219&lt;/D&gt;&lt;D xsi:type="xsd:long"&gt;45251&lt;/D&gt;&lt;D xsi:type="xsd:long"&gt;45281&lt;/D&gt;&lt;D xsi:type="xsd:long"&gt;45310&lt;/D&gt;&lt;D xsi:type="xsd:long"&gt;45343&lt;/D&gt;&lt;D xsi:type="xsd:long"&gt;45369&lt;/D&gt;&lt;/FQL&gt;&lt;FQL&gt;&lt;Q&gt;EWD^FMA_PE(LTMA,-10AY,0,AM,"PORTAGG","MEANR")&lt;/Q&gt;&lt;R&gt;121&lt;/R&gt;&lt;C&gt;1&lt;/C&gt;&lt;D xsi:type="xsd:double"&gt;15.2636183553548&lt;/D&gt;&lt;D xsi:type="xsd:double"&gt;15.33183880883&lt;/D&gt;&lt;D xsi:type="xsd:double"&gt;15.6324411231574&lt;/D&gt;&lt;D xsi:type="xsd:double"&gt;15.7422649807883&lt;/D&gt;&lt;D xsi:type="xsd:double"&gt;15.9163710565956&lt;/D&gt;&lt;D xsi:type="xsd:double"&gt;15.7894817365026&lt;/D&gt;&lt;D xsi:type="xsd:double"&gt;16.1584603709867&lt;/D&gt;&lt;D xsi:type="xsd:double"&gt;15.5601518620424&lt;/D&gt;&lt;D xsi:type="xsd:double"&gt;17.0656471777609&lt;/D&gt;&lt;D xsi:type="xsd:double"&gt;17.458647634163&lt;/D&gt;&lt;D xsi:type="xsd:double"&gt;17.9468374409553&lt;/D&gt;&lt;D xsi:type="xsd:double"&gt;20.0300247453008&lt;/D&gt;&lt;D xsi:type="xsd:double"&gt;20.1541613897879&lt;/D&gt;&lt;D xsi:type="xsd:double"&gt;19.6588670992821&lt;/D&gt;&lt;D xsi:type="xsd:double"&gt;19.1387207170293&lt;/D&gt;&lt;D xsi:type="xsd:double"&gt;18.6851392235876&lt;/D&gt;&lt;D xsi:type="xsd:double"&gt;18.7767844396582&lt;/D&gt;&lt;D xsi:type="xsd:double"&gt;17.5910735265738&lt;/D&gt;&lt;D xsi:type="xsd:double"&gt;16.9461517626988&lt;/D&gt;&lt;D xsi:type="xsd:double"&gt;16.7632015325046&lt;/D&gt;&lt;D xsi:type="xsd:double"&gt;16.9690806421044&lt;/D&gt;&lt;D xsi:type="xsd:double"&gt;15.8752093952793&lt;/D&gt;&lt;D xsi:type="xsd:double"&gt;14.3930110921454&lt;/D&gt;&lt;D xsi:type="xsd:double"&gt;15.0976474193208&lt;/D&gt;&lt;D xsi:type="xsd:double"&gt;15.5858929873592&lt;/D&gt;&lt;D xsi:type="xsd:double"&gt;15.7952214492407&lt;/D&gt;&lt;D xsi:type="xsd:double"&gt;15.4642334667032&lt;/D&gt;&lt;D xsi:type="xsd:double"&gt;15.4895788398115&lt;/D&gt;&lt;D xsi:type="xsd:double"&gt;15.7420228041227&lt;/D&gt;&lt;D xsi:type="xsd:double"&gt;15.9355214557497&lt;/D&gt;&lt;D xsi:type="xsd:double"&gt;16.1581717906076&lt;/D&gt;&lt;D xsi:type="xsd:double"&gt;17.5740847085732&lt;/D&gt;&lt;D xsi:type="xsd:double"&gt;17.2980097256461&lt;/D&gt;&lt;D xsi:type="xsd:double"&gt;18.3003373635682&lt;/D&gt;&lt;D xsi:type="xsd:double"&gt;18.2382630390698&lt;/D&gt;&lt;D xsi:type="xsd:double"&gt;17.6750405511339&lt;/D&gt;&lt;D xsi:type="xsd:double"&gt;17.4692359593794&lt;/D&gt;&lt;D xsi:type="xsd:double"&gt;17.5565902599816&lt;/D&gt;&lt;D xsi:type="xsd:double"&gt;18.0467414720574&lt;/D&gt;&lt;D xsi:type="xsd:double"&gt;17.6561664381281&lt;/D&gt;&lt;D xsi:type="xsd:double"&gt;17.4393044093537&lt;/D&gt;&lt;D xsi:type="xsd:double"&gt;16.7080750515459&lt;/D&gt;&lt;D xsi:type="xsd:double"&gt;17.3958557870082&lt;/D&gt;&lt;D xsi:type="xsd:double"&gt;18.4201226155528&lt;/D&gt;&lt;D xsi:type="xsd:double"&gt;18.2942268985044&lt;/D&gt;&lt;D xsi:type="xsd:double"&gt;18.3014928224342&lt;/D&gt;&lt;D xsi:type="xsd:double"&gt;18.3237893276404&lt;/D&gt;&lt;D xsi:type="xsd:double"&gt;16.9307670463934&lt;/D&gt;&lt;D xsi:type="xsd:double"&gt;16.8861642706577&lt;/D&gt;&lt;D xsi:type="xsd:double"&gt;16.8426226470787&lt;/D&gt;&lt;D xsi:type="xsd:double"&gt;16.9040433261049&lt;/D&gt;&lt;D xsi:type="xsd:double"&gt;16.4412941015485&lt;/D&gt;&lt;D xsi:type="xsd:double"&gt;16.4682453393492&lt;/D&gt;&lt;D xsi:type="xsd:double"&gt;16.6686592074019&lt;/D&gt;&lt;D xsi:type="xsd:double"&gt;16.9310801892151&lt;/D&gt;&lt;D xsi:type="xsd:double"&gt;15.4162400529065&lt;/D&gt;&lt;D xsi:type="xsd:double"&gt;14.6834969409005&lt;/D&gt;&lt;D xsi:type="xsd:double"&gt;13.8185949019786&lt;/D&gt;&lt;D xsi:type="xsd:double"&gt;15.2243604995117&lt;/D&gt;&lt;D xsi:type="xsd:double"&gt;18.2147278130586&lt;/D&gt;&lt;D xsi:type="xsd:double"&gt;18.0138156130317&lt;/D&gt;&lt;D xsi:type="xsd:double"&gt;17.8697906665663&lt;/D&gt;&lt;D xsi:type="xsd:double"&gt;17.4687568770487&lt;/D&gt;&lt;D xsi:type="xsd:double"&gt;17.2442813575206&lt;/D&gt;&lt;D xsi:type="xsd:double"&gt;17.0084938477929&lt;/D&gt;&lt;D xsi:type="xsd:double"&gt;15.8699528612329&lt;/D&gt;&lt;D xsi:type="xsd:double"&gt;16.327404102116&lt;/D&gt;&lt;D xsi:type="xsd:double"&gt;16.8643029170995&lt;/D&gt;&lt;D xsi:type="xsd:double"&gt;15.8799108752647&lt;/D&gt;&lt;D xsi:type="xsd:double"&gt;16.4651887729488&lt;/D&gt;&lt;D xsi:type="xsd:double"&gt;16.8987635208375&lt;/D&gt;&lt;D xsi:type="xsd:double"&gt;14.333014473699&lt;/D&gt;&lt;D xsi:type="xsd:double"&gt;12.4327821827058&lt;/D&gt;&lt;D xsi:type="xsd:double"&gt;13.9402823888944&lt;/D&gt;&lt;D xsi:type="xsd:double"&gt;15.2043098891751&lt;/D&gt;&lt;D xsi:type="xsd:double"&gt;16.6367623460504&lt;/D&gt;&lt;D xsi:type="xsd:double"&gt;17.9735074864069&lt;/D&gt;&lt;D xsi:type="xsd:double"&gt;16.9021746592891&lt;/D&gt;&lt;D xsi:type="xsd:double"&gt;17.5425650254683&lt;/D&gt;&lt;D xsi:type="xsd:double"&gt;15.8029709175833&lt;/D&gt;&lt;D xsi:type="xsd:double"&gt;16.6550045642936&lt;/D&gt;&lt;D xsi:type="xsd:double"&gt;16.827979761343&lt;/D&gt;&lt;D xsi:type="xsd:double"&gt;18.4147949725186&lt;/D&gt;&lt;D xsi:type="xsd:double"&gt;17.7592371988911&lt;/D&gt;&lt;D xsi:type="xsd:double"&gt;17.9672481679189&lt;/D&gt;&lt;D xsi:type="xsd:double"&gt;18.0585277919899&lt;/D&gt;&lt;D xsi:type="xsd:double"&gt;17.561998180992&lt;/D&gt;&lt;D xsi:type="xsd:double"&gt;17.9231673028957&lt;/D&gt;&lt;D xsi:type="xsd:double"&gt;17.7477559556272&lt;/D&gt;&lt;D xsi:type="xsd:double"&gt;17.4164921255272&lt;/D&gt;&lt;D xsi:type="xsd:double"&gt;17.0265187091141&lt;/D&gt;&lt;D xsi:type="xsd:double"&gt;17.2747131403998&lt;/D&gt;&lt;D xsi:type="xsd:double"&gt;16.7404288938488&lt;/D&gt;&lt;D xsi:type="xsd:double"&gt;16.2136423308441&lt;/D&gt;&lt;D xsi:type="xsd:double"&gt;12.31935152245&lt;/D&gt;&lt;D xsi:type="xsd:double"&gt;11.8513886681742&lt;/D&gt;&lt;D xsi:type="xsd:double"&gt;12.0437193966499&lt;/D&gt;&lt;D xsi:type="xsd:double"&gt;12.3650759048654&lt;/D&gt;&lt;D xsi:type="xsd:double"&gt;13.3246919681464&lt;/D&gt;&lt;D xsi:type="xsd:double"&gt;13.2563379392576&lt;/D&gt;&lt;D xsi:type="xsd:double"&gt;14.237701619452&lt;/D&gt;&lt;D xsi:type="xsd:double"&gt;14.8790005710732&lt;/D&gt;&lt;D xsi:type="xsd:double"&gt;14.4479143468901&lt;/D&gt;&lt;D xsi:type="xsd:double"&gt;15.0415437833427&lt;/D&gt;&lt;D xsi:type="xsd:double"&gt;14.0429412135388&lt;/D&gt;&lt;D xsi:type="xsd:double"&gt;15.5034841677261&lt;/D&gt;&lt;D xsi:type="xsd:double"&gt;22.8149801043692&lt;/D&gt;&lt;D xsi:type="xsd:double"&gt;25.8416421115906&lt;/D&gt;&lt;D xsi:type="xsd:double"&gt;24.7561510480215&lt;/D&gt;&lt;D xsi:type="xsd:double"&gt;23.6412464928326&lt;/D&gt;&lt;D xsi:type="xsd:double"&gt;22.5824402508196&lt;/D&gt;&lt;D xsi:type="xsd:double"&gt;21.1783923366013&lt;/D&gt;&lt;D xsi:type="xsd:double"&gt;19.8380210724866&lt;/D&gt;&lt;D xsi:type="xsd:double"&gt;18.0547692468249&lt;/D&gt;&lt;D xsi:type="xsd:double"&gt;17.0946530609255&lt;/D&gt;&lt;D xsi:type="xsd:double"&gt;16.2716548369053&lt;/D&gt;&lt;D xsi:type="xsd:double"&gt;15.7297446555734&lt;/D&gt;&lt;D xsi:type="xsd:double"&gt;18.0294302877725&lt;/D&gt;&lt;D xsi:type="xsd:double"&gt;14.5586857918696&lt;/D&gt;&lt;D xsi:type="xsd:double"&gt;15.6491311439694&lt;/D&gt;&lt;D xsi:type="xsd:double"&gt;16.0200264808988&lt;/D&gt;&lt;/FQL&gt;&lt;FQL&gt;&lt;Q&gt;DDR3512M-FDS^FG_PRICE_CHANGE(0,-6AM)&lt;/Q&gt;&lt;R&gt;1&lt;/R&gt;&lt;C&gt;1&lt;/C&gt;&lt;D xsi:type="xsd:double"&gt;-3.56525852700712&lt;/D&gt;&lt;/FQL&gt;&lt;FQL&gt;&lt;Q&gt;PASP-FDS^FG_PRICE_CHANGE(0,-6AM)&lt;/Q&gt;&lt;R&gt;1&lt;/R&gt;&lt;C&gt;1&lt;/C&gt;&lt;D xsi:type="xsd:double"&gt;-16.3346613545817&lt;/D&gt;&lt;/FQL&gt;&lt;FQL&gt;&lt;Q&gt;PLATI-FDS^FG_PRICE_CHANGE(0,-6AM)&lt;/Q&gt;&lt;R&gt;1&lt;/R&gt;&lt;C&gt;1&lt;/C&gt;&lt;D xsi:type="xsd:double"&gt;0.216684723726979&lt;/D&gt;&lt;/FQL&gt;&lt;FQL&gt;&lt;Q&gt;W-FDS^FG_PRICE_CHANGE(0,-6AM)&lt;/Q&gt;&lt;R&gt;1&lt;/R&gt;&lt;C&gt;1&lt;/C&gt;&lt;D xsi:type="xsd:double"&gt;-5.03690838037343&lt;/D&gt;&lt;/FQL&gt;&lt;FQL&gt;&lt;Q&gt;COPP-FDS^FG_PRICE_CHANGE(0,-6AM)&lt;/Q&gt;&lt;R&gt;1&lt;/R&gt;&lt;C&gt;1&lt;/C&gt;&lt;D xsi:type="xsd:double"&gt;10.36410745943&lt;/D&gt;&lt;/FQL&gt;&lt;FQL&gt;&lt;Q&gt;FC0000JP^FG_PRICE(0)&lt;/Q&gt;&lt;R&gt;1&lt;/R&gt;&lt;C&gt;1&lt;/C&gt;&lt;D xsi:type="xsd:double"&gt;182.7026&lt;/D&gt;&lt;/FQL&gt;&lt;FQL&gt;&lt;Q&gt;FC0000NZ^FG_PRICE(0)&lt;/Q&gt;&lt;R&gt;1&lt;/R&gt;&lt;C&gt;1&lt;/C&gt;&lt;D xsi:type="xsd:double"&gt;388.07468&lt;/D&gt;&lt;/FQL&gt;&lt;FQL&gt;&lt;Q&gt;EWQ^FG_PRICE(0)&lt;/Q&gt;&lt;R&gt;1&lt;/R&gt;&lt;C&gt;1&lt;/C&gt;&lt;D xsi:type="xsd:double"&gt;41.36&lt;/D&gt;&lt;/FQL&gt;&lt;FQL&gt;&lt;Q&gt;EWL^FG_PRICE(0)&lt;/Q&gt;&lt;R&gt;1&lt;/R&gt;&lt;C&gt;1&lt;/C&gt;&lt;D xsi:type="xsd:double"&gt;47.57&lt;/D&gt;&lt;/FQL&gt;&lt;FQL&gt;&lt;Q&gt;EWA^FG_PRICE(0)&lt;/Q&gt;&lt;R&gt;1&lt;/R&gt;&lt;C&gt;1&lt;/C&gt;&lt;D xsi:type="xsd:double"&gt;24.42&lt;/D&gt;&lt;/FQL&gt;&lt;FQL&gt;&lt;Q&gt;EWL^FG_COMPANY_NAME&lt;/Q&gt;&lt;R&gt;1&lt;/R&gt;&lt;C&gt;1&lt;/C&gt;&lt;D xsi:type="xsd:string"&gt;iShares MSCI Switzerland ETF&lt;/D&gt;&lt;/FQL&gt;&lt;FQL&gt;&lt;Q&gt;EWC^FG_COMPANY_NAME&lt;/Q&gt;&lt;R&gt;1&lt;/R&gt;&lt;C&gt;1&lt;/C&gt;&lt;D xsi:type="xsd:string"&gt;iShares MSCI Canada ETF&lt;/D&gt;&lt;/FQL&gt;&lt;FQL&gt;&lt;Q&gt;SPY^FG_TOTAL_RETURNC(0,-3AM)&lt;/Q&gt;&lt;R&gt;1&lt;/R&gt;&lt;C&gt;1&lt;/C&gt;&lt;D xsi:type="xsd:double"&gt;10.8173485&lt;/D&gt;&lt;/FQL&gt;&lt;FQL&gt;&lt;Q&gt;URTH^P_PRICE(0)/P_PRICE_HIGH_PR(0,,,USD,,,"PRICE","INTRA","52W")&lt;/Q&gt;&lt;R&gt;1&lt;/R&gt;&lt;C&gt;1&lt;/C&gt;&lt;D xsi:type="xsd:double"&gt;0.99703646&lt;/D&gt;&lt;/FQL&gt;&lt;FQL&gt;&lt;Q&gt;VGK^FG_TOTAL_RETURNC(0,-12AM)&lt;/Q&gt;&lt;R&gt;1&lt;/R&gt;&lt;C&gt;1&lt;/C&gt;&lt;D xsi:type="xsd:double"&gt;17.48153&lt;/D&gt;&lt;/FQL&gt;&lt;FQL&gt;&lt;Q&gt;EWI^PERCENT_CHANGE(FMA_EPS(+1,0,,,,"PORTAGG","MEAN"),FMA_EPS(+1,-1AM,,,,"PORTAGG","MEAN"))&lt;/Q&gt;&lt;R&gt;1&lt;/R&gt;&lt;C&gt;1&lt;/C&gt;&lt;D xsi:type="xsd:double"&gt;-0.666917606747126&lt;/D&gt;&lt;/FQL&gt;&lt;FQL&gt;&lt;Q&gt;EWN^FG_TOTAL_RETURNC(0,-1AM)&lt;/Q&gt;&lt;R&gt;1&lt;/R&gt;&lt;C&gt;1&lt;/C&gt;&lt;D xsi:type="xsd:double"&gt;5.1118135&lt;/D&gt;&lt;/FQL&gt;&lt;FQL&gt;&lt;Q&gt;SPY^FG_TOTAL_RETURNC(0,-6AM)&lt;/Q&gt;&lt;R&gt;1&lt;/R&gt;&lt;C&gt;1&lt;/C&gt;&lt;D xsi:type="xsd:double"&gt;21.922398&lt;/D&gt;&lt;/FQL&gt;&lt;FQL&gt;&lt;Q&gt;CAGDPY@SE^EE_ACTUAL_ANNUAL(MED,0)&lt;/Q&gt;&lt;R&gt;1&lt;/R&gt;&lt;C&gt;1&lt;/C&gt;&lt;D xsi:type="xsd:double"&gt;6.76905401199225&lt;/D&gt;&lt;/FQL&gt;&lt;FQL&gt;&lt;Q&gt;USDITL^FG_PRICE_CHANGE(0,-6AM)&lt;/Q&gt;&lt;R&gt;1&lt;/R&gt;&lt;C&gt;1&lt;/C&gt;&lt;D xsi:type="xsd:double"&gt;-1.8506646&lt;/D&gt;&lt;/FQL&gt;&lt;FQL&gt;&lt;Q&gt;EWG^FMA_EPS(NTMA,-20AY,0,CY,,"PORTAGG","MEANR")&lt;/Q&gt;&lt;R&gt;20&lt;/R&gt;&lt;C&gt;1&lt;/C&gt;&lt;D xsi:type="xsd:double"&gt;1.52066411043583&lt;/D&gt;&lt;D xsi:type="xsd:double"&gt;1.60643474084628&lt;/D&gt;&lt;D xsi:type="xsd:double"&gt;2.11909900762238&lt;/D&gt;&lt;D xsi:type="xsd:double"&gt;2.80661608339197&lt;/D&gt;&lt;D xsi:type="xsd:double"&gt;1.99715132688841&lt;/D&gt;&lt;D xsi:type="xsd:double"&gt;1.74300870329695&lt;/D&gt;&lt;D xsi:type="xsd:double"&gt;2.17390808983831&lt;/D&gt;&lt;D xsi:type="xsd:double"&gt;2.1750966873774&lt;/D&gt;&lt;D xsi:type="xsd:double"&gt;2.27358500860511&lt;/D&gt;&lt;D xsi:type="xsd:double"&gt;2.40616014173578&lt;/D&gt;&lt;D xsi:type="xsd:double"&gt;2.13415894814862&lt;/D&gt;&lt;D xsi:type="xsd:double"&gt;1.96165601541568&lt;/D&gt;&lt;D xsi:type="xsd:double"&gt;1.94158660997406&lt;/D&gt;&lt;D xsi:type="xsd:double"&gt;2.40362877806351&lt;/D&gt;&lt;D xsi:type="xsd:double"&gt;2.32116072306873&lt;/D&gt;&lt;D xsi:type="xsd:double"&gt;2.08815829612982&lt;/D&gt;&lt;D xsi:type="xsd:double"&gt;1.97990608176048&lt;/D&gt;&lt;D xsi:type="xsd:double"&gt;2.44949512523756&lt;/D&gt;&lt;D xsi:type="xsd:double"&gt;2.36388795150729&lt;/D&gt;&lt;D xsi:type="xsd:double"&gt;2.65680492825543&lt;/D&gt;&lt;/FQL&gt;&lt;FQL&gt;&lt;Q&gt;EWG^FMA_DIV_YLD(NTMA,-10AY,0,AM,"PORTAGG","MEANR")&lt;/Q&gt;&lt;R&gt;121&lt;/R&gt;&lt;C&gt;1&lt;/C&gt;&lt;D xsi:type="xsd:double"&gt;3.00971628627993&lt;/D&gt;&lt;D xsi:type="xsd:double"&gt;3.03311837613261&lt;/D&gt;&lt;D xsi:type="xsd:double"&gt;3.01733069319183&lt;/D&gt;&lt;D xsi:type="xsd:double"&gt;2.96454587281453&lt;/D&gt;&lt;D xsi:type="xsd:double"&gt;3.12359602967975&lt;/D&gt;&lt;D xsi:type="xsd:double"&gt;3.19029341422634&lt;/D&gt;&lt;D xsi:type="xsd:double"&gt;3.08001519858691&lt;/D&gt;&lt;D xsi:type="xsd:double"&gt;3.40930980785112&lt;/D&gt;&lt;D xsi:type="xsd:double"&gt;3.19844048766093&lt;/D&gt;&lt;D xsi:type="xsd:double"&gt;3.19162642216306&lt;/D&gt;&lt;D xsi:type="xsd:double"&gt;3.05036127207835&lt;/D&gt;&lt;D xsi:type="xsd:double"&gt;2.85378396382259&lt;/D&gt;&lt;D xsi:type="xsd:double"&gt;2.65367516152077&lt;/D&gt;&lt;D xsi:type="xsd:double"&gt;2.71364944070221&lt;/D&gt;&lt;D xsi:type="xsd:double"&gt;2.80980224784254&lt;/D&gt;&lt;D xsi:type="xsd:double"&gt;3.05823509895378&lt;/D&gt;&lt;D xsi:type="xsd:double"&gt;2.93344194229885&lt;/D&gt;&lt;D xsi:type="xsd:double"&gt;3.36551240069974&lt;/D&gt;&lt;D xsi:type="xsd:double"&gt;3.43465820646208&lt;/D&gt;&lt;D xsi:type="xsd:double"&gt;3.27581683262012&lt;/D&gt;&lt;D xsi:type="xsd:double"&gt;2.91499867379185&lt;/D&gt;&lt;D xsi:type="xsd:double"&gt;3.10651219134688&lt;/D&gt;&lt;D xsi:type</t>
        </r>
      </text>
    </comment>
    <comment ref="A9" authorId="0" shapeId="0" xr:uid="{D5F49942-A833-4CAD-8A47-4030442BC17C}">
      <text>
        <r>
          <rPr>
            <b/>
            <sz val="9"/>
            <color indexed="81"/>
            <rFont val="Tahoma"/>
            <charset val="1"/>
          </rPr>
          <t>="xsd:double"&gt;3.42218524084641&lt;/D&gt;&lt;D xsi:type="xsd:double"&gt;3.4989740995772&lt;/D&gt;&lt;D xsi:type="xsd:double"&gt;3.30308020346352&lt;/D&gt;&lt;D xsi:type="xsd:double"&gt;3.16077514552406&lt;/D&gt;&lt;D xsi:type="xsd:double"&gt;3.36980413571922&lt;/D&gt;&lt;D xsi:type="xsd:double"&gt;3.37887271018241&lt;/D&gt;&lt;D xsi:type="xsd:double"&gt;3.32124874355541&lt;/D&gt;&lt;D xsi:type="xsd:double"&gt;3.1928354679625&lt;/D&gt;&lt;D xsi:type="xsd:double"&gt;3.22119608865088&lt;/D&gt;&lt;D xsi:type="xsd:double"&gt;3.12450638729058&lt;/D&gt;&lt;D xsi:type="xsd:double"&gt;3.17607797213775&lt;/D&gt;&lt;D xsi:type="xsd:double"&gt;2.97131312132727&lt;/D&gt;&lt;D xsi:type="xsd:double"&gt;2.94446012997618&lt;/D&gt;&lt;D xsi:type="xsd:double"&gt;2.91068368804726&lt;/D&gt;&lt;D xsi:type="xsd:double"&gt;2.97711435148665&lt;/D&gt;&lt;D xsi:type="xsd:double"&gt;2.96816310433191&lt;/D&gt;&lt;D xsi:type="xsd:double"&gt;2.91924626506604&lt;/D&gt;&lt;D xsi:type="xsd:double"&gt;2.92169031485676&lt;/D&gt;&lt;D xsi:type="xsd:double"&gt;3.05916421411205&lt;/D&gt;&lt;D xsi:type="xsd:double"&gt;3.14423775441522&lt;/D&gt;&lt;D xsi:type="xsd:double"&gt;3.03869425073586&lt;/D&gt;&lt;D xsi:type="xsd:double"&gt;2.95878795340199&lt;/D&gt;&lt;D xsi:type="xsd:double"&gt;2.916425041143&lt;/D&gt;&lt;D xsi:type="xsd:double"&gt;2.90591392230007&lt;/D&gt;&lt;D xsi:type="xsd:double"&gt;2.85853629926864&lt;/D&gt;&lt;D xsi:type="xsd:double"&gt;3.11699475663325&lt;/D&gt;&lt;D xsi:type="xsd:double"&gt;3.17909285505001&lt;/D&gt;&lt;D xsi:type="xsd:double"&gt;3.16194205188653&lt;/D&gt;&lt;D xsi:type="xsd:double"&gt;3.09336647648248&lt;/D&gt;&lt;D xsi:type="xsd:double"&gt;3.21112652891011&lt;/D&gt;&lt;D xsi:type="xsd:double"&gt;3.21469904851205&lt;/D&gt;&lt;D xsi:type="xsd:double"&gt;3.25458880692002&lt;/D&gt;&lt;D xsi:type="xsd:double"&gt;3.26177569699965&lt;/D&gt;&lt;D xsi:type="xsd:double"&gt;3.52386947787037&lt;/D&gt;&lt;D xsi:type="xsd:double"&gt;3.67794971732853&lt;/D&gt;&lt;D xsi:type="xsd:double"&gt;3.93256124433979&lt;/D&gt;&lt;D xsi:type="xsd:double"&gt;3.71411516331461&lt;/D&gt;&lt;D xsi:type="xsd:double"&gt;3.64012989208186&lt;/D&gt;&lt;D xsi:type="xsd:double"&gt;3.58668044059172&lt;/D&gt;&lt;D xsi:type="xsd:double"&gt;3.41653387691734&lt;/D&gt;&lt;D xsi:type="xsd:double"&gt;3.53477878900838&lt;/D&gt;&lt;D xsi:type="xsd:double"&gt;3.50370111573568&lt;/D&gt;&lt;D xsi:type="xsd:double"&gt;3.48034163004347&lt;/D&gt;&lt;D xsi:type="xsd:double"&gt;3.56548626398865&lt;/D&gt;&lt;D xsi:type="xsd:double"&gt;3.38385910478751&lt;/D&gt;&lt;D xsi:type="xsd:double"&gt;3.30315259272756&lt;/D&gt;&lt;D xsi:type="xsd:double"&gt;3.13568087419414&lt;/D&gt;&lt;D xsi:type="xsd:double"&gt;3.07755210911519&lt;/D&gt;&lt;D xsi:type="xsd:double"&gt;3.03088778757758&lt;/D&gt;&lt;D xsi:type="xsd:double"&gt;3.02421537096313&lt;/D&gt;&lt;D xsi:type="xsd:double"&gt;4.47054442525038&lt;/D&gt;&lt;D xsi:type="xsd:double"&gt;3.60065303506426&lt;/D&gt;&lt;D xsi:type="xsd:double"&gt;3.27451614267081&lt;/D&gt;&lt;D xsi:type="xsd:double"&gt;2.89837406593892&lt;/D&gt;&lt;D xsi:type="xsd:double"&gt;2.75634680370327&lt;/D&gt;&lt;D xsi:type="xsd:double"&gt;2.84012057270534&lt;/D&gt;&lt;D xsi:type="xsd:double"&gt;2.93741315436828&lt;/D&gt;&lt;D xsi:type="xsd:double"&gt;2.88795342886815&lt;/D&gt;&lt;D xsi:type="xsd:double"&gt;2.8356481851433&lt;/D&gt;&lt;D xsi:type="xsd:double"&gt;2.79977349382005&lt;/D&gt;&lt;D xsi:type="xsd:double"&gt;2.70834760935453&lt;/D&gt;&lt;D xsi:type="xsd:double"&gt;2.76116177415257&lt;/D&gt;&lt;D xsi:type="xsd:double"&gt;2.75731678758832&lt;/D&gt;&lt;D xsi:type="xsd:double"&gt;2.73657419692244&lt;/D&gt;&lt;D xsi:type="xsd:double"&gt;2.83719830166729&lt;/D&gt;&lt;D xsi:type="xsd:double"&gt;2.79782261513321&lt;/D&gt;&lt;D xsi:type="xsd:double"&gt;2.86226395550197&lt;/D&gt;&lt;D xsi:type="xsd:double"&gt;2.85454705579277&lt;/D&gt;&lt;D xsi:type="xsd:double"&gt;2.95214751342653&lt;/D&gt;&lt;D xsi:type="xsd:double"&gt;2.97418039893329&lt;/D&gt;&lt;D xsi:type="xsd:double"&gt;2.9463110060641&lt;/D&gt;&lt;D xsi:type="xsd:double"&gt;3.10593664570473&lt;/D&gt;&lt;D xsi:type="xsd:double"&gt;3.13288220952942&lt;/D&gt;&lt;D xsi:type="xsd:double"&gt;3.30040582976468&lt;/D&gt;&lt;D xsi:type="xsd:double"&gt;3.53089008400159&lt;/D&gt;&lt;D xsi:type="xsd:double"&gt;3.53678203174298&lt;/D&gt;&lt;D xsi:type="xsd:double"&gt;3.86275421533179&lt;/D&gt;&lt;D xsi:type="xsd:double"&gt;4.05583998123821&lt;/D&gt;&lt;D xsi:type="xsd:double"&gt;4.06952761207799&lt;/D&gt;&lt;D xsi:type="xsd:double"&gt;3.99778891557546&lt;/D&gt;&lt;D xsi:type="xsd:double"&gt;4.2439222578285&lt;/D&gt;&lt;D xsi:type="xsd:double"&gt;4.26529371269561&lt;/D&gt;&lt;D xsi:type="xsd:double"&gt;3.76892602655998&lt;/D&gt;&lt;D xsi:type="xsd:double"&gt;3.81230241348136&lt;/D&gt;&lt;D xsi:type="xsd:double"&gt;3.54298281110256&lt;/D&gt;&lt;D xsi:type="xsd:double"&gt;3.48461004043875&lt;/D&gt;&lt;D xsi:type="xsd:double"&gt;3.61990933707746&lt;/D&gt;&lt;D xsi:type="xsd:double"&gt;3.49926135273734&lt;/D&gt;&lt;D xsi:type="xsd:double"&gt;3.53780728032168&lt;/D&gt;&lt;D xsi:type="xsd:double"&gt;3.64656740326302&lt;/D&gt;&lt;D xsi:type="xsd:double"&gt;3.64827712421277&lt;/D&gt;&lt;D xsi:type="xsd:double"&gt;3.77304102523691&lt;/D&gt;&lt;D xsi:type="xsd:double"&gt;3.78822966022038&lt;/D&gt;&lt;D xsi:type="xsd:double"&gt;4.03148243397898&lt;/D&gt;&lt;D xsi:type="xsd:double"&gt;3.72237374387117&lt;/D&gt;&lt;D xsi:type="xsd:double"&gt;3.56039820816068&lt;/D&gt;&lt;D xsi:type="xsd:double"&gt;3.63019722446392&lt;/D&gt;&lt;D xsi:type="xsd:double"&gt;3.48537636786588&lt;/D&gt;&lt;D xsi:type="xsd:double"&gt;3.32269006475039&lt;/D&gt;&lt;/FQL&gt;&lt;FQL&gt;&lt;Q&gt;DDR3512M-FDS^FG_PRICE(0)/MAX(FG_PRICE(0,-1AY))&lt;/Q&gt;&lt;R&gt;1&lt;/R&gt;&lt;C&gt;1&lt;/C&gt;&lt;D xsi:type="xsd:double"&gt;0.8320041581166&lt;/D&gt;&lt;/FQL&gt;&lt;FQL&gt;&lt;Q&gt;EWG^FMA_COS_DOWN("EPS","1M",+1,0,,,"PORTAGG","MEANR")&lt;/Q&gt;&lt;R&gt;1&lt;/R&gt;&lt;C&gt;1&lt;/C&gt;&lt;D xsi:type="xsd:double"&gt;30&lt;/D&gt;&lt;/FQL&gt;&lt;FQL&gt;&lt;Q&gt;EWC^FG_ROE(0)&lt;/Q&gt;&lt;R&gt;1&lt;/R&gt;&lt;C&gt;1&lt;/C&gt;&lt;D xsi:type="xsd:double"&gt;11.3637914699464&lt;/D&gt;&lt;/FQL&gt;&lt;FQL&gt;&lt;Q&gt;EWC^FMA_DIV_YLD(NTMA,-10AY,0,AM,"PORTAGG","MEANR")&lt;/Q&gt;&lt;R&gt;121&lt;/R&gt;&lt;C&gt;1&lt;/C&gt;&lt;D xsi:type="xsd:double"&gt;2.89329031924197&lt;/D&gt;&lt;D xsi:type="xsd:double"&gt;2.90313069711251&lt;/D&gt;&lt;D xsi:type="xsd:double"&gt;2.87860813914719&lt;/D&gt;&lt;D xsi:type="xsd:double"&gt;2.81119747993823&lt;/D&gt;&lt;D xsi:type="xsd:double"&gt;2.77807257253838&lt;/D&gt;&lt;D xsi:type="xsd:double"&gt;2.75715185862479&lt;/D&gt;&lt;D xsi:type="xsd:double"&gt;2.81143194972171&lt;/D&gt;&lt;D xsi:type="xsd:double"&gt;2.98332590064125&lt;/D&gt;&lt;D xsi:type="xsd:double"&gt;2.87888648043595&lt;/D&gt;&lt;D xsi:type="xsd:double"&gt;2.97428426112846&lt;/D&gt;&lt;D xsi:type="xsd:double"&gt;2.96994760813548&lt;/D&gt;&lt;D xsi:type="xsd:double"&gt;2.86390363306494&lt;/D&gt;&lt;D xsi:type="xsd:double"&gt;2.90768727616785&lt;/D&gt;&lt;D xsi:type="xsd:double"&gt;2.81860664123329&lt;/D&gt;&lt;D xsi:type="xsd:double"&gt;2.85893725263589&lt;/D&gt;&lt;D xsi:type="xsd:double"&gt;2.97968644706434&lt;/D&gt;&lt;D xsi:type="xsd:double"&gt;3.0641298143678&lt;/D&gt;&lt;D xsi:type="xsd:double"&gt;3.25355455455391&lt;/D&gt;&lt;D xsi:type="xsd:double"&gt;3.18935167639617&lt;/D&gt;&lt;D xsi:type="xsd:double"&gt;3.2192484244691&lt;/D&gt;&lt;D xsi:type="xsd:double"&gt;3.28748210384774&lt;/D&gt;&lt;D xsi:type="xsd:double"&gt;3.38117294741374&lt;/D&gt;&lt;D xsi:type="xsd:double"&gt;3.62082871471198&lt;/D&gt;&lt;D xsi:type="xsd:double"&gt;3.3429085781001&lt;/D&gt;&lt;D xsi:type="xsd:double"&gt;3.12920790900494&lt;/D&gt;&lt;D xsi:type="xsd:double"&gt;3.063029131062&lt;/D&gt;&lt;D xsi:type="xsd:double"&gt;3.07070166577869&lt;/D&gt;&lt;D xsi:type="xsd:double"&gt;3.07382890364896&lt;/D&gt;&lt;D xsi:type="xsd:double"&gt;2.98035726737766&lt;/D&gt;&lt;D xsi:type="xsd:double"&gt;2.95665938409226&lt;/D&gt;&lt;D xsi:type="xsd:double"&gt;2.95544935725938&lt;/D&gt;&lt;D xsi:type="xsd:double"&gt;2.90080158040592&lt;/D&gt;&lt;D xsi:type="xsd:double"&gt;2.87312207966262&lt;/D&gt;&lt;D xsi:type="xsd:double"&gt;2.82943346170352&lt;/D&gt;&lt;D xsi:type="xsd:double"&gt;2.80350269420408&lt;/D&gt;&lt;D xsi:type="xsd:double"&gt;2.76687841777092&lt;/D&gt;&lt;D xsi:type="xsd:double"&gt;2.95751635021444&lt;/D&gt;&lt;D xsi:type="xsd:double"&gt;2.92231146116829&lt;/D&gt;&lt;D xsi:type="xsd:double"&gt;2.97660355379911&lt;/D&gt;&lt;D xsi:type="xsd:double"&gt;3.04832029829762&lt;/D&gt;&lt;D xsi:type="xsd:double"&gt;3.03561985105312&lt;/D&gt;&lt;D xsi:type="xsd:double"&gt;3.09232647130774&lt;/D&gt;&lt;D xsi:type="xsd:double"&gt;3.01932755028056&lt;/D&gt;&lt;D xsi:type="xsd:double"&gt;2.93913009201442&lt;/D&gt;&lt;D xsi:type="xsd:double"&gt;2.91526346347189&lt;/D&gt;&lt;D xsi:type="xsd:double"&gt;2.90421382328482&lt;/D&gt;&lt;D xsi:type="xsd:double"&gt;2.89285050495279&lt;/D&gt;&lt;D xsi:type="xsd:double"&gt;3.09990201164095&lt;/D&gt;&lt;D xsi:type="xsd:double"&gt;3.11822859871235&lt;/D&gt;&lt;D xsi:type="xsd:double"&gt;3.17794500396807&lt;/D&gt;&lt;D xsi:type="xsd:double"&gt;3.05265621687284&lt;/D&gt;&lt;D xsi:type="xsd:double"&gt;3.05865594539802&lt;/D&gt;&lt;D xsi:type="xsd:double"&gt;3.05632864282144&lt;/D&gt;&lt;D xsi:type="xsd:double"&gt;3.10365331690814&lt;/D&gt;&lt;D xsi:type="xsd:double"&gt;3.13926180769074&lt;/D&gt;&lt;D xsi:type="xsd:double"&gt;3.32942614208271&lt;/D&gt;&lt;D xsi:type="xsd:double"&gt;3.40999186901561&lt;/D&gt;&lt;D xsi:type="xsd:double"&gt;3.70157031016241&lt;/D&gt;&lt;D xsi:type="xsd:double"&gt;3.36494241515796&lt;/D&gt;&lt;D xsi:type="xsd:double"&gt;3.27040392137426&lt;/D&gt;&lt;D xsi:type="xsd:double"&gt;3.24950418237797&lt;/D&gt;&lt;D xsi:type="xsd:double"&gt;3.17814092642641&lt;/D&gt;&lt;D xsi:type="xsd:double"&gt;3.29515129874217&lt;/D&gt;&lt;D xsi:type="xsd:double"&gt;3.28923260671153&lt;/D&gt;&lt;D xsi:type="xsd:double"&gt;3.31823581461239&lt;/D&gt;&lt;D xsi:type="xsd:double"&gt;3.40672860790911&lt;/D&gt;&lt;D xsi:type="xsd:double"&gt;3.28188572321895&lt;/D&gt;&lt;D xsi:type="xsd:double"&gt;3.37001979338294&lt;/D&gt;&lt;D xsi:type="xsd:double"&gt;3.2551879311935&lt;/D&gt;&lt;D xsi:type="xsd:double"&gt;3.24139759415469&lt;/D&gt;&lt;D xsi:type="xsd:double"&gt;3.21773413171812&lt;/D&gt;&lt;D xsi:type="xsd:double"&gt;3.22713273879212&lt;/D&gt;&lt;D xsi:type="xsd:double"&gt;4.89917333967054&lt;/D&gt;&lt;D xsi:type="xsd:double"&gt;4.1229929462512&lt;/D&gt;&lt;D xsi:type="xsd:double"&gt;3.72274528941023&lt;/D&gt;&lt;D xsi:type="xsd:double"&gt;3.55341360986413&lt;/D&gt;&lt;D xsi:type="xsd:double"&gt;3.41394724895134&lt;/D&gt;&lt;D xsi:type="xsd:double"&gt;3.35904695247012&lt;/D&gt;&lt;D xsi:type="xsd:double"&gt;3.49210858454702&lt;/D&gt;&lt;D xsi:type="xsd:double"&gt;3.44372262437514&lt;/D&gt;&lt;D xsi:type="xsd:double"&gt;3.24125411531742&lt;/D&gt;&lt;D xsi:type="xsd:double"&gt;3.12330847464071&lt;/D&gt;&lt;D xsi:type="xsd:double"&gt;3.0401058571727&lt;/D&gt;&lt;D xsi:type="xsd:double"&gt;2.93209410496052&lt;/D&gt;&lt;D xsi:type="xsd:double"&gt;2.83845227424866&lt;/D&gt;&lt;D xsi:type="xsd:double"&gt;2.76875612774601&lt;/D&gt;&lt;D xsi:type="xsd:double"&gt;2.70872274218075&lt;/D&gt;&lt;D xsi:type="xsd:double"&gt;2.63492196413998&lt;/D&gt;&lt;D xsi:type="xsd:double"&gt;2.72532935494381&lt;/D&gt;&lt;D xsi:type="xsd:double"&gt;2.71525300149044&lt;/D&gt;&lt;D xsi:type="xsd:double"&gt;2.8096283932789&lt;/D&gt;&lt;D xsi:type="xsd:double"&gt;2.67634040209571&lt;/D&gt;&lt;D xsi:type="xsd:double"&gt;2.70635987184465&lt;/D&gt;&lt;D xsi:type="xsd:double"&gt;2.82059776117104&lt;/D&gt;&lt;D xsi:type="xsd:double"&gt;2.88375281317636&lt;/D&gt;&lt;D xsi:type="xsd:double"&gt;2.87182801541012&lt;/D&gt;&lt;D xsi:type="xsd:double"&gt;2.77761060359525&lt;/D&gt;&lt;D xsi:type="xsd:double"&gt;2.8616698541139&lt;/D&gt;&lt;D xsi:type="xsd:double"&gt;3.18256506055682&lt;/D&gt;&lt;D xsi:type="xsd:double"&gt;3.35534307458791&lt;/D&gt;&lt;D xsi:type="xsd:double"&gt;3.41055381237496&lt;/D&gt;&lt;D xsi:type="xsd:double"&gt;3.31236108684705&lt;/D&gt;&lt;D xsi:type="xsd:double"&gt;3.49192708148608&lt;/D&gt;&lt;D xsi:type="xsd:double"&gt;3.54971471143137&lt;/D&gt;&lt;D xsi:type="xsd:double"&gt;3.3486648561296&lt;/D&gt;&lt;D xsi:type="xsd:double"&gt;3.43733727240596&lt;/D&gt;&lt;D xsi:type="xsd:double"&gt;3.32466136199933&lt;/D&gt;&lt;D xsi:type="xsd:double"&gt;3.37920691452131&lt;/D&gt;&lt;D xsi:type="xsd:double"&gt;3.43350500541987&lt;/D&gt;&lt;D xsi:type="xsd:double"&gt;3.23025316872027&lt;/D&gt;&lt;D xsi:type="xsd:double"&gt;3.27173214451844&lt;/D&gt;&lt;D xsi:type="xsd:double"&gt;3.33986553165294&lt;/D&gt;&lt;D xsi:type="xsd:double"&gt;3.16342006731628&lt;/D&gt;&lt;D xsi:type="xsd:double"&gt;3.58530045111483&lt;/D&gt;&lt;D xsi:type="xsd:double"&gt;3.58693889346848&lt;/D&gt;&lt;D xsi:type="xsd:double"&gt;3.72680141001953&lt;/D&gt;&lt;D xsi:type="xsd:double"&gt;3.50276436317751&lt;/D&gt;&lt;D xsi:type="xsd:double"&gt;3.39176686726542&lt;/D&gt;&lt;D xsi:type="xsd:double"&gt;3.36154102400172&lt;/D&gt;&lt;D xsi:type="xsd:double"&gt;3.29395563203176&lt;/D&gt;&lt;D xsi:type="xsd:double"&gt;3.1461035250888&lt;/D&gt;&lt;/FQL&gt;&lt;FQL&gt;&lt;Q&gt;PLATI-FDS^FG_PRICE_CHANGE(0,-1AY)&lt;/Q&gt;&lt;R&gt;1&lt;/R&gt;&lt;C&gt;1&lt;/C&gt;&lt;D xsi:type="xsd:double"&gt;-7.96019900497512&lt;/D&gt;&lt;/FQL&gt;&lt;FQL&gt;&lt;Q&gt;COPP-FDS^FG_PRICE_CHANGE(0,-1AY)&lt;/Q&gt;&lt;R&gt;1&lt;/R&gt;&lt;C&gt;1&lt;/C&gt;&lt;D xsi:type="xsd:double"&gt;0.696777404504156&lt;/D&gt;&lt;/FQL&gt;&lt;FQL&gt;&lt;Q&gt;EWL^FG_PRICE_MAVG(0,,,,30)&lt;/Q&gt;&lt;R&gt;1&lt;/R&gt;&lt;C&gt;1&lt;/C&gt;&lt;D xsi:type="xsd:double"&gt;47.323&lt;/D&gt;&lt;/FQL&gt;&lt;FQL&gt;&lt;Q&gt;VWO^PERCENT_CHANGE(FMA_EPS(+1,0,,,,"PORTAGG","MEAN"),FMA_EPS(+1,-1AM,,,,"PORTAGG","MEAN"))&lt;/Q&gt;&lt;R&gt;1&lt;/R&gt;&lt;C&gt;1&lt;/C&gt;&lt;D xsi:type="xsd:double"&gt;-12.916703594352&lt;/D&gt;&lt;/FQL&gt;&lt;FQL&gt;&lt;Q&gt;EWN^P_PRICE(0)/P_PRICE_LOW_PR(0,,,USD,,,"PRICE","INTRA","52W")-1&lt;/Q&gt;&lt;R&gt;1&lt;/R&gt;&lt;C&gt;1&lt;/C&gt;&lt;D xsi:type="xsd:double"&gt;0.35987866&lt;/D&gt;&lt;/FQL&gt;&lt;FQL&gt;&lt;Q&gt;SPY^PERCENT_CHANGE(FMA_EPS(+1,0,,,,"PORTAGG","MEAN"),FMA_EPS(+1,-1AM,,,,"PORTAGG","MEAN"))&lt;/Q&gt;&lt;R&gt;1&lt;/R&gt;&lt;C&gt;1&lt;/C&gt;&lt;D xsi:type="xsd:double"&gt;-0.101446060268754&lt;/D&gt;&lt;/FQL&gt;&lt;FQL&gt;&lt;Q&gt;EWL^PERCENT_CHANGE(FMA_EPS(+1,0,,,,"PORTAGG","MEAN"),FMA_EPS(+1,-1AM,,,,"PORTAGG","MEAN"))&lt;/Q&gt;&lt;R&gt;1&lt;/R&gt;&lt;C&gt;1&lt;/C&gt;&lt;D xsi:type="xsd:double"&gt;-0.733377479050374&lt;/D&gt;&lt;/FQL&gt;&lt;FQL&gt;&lt;Q&gt;EWC^P_PRICE(0)/P_PRICE_LOW_PR(0,,,USD,,,"PRICE","INTRA","52W")-1&lt;/Q&gt;&lt;R&gt;1&lt;/R&gt;&lt;C&gt;1&lt;/C&gt;&lt;D xsi:type="xsd:double"&gt;0.21617317&lt;/D&gt;&lt;/FQL&gt;&lt;FQL&gt;&lt;Q&gt;FXI^SIZE(FG_CONSTITUENTS)&lt;/Q&gt;&lt;R&gt;1&lt;/R&gt;&lt;C&gt;1&lt;/C&gt;&lt;D xsi:type="xsd:long"&gt;51&lt;/D&gt;&lt;/FQL&gt;&lt;FQL&gt;&lt;Q&gt;EWD^SIZE(FG_CONSTITUENTS)&lt;/Q&gt;&lt;R&gt;1&lt;/R&gt;&lt;C&gt;1&lt;/C&gt;&lt;D xsi:type="xsd:long"&gt;44&lt;/D&gt;&lt;/FQL&gt;&lt;FQL&gt;&lt;Q&gt;EWG^FMA_COS_UP("EPS","1M",+1,0,,,"PORTAGG","MEANR")&lt;/Q&gt;&lt;R&gt;1&lt;/R&gt;&lt;C&gt;1&lt;/C&gt;&lt;D xsi:type="xsd:double"&gt;22&lt;/D&gt;&lt;/FQL&gt;&lt;FQL&gt;&lt;Q&gt;REFFFUND-FDS^FG_YIELD(NOW,,,0)&lt;/Q&gt;&lt;R&gt;1&lt;/R&gt;&lt;C&gt;1&lt;/C&gt;&lt;D xsi:type="xsd:double"&gt;5.5&lt;/D&gt;&lt;/FQL&gt;&lt;FQL&gt;&lt;Q&gt;TRYIT10Y-FDS^PCTCHG(FG_YIELD(0,,,,"YTM"),FG_YIELD(-3AM,,,,"YTM"))&lt;/Q&gt;&lt;R&gt;1&lt;/R&gt;&lt;C&gt;1&lt;/C&gt;&lt;D xsi:type="xsd:double"&gt;2.4505658&lt;/D&gt;&lt;/FQL&gt;&lt;FQL&gt;&lt;Q&gt;CC_AU^IMF_IFS_RCPI_Q(0)&lt;/Q&gt;&lt;R&gt;1&lt;/R&gt;&lt;C&gt;1&lt;/C&gt;&lt;D xsi:type="xsd:double"&gt;4.051988&lt;/D&gt;&lt;/FQL&gt;&lt;FQL&gt;&lt;Q&gt;EWI^FMA_PE(NTMA,0,,,"PORTAGG","MEANR")&lt;/Q&gt;&lt;R&gt;1&lt;/R&gt;&lt;C&gt;1&lt;/C&gt;&lt;D xsi:type="xsd:double"&gt;9.73164023124763&lt;/D&gt;&lt;/FQL&gt;&lt;FQL&gt;&lt;Q&gt;EWU^JULIAN(FMA_DIV_YLD(NTMA,NOW,NOW,M,"PORTAGG","MEANR").DATES)&lt;/Q&gt;&lt;R&gt;1&lt;/R&gt;&lt;C&gt;1&lt;/C&gt;&lt;D xsi:type="xsd:long"&gt;45351&lt;/D&gt;&lt;/FQL&gt;&lt;FQL&gt;&lt;Q&gt;EWG^FMA_PE(LTM,0,,,"PORTAGG","MEANR")&lt;/Q&gt;&lt;R&gt;1&lt;/R&gt;&lt;C&gt;1&lt;/C&gt;&lt;D xsi:type="xsd:double"&gt;12.7770271915083&lt;/D&gt;&lt;/FQL&gt;&lt;FQL&gt;&lt;Q&gt;TRYCA10Y-FDS^PCTCHG(FG_YIELD(0,,,,"YTM"),FG_YIELD(-1AM,,,,"YTM"))&lt;/Q&gt;&lt;R&gt;1&lt;/R&gt;&lt;C&gt;1&lt;/C&gt;&lt;D xsi:type="xsd:double"&gt;-0.9587705&lt;/D&gt;&lt;/FQL&gt;&lt;FQL&gt;&lt;Q&gt;SPY^FMA_EVAL_EBIT(LTMA,NOW,NOW,M,"PORTAGG","MEANR")&lt;/Q&gt;&lt;R&gt;1&lt;/R&gt;&lt;C&gt;1&lt;/C&gt;&lt;D xsi:type="xsd:double"&gt;20.793622257573&lt;/D&gt;&lt;/FQL&gt;&lt;FQL&gt;&lt;Q&gt;SPY^P_PRICE(0)/P_PRICE_HIGH_PR(0,,,USD,,,"PRICE","INTRA","52W")&lt;/Q&gt;&lt;R&gt;1&lt;/R&gt;&lt;C&gt;1&lt;/C&gt;&lt;D xsi:type="xsd:double"&gt;0.9963558&lt;/D&gt;&lt;/FQL&gt;&lt;FQL&gt;&lt;Q&gt;EWC^FG_TOTAL_RETURNC(0,-3AM)&lt;/Q&gt;&lt;R&gt;1&lt;/R&gt;&lt;C&gt;1&lt;/C&gt;&lt;D xsi:type="xsd:double"&gt;5.6415915&lt;/D&gt;&lt;/FQL&gt;&lt;FQL&gt;&lt;Q&gt;EWC^SIZE(FG_CONSTITUENTS)&lt;/Q&gt;&lt;R&gt;1&lt;/R&gt;&lt;C&gt;1&lt;/C&gt;&lt;D xsi:type="xsd:long"&gt;88&lt;/D&gt;&lt;/FQL&gt;&lt;FQL&gt;&lt;Q&gt;TRYIT10Y-FDS^PCTCHG(FG_YIELD(0,,,,"YTM"),FG_YIELD(-1AM,,,,"YTM"))&lt;/Q&gt;&lt;R&gt;1&lt;/R&gt;&lt;C&gt;1&lt;/C&gt;&lt;D xsi:type="xsd:double"&gt;-5.9079328&lt;/D&gt;&lt;/FQL&gt;&lt;FQL&gt;&lt;Q&gt;TRYDE10Y-FDS^FG_YIELD(0,,,,"YTM")&lt;/Q&gt;&lt;R&gt;1&lt;/R&gt;&lt;C&gt;1&lt;/C&gt;&lt;D xsi:type="xsd:double"&gt;2.416&lt;/D&gt;&lt;/FQL&gt;&lt;FQL&gt;&lt;Q&gt;CC_NZ^IMF_IFS_RCPI_Q(0)&lt;/Q&gt;&lt;R&gt;1&lt;/R&gt;&lt;C&gt;1&lt;/C&gt;&lt;D xsi:type="xsd:double"&gt;4.655029&lt;/D&gt;&lt;/FQL&gt;&lt;FQL&gt;&lt;Q&gt;EWI^JULIAN(FMA_DIV_YLD(NTMA,NOW,NOW,M,"PORTAGG","MEANR").DATES)&lt;/Q&gt;&lt;R&gt;1&lt;/R&gt;&lt;C&gt;1&lt;/C&gt;&lt;D xsi:type="xsd:long"&gt;45351&lt;/D&gt;&lt;/FQL&gt;&lt;FQL&gt;&lt;Q&gt;SPY^FMA_EVAL_EBITDA(NTMA,0,,,"PORTAGG","MEANR")&lt;/Q&gt;&lt;R&gt;1&lt;/R&gt;&lt;C&gt;1&lt;/C&gt;&lt;D xsi:type="xsd:double"&gt;14.2861351858689&lt;/D&gt;&lt;/FQL&gt;&lt;FQL&gt;&lt;Q&gt;EWL^FMA_EVAL_EBIT(LTMA,NOW,NOW,M,"PORTAGG","MEANR")&lt;/Q&gt;&lt;R&gt;1&lt;/R&gt;&lt;C&gt;1&lt;/C&gt;&lt;D xsi:type="xsd:double"&gt;16.6730710815139&lt;/D&gt;&lt;/FQL&gt;&lt;FQL&gt;&lt;Q&gt;TRYAU10Y-FDS^PCTCHG(FG_YIELD(0,,,,"YTM"),FG_YIELD(-1AM,,,,"YTM"))&lt;/Q&gt;&lt;R&gt;1&lt;/R&gt;&lt;C&gt;1&lt;/C&gt;&lt;D xsi:type="xsd:double"&gt;-1.9650079&lt;/D&gt;&lt;/FQL&gt;&lt;FQL&gt;&lt;Q&gt;EWA^JULIAN(FMA_ROE(NTMA,-20AY,NOW,FY,"PORTAGG","MEANR").DATES)&lt;/Q&gt;&lt;R&gt;20&lt;/R&gt;&lt;C&gt;1&lt;/C&gt;&lt;D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xsi:type="xsd:long"&gt;45289&lt;/D&gt;&lt;/FQL&gt;&lt;FQL&gt;&lt;Q&gt;CAGDPY@NL^EE_ACTUAL_ANNUAL(MED,+1)&lt;/Q&gt;&lt;R&gt;1&lt;/R&gt;&lt;C&gt;1&lt;/C&gt;&lt;D xsi:type="xsd:double"&gt;9&lt;/D&gt;&lt;/FQL&gt;&lt;FQL&gt;&lt;Q&gt;USDSEK^FG_PRICE_CHANGE(0,-3AM)&lt;/Q&gt;&lt;R&gt;1&lt;/R&gt;&lt;C&gt;1&lt;/C&gt;&lt;D xsi:type="xsd:double"&gt;3.478384&lt;/D&gt;&lt;/FQL&gt;&lt;FQL&gt;&lt;Q&gt;USDCAD^STD(FG_PRICE_CHANGE(0,-3AY,M))&lt;/Q&gt;&lt;R&gt;1&lt;/R&gt;&lt;C&gt;1&lt;/C&gt;&lt;D xsi:type="xsd:double"&gt;1.88393951090363&lt;/D&gt;&lt;/FQL&gt;&lt;FQL&gt;&lt;Q&gt;EWC^FMA_EPS(NTMA,-20AY,0,CY,,"PORTAGG","MEANR")&lt;/Q&gt;&lt;R&gt;20&lt;/R&gt;&lt;C&gt;1&lt;/C&gt;&lt;D xsi:type="xsd:double"&gt;1.20309203563583&lt;/D&gt;&lt;D xsi:type="xsd:double"&gt;1.51116357259943&lt;/D&gt;&lt;D xsi:type="xsd:double"&gt;1.75142389864603&lt;/D&gt;&lt;D xsi:type="xsd:double"&gt;2.13167450038286&lt;/D&gt;&lt;D xsi:type="xsd:double"&gt;1.71974218387406&lt;/D&gt;&lt;D xsi:type="xsd:double"&gt;1.79551827424964&lt;/D&gt;&lt;D xsi:type="xsd:double"&gt;2.09754276006241&lt;/D&gt;&lt;D xsi:type="xsd:double"&gt;2.2894893869441&lt;/D&gt;&lt;D xsi:type="xsd:double"&gt;2.21761530023934&lt;/D&gt;&lt;D xsi:type="xsd:double"&gt;2.02017545762442&lt;/D&gt;&lt;D xsi:type="xsd:double"&gt;1.86130476812284&lt;/D&gt;&lt;D xsi:type="xsd:double"&gt;1.52246252495242&lt;/D&gt;&lt;D xsi:type="xsd:double"&gt;1.66157074539786&lt;/D&gt;&lt;D xsi:type="xsd:double"&gt;1.86172454535832&lt;/D&gt;&lt;D xsi:type="xsd:double"&gt;1.97740509819126&lt;/D&gt;&lt;D xsi:type="xsd:double"&gt;2.07393921799229&lt;/D&gt;&lt;D xsi:type="xsd:double"&gt;1.95784087398727&lt;/D&gt;&lt;D xsi:type="xsd:double"&gt;2.66448337817763&lt;/D&gt;&lt;D xsi:type="xsd:double"&gt;2.74920456102042&lt;/D&gt;&lt;D xsi:type="xsd:double"&gt;2.68263358415049&lt;/D&gt;&lt;/FQL&gt;&lt;FQL&gt;&lt;Q&gt;DDR3512M-FDS^FG_PRICE_CHANGE(0,-1AY)&lt;/Q&gt;&lt;R&gt;1&lt;/R&gt;&lt;C&gt;1&lt;/C&gt;&lt;D xsi:type="xsd:double"&gt;-16.79958418834&lt;/D&gt;&lt;/FQL&gt;&lt;FQL&gt;&lt;Q&gt;EWN^P_PRICE(0)/P_PRICE_HIGH_PR(0,,,USD,,,"PRICE","INTRA","52W")&lt;/Q&gt;&lt;R&gt;1&lt;/R&gt;&lt;C&gt;1&lt;/C&gt;&lt;D xsi:type="xsd:double"&gt;0.9873949&lt;/D&gt;&lt;/FQL&gt;&lt;FQL&gt;&lt;Q&gt;SPY^FMA_PCT_ABOVE_MAVG(200,0,,,,"PORTAGG")&lt;/Q&gt;&lt;R&gt;1&lt;/R&gt;&lt;C&gt;1&lt;/C&gt;&lt;D xsi:type="xsd:double"&gt;79.1252485089463&lt;/D&gt;&lt;/FQL&gt;&lt;FQL&gt;&lt;Q&gt;EWC^P_PRICE(0)/P_PRICE_HIGH_PR(0,,,USD,,,"PRICE","INTRA","52W")&lt;/Q&gt;&lt;R&gt;1&lt;/R&gt;&lt;C&gt;1&lt;/C&gt;&lt;D xsi:type="xsd:double"&gt;0.99323976&lt;/D&gt;&lt;/FQL&gt;&lt;FQL&gt;&lt;Q&gt;EWA^FG_ROE(0)&lt;/Q&gt;&lt;R&gt;1&lt;/R&gt;&lt;C&gt;1&lt;/C&gt;&lt;D xsi:type="xsd:double"&gt;12.894826753035&lt;/D&gt;&lt;/FQL&gt;&lt;FQL&gt;&lt;Q&gt;REFFFUND-FDS^PROPER_NAME(0,,,"SECURITY","NAME")&lt;/Q&gt;&lt;R&gt;1&lt;/R&gt;&lt;C&gt;1&lt;/C&gt;&lt;D xsi:type="xsd:string"&gt;US Federal Funds Target Rate&lt;/D&gt;&lt;/FQL&gt;&lt;FQL&gt;&lt;Q&gt;EWI^FMA_PE(LTM,0,,,"PORTAGG","MEANR")&lt;/Q&gt;&lt;R&gt;1&lt;/R&gt;&lt;C&gt;1&lt;/C&gt;&lt;D xsi:type="xsd:double"&gt;10.8395535632734&lt;/D&gt;&lt;/FQL&gt;&lt;FQL&gt;&lt;Q&gt;EWG^JULIAN(FMA_DIV_YLD(NTMA,NOW,NOW,M,"PORTAGG","MEANR").DATES)&lt;/Q&gt;&lt;R&gt;1&lt;/R&gt;&lt;C&gt;1&lt;/C&gt;&lt;D xsi:type="xsd:long"&gt;45351&lt;/D&gt;&lt;/FQL&gt;&lt;FQL&gt;&lt;Q&gt;USO^P_PRICE(0)/P_PRICE_HIGH_PR(0,,,USD,,,"PRICE","INTRA","52W")&lt;/Q&gt;&lt;R&gt;1&lt;/R&gt;&lt;C&gt;1&lt;/C&gt;&lt;D xsi:type="xsd:double"&gt;0.9223196&lt;/D&gt;&lt;/FQL&gt;&lt;FQL&gt;&lt;Q&gt;EWD^FMA_COS_DOWN("EPS","1M",+1,0,,,"PORTAGG","MEANR")&lt;/Q&gt;&lt;R&gt;1&lt;/R&gt;&lt;C&gt;1&lt;/C&gt;&lt;D xsi:type="xsd:double"&gt;14&lt;/D&gt;&lt;/FQL&gt;&lt;FQL&gt;&lt;Q&gt;ENZL^FG_ROE(0)&lt;/Q&gt;&lt;R&gt;1&lt;/R&gt;&lt;C&gt;1&lt;/C&gt;&lt;D xsi:type="xsd:double"&gt;5.55285269385473&lt;/D&gt;&lt;/FQL&gt;&lt;FQL&gt;&lt;Q&gt;TRYAU10Y-FDS^PCTCHG(FG_YIELD(0,,,,"YTM"),FG_YIELD(-3AM,,,,"YTM"))&lt;/Q&gt;&lt;R&gt;1&lt;/R&gt;&lt;C&gt;1&lt;/C&gt;&lt;D xsi:type="xsd:double"&gt;1.8168231&lt;/D&gt;&lt;/FQL&gt;&lt;FQL&gt;&lt;Q&gt;TRYPH10Y-FDS^FG_YIELD(-10AY,0,Y,,"YTM")&lt;/Q&gt;&lt;R&gt;10&lt;/R&gt;&lt;C&gt;1&lt;/C&gt;&lt;D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xsi:type="xsd:double"&gt;6.0028777&lt;/D&gt;&lt;/FQL&gt;&lt;FQL&gt;&lt;Q&gt;USDSEK^FG_PRICE_CHANGE(0,-1AM)&lt;/Q&gt;&lt;R&gt;1&lt;/R&gt;&lt;C&gt;1&lt;/C&gt;&lt;D xsi:type="xsd:double"&gt;0.77973604&lt;/D&gt;&lt;/FQL&gt;&lt;FQL&gt;&lt;Q&gt;EWA^FMA_DIV_YLD(NTMA,-10AY,0,AM,"PORTAGG","MEANR")&lt;/Q&gt;&lt;R&gt;121&lt;/R&gt;&lt;C&gt;1&lt;/C&gt;&lt;D xsi:type="xsd:double"&gt;4.90235752992007&lt;/D&gt;&lt;D xsi:type="xsd:double"&gt;4.77312567452035&lt;/D&gt;&lt;D xsi:type="xsd:double"&gt;4.83367520609209&lt;/D&gt;&lt;D xsi:type="xsd:double"&gt;4.84150427480854&lt;/D&gt;&lt;D xsi:type="xsd:double"&gt;4.71964754840497&lt;/D&gt;&lt;D xsi:type="xsd:double"&gt;4.67209708678489&lt;/D&gt;&lt;D xsi:type="xsd:double"&gt;4.9053239947119&lt;/D&gt;&lt;D xsi:type="xsd:double"&gt;5.01102946748131&lt;/D&gt;&lt;D xsi:type="xsd:double"&gt;5.06095179277994&lt;/D&gt;&lt;D xsi:type="xsd:double"&gt;5.03889726230921&lt;/D&gt;&lt;D xsi:type="xsd:double"&gt;4.99556973033838&lt;/D&gt;&lt;D xsi:type="xsd:double"&gt;4.61014099572624&lt;/D&gt;&lt;D xsi:type="xsd:double"&gt;4.52666079882994&lt;/D&gt;&lt;D xsi:type="xsd:double"&gt;4.60992759053469&lt;/D&gt;&lt;D xsi:type="xsd:double"&gt;4.7999728896284&lt;/D&gt;&lt;D xsi:type="xsd:double"&gt;4.84456711366352&lt;/D&gt;&lt;D xsi:type="xsd:double"&gt;4.78568613097617&lt;/D&gt;&lt;D xsi:type="xsd:double"&gt;5.26320564885613&lt;/D&gt;&lt;D xsi:type="xsd:double"&gt;5.42904275644225&lt;/D&gt;&lt;D xsi:type="xsd:double"&gt;5.21382501664238&lt;/D&gt;&lt;D xsi:type="xsd:double"&gt;5.19537772535675&lt;/D&gt;&lt;D xsi:type="xsd:double"&gt;5.31689545169299&lt;/D&gt;&lt;D xsi:type="xsd:double"&gt;5.35147314384404&lt;/D&gt;&lt;D xsi:type="xsd:double"&gt;5.10804248493358&lt;/D&gt;&lt;D xsi:type="xsd:double"&gt;4.73070605151964&lt;/D&gt;&lt;D xsi:type="xsd:double"&gt;4.63643750181721&lt;/D&gt;&lt;D xsi:type="xsd:double"&gt;4.58241801264873&lt;/D&gt;&lt;D xsi:type="xsd:double"&gt;4.64394461983854&lt;/D&gt;&lt;D xsi:type="xsd:double"&gt;4.45656344404904&lt;/D&gt;&lt;D xsi:type="xsd:double"&gt;4.44739351973754&lt;/D&gt;&lt;D xsi:type="xsd:double"&gt;4.61841005869796&lt;/D&gt;&lt;D xsi:type="xsd:double"&gt;4.5518764372082&lt;/D&gt;&lt;D xsi:type="xsd:double"&gt;4.63780758012875&lt;/D&gt;&lt;D xsi:type="xsd:double"&gt;4.55967041523736&lt;/D&gt;&lt;D xsi:type="xsd:double"&gt;4.53116025197695&lt;/D&gt;&lt;D xsi:type="xsd:double"&gt;4.49200623589042&lt;/D&gt;&lt;D xsi:type="xsd:double"&gt;4.56958160692555&lt;/D&gt;&lt;D xsi:type="xsd:double"&gt;4.53088184771634&lt;/D&gt;&lt;D xsi:type="xsd:double"&gt;4.6499430988821&lt;/D&gt;&lt;D xsi:type="xsd:double"&gt;4.71023573682541&lt;/D&gt;&lt;D xsi:type="xsd:double"&gt;4.58680000059446&lt;/D&gt;&lt;D xsi:type="xsd:double"&gt;4.5683663469799&lt;/D&gt;&lt;D xsi:type="xsd:double"&gt;4.63136904437332&lt;/D&gt;&lt;D xsi:type="xsd:double"&gt;4.48119487303092&lt;/D&gt;&lt;D xsi:type="xsd:double"&gt;4.48889276299518&lt;/D&gt;&lt;D xsi:type="xsd:double"&gt;4.46770218521839&lt;/D&gt;&lt;D xsi:type="xsd:double"&gt;4.53071806952728&lt;/D&gt;&lt;D xsi:type="xsd:double"&gt;4.64090995537948&lt;/D&gt;&lt;D xsi:type="xsd:double"&gt;4.69058545528695&lt;/D&gt;&lt;D xsi:type="xsd:double"&gt;4.79620307397167&lt;/D&gt;&lt;D xsi:type="xsd:double"&gt;4.62973655716039&lt;/D&gt;&lt;D xsi:type="xsd:double"&gt;4.61511494628832&lt;/D&gt;&lt;D xsi:type="xsd:double"&gt;4.56786422787026&lt;/D&gt;&lt;D xsi:type="xsd:double"&gt;4.59813769474829&lt;/D&gt;&lt;D xsi:type="xsd:double"&gt;4.73591209126864&lt;/D&gt;&lt;D xsi:type="xsd:double"&gt;4.97791348122911&lt;/D&gt;&lt;D xsi:type="xsd:double"&gt;5.30880524892307&lt;/D&gt;&lt;D xsi:type="xsd:double"&gt;5.52005221606656&lt;/D&gt;&lt;D xsi:type="xsd:double"&gt;5.08322022534321&lt;/D&gt;&lt;D xsi:type="xsd:double"&gt;4.95236521705367&lt;/D&gt;&lt;D xsi:type="xsd:double"&gt;4.95890141355482&lt;/D&gt;&lt;D xsi:type="xsd:double"&gt;4.90718907492549&lt;/D&gt;&lt;D xsi:type="xsd:double"&gt;4.71613457700103&lt;/D&gt;&lt;D xsi:type="xsd:double"&gt;4.60024006920032&lt;/D&gt;&lt;D xsi:type="xsd:double"&gt;4.56579935344288&lt;/D&gt;&lt;D xsi:type="xsd:double"&gt;4.69040763266036&lt;/D&gt;&lt;D xsi:type="xsd:double"&gt;4.43186392512945&lt;/D&gt;&lt;D xsi:type="xsd:double"&gt;4.42962122276312&lt;/D&gt;&lt;D xsi:type="xsd:double"&gt;4.39364617199346&lt;/D&gt;&lt;D xsi:type="xsd:double"&gt;4.2428234663907&lt;/D&gt;&lt;D xsi:type="xsd:double"&gt;4.13622291090971&lt;/D&gt;&lt;D xsi:type="xsd:double"&gt;4.05158117649965&lt;/D&gt;&lt;D xsi:type="xsd:double"&gt;5.82365503740817&lt;/D&gt;&lt;D xsi:type="xsd:double"&gt;4.44418790623332&lt;/D&gt;&lt;D xsi:type="xsd:double"&gt;3.72989091403087&lt;/D&gt;&lt;D xsi:type="xsd:double"&gt;3.43722112449029&lt;/D&gt;&lt;D xsi:type="xsd:double"&gt;3.35540221421782&lt;/D&gt;&lt;D xsi:type="xsd:double"&gt;3.37951815223671&lt;/D&gt;&lt;D xsi:type="xsd:double"&gt;3.6630647290272&lt;/D&gt;&lt;D xsi:type="xsd:double"&gt;3.57124192534631&lt;/D&gt;&lt;D xsi:type="xsd:double"&gt;3.47169772803671&lt;/D&gt;&lt;D xsi:type="xsd:double"&gt;3.53695164165947&lt;/D&gt;&lt;D xsi:type="xsd:double"&gt;3.50137256799601&lt;/D&gt;&lt;D xsi:type="xsd:double"&gt;3.84654470818352&lt;/D&gt;&lt;D xsi:type="xsd:double"&gt;3.9639607569013&lt;/D&gt;&lt;D xsi:type="xsd:double"&gt;3.91833984229459&lt;/D&gt;&lt;D xsi:type="xsd:double"&gt;3.94210798406471&lt;/D&gt;&lt;D xsi:type="xsd:double"&gt;3.95507700020333&lt;/D&gt;&lt;D xsi:type="xsd:double"&gt;4.22723990377051&lt;/D&gt;&lt;D xsi:type="xsd:double"&gt;4.12855335985804&lt;/D&gt;&lt;D xsi:type="xsd:double"&gt;4.1429280469439&lt;/D&gt;&lt;D xsi:type="xsd:double"&gt;3.937438962787&lt;/D&gt;&lt;D xsi:type="xsd:double"&gt;4.01240771743786&lt;/D&gt;&lt;D xsi:type="xsd:double"&gt;3.9357299689691&lt;/D&gt;&lt;D xsi:type="xsd:double"&gt;4.05003811765821&lt;/D&gt;&lt;D xsi:type="xsd:double"&gt;4.30660238195959&lt;/D&gt;&lt;D xsi:type="xsd:double"&gt;4.2582308309597&lt;/D&gt;&lt;D xsi:type="xsd:double"&gt;4.27382313533162&lt;/D&gt;&lt;D xsi:type="xsd:double"&gt;4.68055501534659&lt;/D&gt;&lt;D xsi:type="xsd:double"&gt;5.27110311590665&lt;/D&gt;&lt;D xsi:type="xsd:double"&gt;4.99620126736624&lt;/D&gt;&lt;D xsi:type="xsd:double"&gt;4.68460689736722&lt;/D&gt;&lt;D xsi:type="xsd:double"&gt;5.04361467201897&lt;/D&gt;&lt;D xsi:type="xsd:double"&gt;5.14764239873597&lt;/D&gt;&lt;D xsi:type="xsd:double"&gt;4.66598646948052&lt;/D&gt;&lt;D xsi:type="xsd:double"&gt;4.52485523931848&lt;/D&gt;&lt;D xsi:type="xsd:double"&gt;4.28360773887664&lt;/D&gt;&lt;D xsi:type="xsd:double"&gt;4.37839445310854&lt;/D&gt;&lt;D xsi:type="xsd:double"&gt;4.7080918755592&lt;/D&gt;&lt;D xsi:type="xsd:double"&gt;4.40478897854091&lt;/D&gt;&lt;D xsi:type="xsd:double"&gt;4.41583578857412&lt;/D&gt;&lt;D xsi:type="xsd:double"&gt;4.24703892051032&lt;/D&gt;&lt;D xsi:type="xsd:double"&gt;4.15809327747862&lt;/D&gt;&lt;D xsi:type="xsd:double"&gt;4.33518885762488&lt;/D&gt;&lt;D xsi:type="xsd:double"&gt;4.29266856384188&lt;/D&gt;&lt;D xsi:type="xsd:double"&gt;4.44436672559962&lt;/D&gt;&lt;D xsi:type="xsd:double"&gt;4.31392443644007&lt;/D&gt;&lt;D xsi:type="xsd:double"&gt;4.02645088005137&lt;/D&gt;&lt;D xsi:type="xsd:double"&gt;4.09492180799788&lt;/D&gt;&lt;D xsi:type="xsd:double"&gt;4.01304756724311&lt;/D&gt;&lt;D xsi:type="xsd:double"&gt;4.00597579184285&lt;/D&gt;&lt;/FQL&gt;&lt;FQL&gt;&lt;Q&gt;VWO^FMA_PCT_ABOVE_MAVG(200,0,,,,"PORTAGG")&lt;/Q&gt;&lt;R&gt;1&lt;/R&gt;&lt;C&gt;1&lt;/C&gt;&lt;D xsi:type="xsd:double"&gt;32.7100747910251&lt;/D&gt;&lt;/FQL&gt;&lt;FQL&gt;&lt;Q&gt;QQQ^P_PRICE(0)/P_PRICE_HIGH_PR(0,,,USD,,,"PRICE","INTRA","52W")&lt;/Q&gt;&lt;R&gt;1&lt;/R&gt;&lt;C&gt;1&lt;/C&gt;&lt;D xsi:type="xsd:double"&gt;0.99227756&lt;/D&gt;&lt;/FQL&gt;&lt;FQL&gt;&lt;Q&gt;EWL^FMA_PCT_ABOVE_MAVG(200,0,,,,"PORTAGG")&lt;/Q&gt;&lt;R&gt;1&lt;/R&gt;&lt;C&gt;1&lt;/C&gt;&lt;D xsi:type="xsd:double"&gt;62.2222222222222&lt;/D&gt;&lt;/FQL&gt;&lt;FQL&gt;&lt;Q&gt;FXI^FMA_COS_DOWN("EPS","1M",+1,0,,,"PORTAGG","MEANR")&lt;/Q&gt;&lt;R&gt;1&lt;/R&gt;&lt;C&gt;1&lt;/C&gt;&lt;D xsi:type="xsd:double"&gt;19&lt;/D&gt;&lt;/FQL&gt;&lt;FQL&gt;&lt;Q&gt;ENZL^FG_COMPANY_NAME&lt;/Q&gt;&lt;R&gt;1&lt;/R&gt;&lt;C&gt;1&lt;/C&gt;&lt;D xsi:type="xsd:string"&gt;iShares MSCI New Zealand ETF&lt;/D&gt;&lt;/FQL&gt;&lt;FQL&gt;&lt;Q&gt;REFGBBANK-FDS^FG_YIELD(NOW,,,0)&lt;/Q&gt;&lt;R&gt;1&lt;/R&gt;&lt;C&gt;1&lt;/C&gt;&lt;D xsi:type="xsd:double"&gt;5.25&lt;/D&gt;&lt;/FQL&gt;&lt;FQL&gt;&lt;Q&gt;EWC^FMA_EVAL_EBIT(LTMA,NOW,NOW,M,"PORTAGG","MEANR")&lt;/Q&gt;&lt;R&gt;1&lt;/R&gt;&lt;C&gt;1&lt;/C&gt;&lt;D xsi:type="xsd:double"&gt;16.3678486891031&lt;/D&gt;&lt;/FQL&gt;&lt;FQL&gt;&lt;Q&gt;EWG^FG_COMPANY_NAME&lt;/Q&gt;&lt;R&gt;1&lt;/R&gt;&lt;C&gt;1&lt;/C&gt;&lt;D xsi:type="xsd:string"&gt;iShares MSCI Germany ETF&lt;/D&gt;&lt;/FQL&gt;&lt;FQL&gt;&lt;Q&gt;USO^FG_TOTAL_RETURNC(0,-6AM)&lt;/Q&gt;&lt;R&gt;1&lt;/R&gt;&lt;C&gt;1&lt;/C&gt;&lt;D xsi:type="xsd:double"&gt;-4.4646263&lt;/D&gt;&lt;/FQL&gt;&lt;FQL&gt;&lt;Q&gt;EWJ^FG_PRICE_MAVG(0,,,,200)&lt;/Q&gt;&lt;R&gt;1&lt;/R&gt;&lt;C&gt;1&lt;/C&gt;&lt;D xsi:type="xsd:double"&gt;63.19505&lt;/D&gt;&lt;/FQL&gt;&lt;FQL&gt;&lt;Q&gt;EWJ^FG_COMPANY_NAME&lt;/Q&gt;&lt;R&gt;1&lt;/R&gt;&lt;C&gt;1&lt;/C&gt;&lt;D xsi:type="xsd:string"&gt;iShares MSCI Japan ETF&lt;/D&gt;&lt;/FQL&gt;&lt;FQL&gt;&lt;Q&gt;SPY^FG_TOTAL_RETURNC(0,-1AM)&lt;/Q&gt;&lt;R&gt;1&lt;/R&gt;&lt;C&gt;1&lt;/C&gt;&lt;D xsi:type="xsd:double"&gt;5.354607&lt;/D&gt;&lt;/FQL&gt;&lt;FQL&gt;&lt;Q&gt;EWN^FG_TOTAL_RETURNC(0,-6AM)&lt;/Q&gt;&lt;R&gt;1&lt;/R&gt;&lt;C&gt;1&lt;/C&gt;&lt;D xsi:type="xsd:double"&gt;29.417824&lt;/D&gt;&lt;/FQL&gt;&lt;FQL&gt;&lt;Q&gt;QQQ^FG_TOTAL_RETURNC(0,-6AM)&lt;/Q&gt;&lt;R&gt;1&lt;/R&gt;&lt;C&gt;1&lt;/C&gt;&lt;D xsi:type="xsd:double"&gt;25.070023&lt;/D&gt;&lt;/FQL&gt;&lt;FQL&gt;&lt;Q&gt;EWC^FG_TOTAL_RETURNC(0,-1AM)&lt;/Q&gt;&lt;R&gt;1&lt;/R&gt;&lt;C&gt;1&lt;/C&gt;&lt;D xsi:type="xsd:double"&gt;4.6862125&lt;/D&gt;&lt;/FQL&gt;&lt;FQL&gt;&lt;Q&gt;EWD^FMA_COS_UP("EPS","1M",+1,0,,,"PORTAGG","MEANR")&lt;/Q&gt;&lt;R&gt;1&lt;/R&gt;&lt;C&gt;1&lt;/C&gt;&lt;D xsi:type="xsd:double"&gt;9&lt;/D&gt;&lt;/FQL&gt;&lt;FQL&gt;&lt;Q&gt;EWD^FMA_EVAL_EBIT(LTMA,NOW,NOW,M,"PORTAGG","MEANR")&lt;/Q&gt;&lt;R&gt;1&lt;/R&gt;&lt;C&gt;1&lt;/C&gt;&lt;D xsi:type="xsd:double"&gt;15.891919424764&lt;/D&gt;&lt;/FQL&gt;&lt;FQL&gt;&lt;Q&gt;EWC^FMA_EVAL_EBITDA(NTMA,0,,,"PORTAGG","MEANR")&lt;/Q&gt;&lt;R&gt;1&lt;/R&gt;&lt;C&gt;1&lt;/C&gt;&lt;D xsi:type="xsd:double"&gt;9.96897962727802&lt;/D&gt;&lt;/FQL&gt;&lt;FQL&gt;&lt;Q&gt;EWU^P_PRICE(0)/P_PRICE_HIGH_PR(0,,,USD,,,"PRICE","INTRA","52W")&lt;/Q&gt;&lt;R&gt;1&lt;/R&gt;&lt;C&gt;1&lt;/C&gt;&lt;D xsi:type="xsd:double"&gt;0.99515355&lt;/D&gt;&lt;/FQL&gt;&lt;FQL&gt;&lt;Q&gt;TRYCN10Y-FDS^FG_YIELD(-10AY,0,Y,,"YTM")&lt;/Q&gt;&lt;R&gt;10&lt;/R&gt;&lt;C&gt;1&lt;/C&gt;&lt;D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xsi:type="xsd:double"&gt;2.574&lt;/D&gt;&lt;/FQL&gt;&lt;FQL&gt;&lt;Q&gt;CAGDPY@NL^EE_ACTUAL_ANNUAL(MED,0)&lt;/Q&gt;&lt;R&gt;1&lt;/R&gt;&lt;C&gt;1&lt;/C&gt;&lt;D xsi:type="xsd:double"&gt;9.1&lt;/D&gt;&lt;/FQL&gt;&lt;FQL&gt;&lt;Q&gt;USDCAD^STD(FG_PRICE_CHANGE(0,-1AY,AM))&lt;/Q&gt;&lt;R&gt;1&lt;/R&gt;&lt;C&gt;1&lt;/C&gt;&lt;D xsi:type="xsd:double"&gt;1.56034228858647&lt;/D&gt;&lt;/FQL&gt;&lt;FQL&gt;&lt;Q&gt;QQQ^P_PRICE_RETURNS_PR('52W',2,-10AY,0,AM)&lt;/Q&gt;&lt;R&gt;121&lt;/R&gt;&lt;C&gt;1&lt;/C&gt;&lt;D xsi:type="xsd:double"&gt;33.09697&lt;/D&gt;&lt;D xsi:type="xsd:double"&gt;29.561579&lt;/D&gt;&lt;D xsi:type="xsd:double"&gt;21.516396&lt;/D&gt;&lt;D xsi:type="xsd:double"&gt;33.045624&lt;/D&gt;&lt;D xsi:type="xsd:double"&gt;30.682755&lt;/D&gt;&lt;D xsi:type="xsd:double"&gt;33.148838&lt;/D&gt;&lt;D xsi:type="xsd:double"&gt;27.99865&lt;/D&gt;&lt;D xsi:type="xsd:double"&gt;19.394815&lt;/D&gt;&lt;D xsi:type="xsd:double"&gt;26.168215&lt;/D&gt;&lt;D xsi:type="xsd:double"&gt;23.690414&lt;/D&gt;&lt;D xsi:type="xsd:double"&gt;17.112518&lt;/D&gt;&lt;D xsi:type="xsd:double"&gt;22.231102&lt;/D&gt;&lt;D xsi:type="xsd:double"&gt;21.817505&lt;/D&gt;&lt;D xsi:type="xsd:double"&gt;25.817299&lt;/D&gt;&lt;D xsi:type="xsd:double"&gt;25.852907&lt;/D&gt;&lt;D xsi:type="xsd:double"&gt;19.865501&lt;/D&gt;&lt;D xsi:type="xsd:double"&gt;19.9291&lt;/D&gt;&lt;D xsi:type="xsd:double"&gt;4.6496034&lt;/D&gt;&lt;D xsi:type="xsd:double"&gt;6.8445683&lt;/D&gt;&lt;D xsi:type="xsd:double"&gt;12.194788&lt;/D&gt;&lt;D xsi:type="xsd:double"&gt;11.621881&lt;/D&gt;&lt;D xsi:type="xsd:double"&gt;7.539487&lt;/D&gt;&lt;D xsi:type="xsd:double"&gt;-0.25365353&lt;/D&gt;&lt;D xsi:type="xsd:double"&gt;-4.662567&lt;/D&gt;&lt;D xsi:type="xsd:double"&gt;0.40092468&lt;/D&gt;&lt;D xsi:type="xsd:double"&gt;3.5131454&lt;/D&gt;&lt;D xsi:type="xsd:double"&gt;-2.1627903&lt;/D&gt;&lt;D xsi:type="xsd:double"&gt;-1.0710359&lt;/D&gt;&lt;D xsi:type="xsd:double"&gt;0.48030615&lt;/D&gt;&lt;D xsi:type="xsd:double"&gt;7.675624&lt;/D&gt;&lt;D xsi:type="xsd:double"&gt;13.06554&lt;/D&gt;&lt;D xsi:type="xsd:double"&gt;11.1306305&lt;/D&gt;&lt;D xsi:type="xsd:double"&gt;4.7187924&lt;/D&gt;&lt;D xsi:type="xsd:double"&gt;9.685457&lt;/D&gt;&lt;D xsi:type="xsd:double"&gt;23.69913&lt;/D&gt;&lt;D xsi:type="xsd:double"&gt;29.791714&lt;/D&gt;&lt;D xsi:type="xsd:double"&gt;21.667349&lt;/D&gt;&lt;D xsi:type="xsd:double"&gt;21.033455&lt;/D&gt;&lt;D xsi:type="xsd:double"&gt;32.2361&lt;/D&gt;&lt;D xsi:type="xsd:double"&gt;32.273853&lt;/D&gt;&lt;D xsi:type="xsd:double"&gt;28.643942&lt;/D&gt;&lt;D xsi:type="xsd:double"&gt;21.531296&lt;/D&gt;&lt;D xsi:type="xsd:double"&gt;23.493444&lt;/D&gt;&lt;D xsi:type="xsd:double"&gt;27.601814&lt;/D&gt;&lt;D xsi:type="xsd:double"&gt;32.493782&lt;/D&gt;&lt;D xsi:type="xsd:double"&gt;31.983448&lt;/D&gt;&lt;D xsi:type="xsd:double"&gt;36.491657&lt;/D&gt;&lt;D xsi:type="xsd:double"&gt;27.49989&lt;/D&gt;&lt;D xsi:type="xsd:double"&gt;29.705727&lt;/D&gt;&lt;D xsi:type="xsd:double"&gt;23.471487&lt;/D&gt;&lt;D xsi:type="xsd:double"&gt;23.23264&lt;/D&gt;&lt;D xsi:type="xsd:double"&gt;25.857723&lt;/D&gt;&lt;D xsi:type="xsd:double"&gt;25.156902&lt;/D&gt;&lt;D xsi:type="xsd:double"&gt;28.904497&lt;/D&gt;&lt;D xsi:type="xsd:double"&gt;27.918743&lt;/D&gt;&lt;D xsi:type="xsd:double"&gt;17.558193&lt;/D&gt;&lt;D xsi:type="xsd:double"&gt;3.924942&lt;/D&gt;&lt;D xsi:type="xsd:double"&gt;-5.809766&lt;/D&gt;&lt;D xsi:type="xsd:double"&gt;0.50828457&lt;/D&gt;&lt;D xsi:type="xsd:double"&gt;5.0159574&lt;/D&gt;&lt;D xsi:type="xsd:double"&gt;10.328711&lt;/D&gt;&lt;D xsi:type="xsd:double"&gt;13.568056&lt;/D&gt;&lt;D xsi:type="xsd:double"&gt;8.915817&lt;/D&gt;&lt;D xsi:type="xsd:double"&gt;8.022345&lt;/D&gt;&lt;D xsi:type="xsd:double"&gt;7.6281667&lt;/D&gt;&lt;D xsi:type="xsd:double"&gt;5.5033445&lt;/D&gt;&lt;D xsi:type="xsd:double"&gt;4.1981697&lt;/D&gt;&lt;D xsi:type="xsd:double"&gt;12.779486&lt;/D&gt;&lt;D xsi:type="xsd:double"&gt;26.903963&lt;/D&gt;&lt;D xsi:type="xsd:double"&gt;40.269245&lt;/D&gt;&lt;D xsi:type="xsd:double"&gt;36.228214&lt;/D&gt;&lt;D xsi:type="xsd:double"&gt;35.27831&lt;/D&gt;&lt;D xsi:type="xsd:double"&gt;-4.432374&lt;/D&gt;&lt;D xsi:type="xsd:double"&gt;10.272657&lt;/D&gt;&lt;D xsi:type="xsd:double"&gt;26.945328&lt;/D&gt;&lt;D xsi:type="xsd:double"&gt;31.647682&lt;/D&gt;&lt;D xsi:type="xsd:double"&gt;39.325058&lt;/D&gt;&lt;D xsi:type="xsd:double"&gt;50.632786&lt;/D&gt;&lt;D xsi:type="xsd:double"&gt;41.537964&lt;/D&gt;&lt;D xsi:type="xsd:double"&gt;48.050953&lt;/D&gt;&lt;D xsi:type="xsd:double"&gt;44.72028&lt;/D&gt;&lt;D xsi:type="xsd:double"&gt;47.275149999999996&lt;/D&gt;&lt;D xsi:type="xsd:double"&gt;47.20906&lt;/D&gt;&lt;D xsi:type="xsd:double"&gt;40.67923&lt;/D&gt;&lt;D xsi:type="xsd:double"&gt;77.51554&lt;/D&gt;&lt;D xsi:type="xsd:double"&gt;66.629684&lt;/D&gt;&lt;D xsi:type="xsd:double"&gt;43.77197&lt;/D&gt;&lt;D xsi:type="xsd:double"&gt;42.035877&lt;/D&gt;&lt;D xsi:type="xsd:double"&gt;37.731255&lt;/D&gt;&lt;D xsi:type="xsd:double"&gt;32.110012&lt;/D&gt;&lt;D xsi:type="xsd:double"&gt;37.60573&lt;/D&gt;&lt;D xsi:type="xsd:double"&gt;33.463036&lt;/D&gt;&lt;D xsi:type="xsd:double"&gt;38.912212&lt;/D&gt;&lt;D xsi:type="xsd:double"&gt;26.59812&lt;/D&gt;&lt;D xsi:type="xsd:double"&gt;8.28104&lt;/D&gt;&lt;D xsi:type="xsd:double"&gt;3.214395&lt;/D&gt;&lt;D xsi:type="xsd:double"&gt;12.474918&lt;/D&gt;&lt;D xsi:type="xsd:double"&gt;-1.0399938&lt;/D&gt;&lt;D xsi:type="xsd:double"&gt;-11.786586&lt;/D&gt;&lt;D xsi:type="xsd:double"&gt;-17.92317&lt;/D&gt;&lt;D xsi:type="xsd:double"&gt;-14.513302&lt;/D&gt;&lt;D xsi:type="xsd:double"&gt;-10.8002&lt;/D&gt;&lt;D xsi:type="xsd:double"&gt;-22.076029&lt;/D&gt;&lt;D xsi:type="xsd:double"&gt;-26.54382&lt;/D&gt;&lt;D xsi:type="xsd:double"&gt;-29.790766&lt;/D&gt;&lt;D xsi:type="xsd:double"&gt;-29.226154&lt;/D&gt;&lt;D xsi:type="xsd:double"&gt;-21.277052&lt;/D&gt;&lt;D xsi:type="xsd:double"&gt;-13.270462&lt;/D&gt;&lt;D xsi:type="xsd:double"&gt;-10.673279&lt;/D&gt;&lt;D xsi:type="xsd:double"&gt;-4.52404&lt;/D&gt;&lt;D xsi:type="xsd:double"&gt;17.095543&lt;/D&gt;&lt;D xsi:type="xsd:double"&gt;29.673588&lt;/D&gt;&lt;D xsi:type="xsd:double"&gt;23.077179&lt;/D&gt;&lt;D xsi:type="xsd:double"&gt;13.516939&lt;/D&gt;&lt;D xsi:type="xsd:double"&gt;27.061808&lt;/D&gt;&lt;D xsi:type="xsd:double"&gt;32.66481&lt;/D&gt;&lt;D xsi:type="xsd:double"&gt;38.747322&lt;/D&gt;&lt;D xsi:type="xsd:double"&gt;50.069237&lt;/D&gt;&lt;D xsi:type="xsd:double"&gt;54.12755&lt;/D&gt;&lt;D xsi:type="xsd:double"&gt;45.747875&lt;/D&gt;&lt;D xsi:type="xsd:double"&gt;44.627773&lt;/D&gt;&lt;/FQL&gt;&lt;FQL&gt;&lt;Q&gt;PLATI-FDS^FG_PRICE_CHANGE(0,-3AM)&lt;/Q&gt;&lt;R&gt;1&lt;/R&gt;&lt;C&gt;1&lt;/C&gt;&lt;D xsi:type="xsd:double"&gt;-3.9460020768432&lt;/D&gt;&lt;/FQL&gt;&lt;FQL&gt;&lt;Q&gt;COPP-FDS^FG_PRICE_CHANGE(0,-3AM)&lt;/Q&gt;&lt;R&gt;1&lt;/R&gt;&lt;C&gt;1&lt;/C&gt;&lt;D xsi:type="xsd:double"&gt;3.53076627862352&lt;/D&gt;&lt;/FQL&gt;&lt;FQL&gt;&lt;Q&gt;EWI^FG_PRICE_MAVG(0,,,,200)&lt;/Q&gt;&lt;R&gt;1&lt;/R&gt;&lt;C&gt;1&lt;/C&gt;&lt;D xsi:type="xsd:double"&gt;32.55335&lt;/D&gt;&lt;/FQL&gt;&lt;FQL&gt;&lt;Q&gt;DBA^FG_TOTAL_RETURNC(0,-1AM)&lt;/Q&gt;&lt;R&gt;1&lt;/R&gt;&lt;C&gt;1&lt;/C&gt;&lt;D xsi:type="xsd:double"&gt;7.990968&lt;/D&gt;&lt;/FQL&gt;&lt;FQL&gt;&lt;Q&gt;CAGDPY@CA^EE_ACTUAL_ANNUAL(MED,+1)&lt;/Q&gt;&lt;R&gt;1&lt;/R&gt;&lt;C&gt;1&lt;/C&gt;&lt;D xsi:type="xsd:double"&gt;-0.7&lt;/D&gt;&lt;/FQL&gt;&lt;FQL&gt;&lt;Q&gt;EWG^P_PRICE(0)/P_PRICE_LOW_PR(0,,,USD,,,"PRICE","INTRA","52W")-1&lt;/Q&gt;&lt;R&gt;1&lt;/R&gt;&lt;C&gt;1&lt;/C&gt;&lt;D xsi:type="xsd:double"&gt;0.26735473&lt;/D&gt;&lt;/FQL&gt;&lt;FQL&gt;&lt;Q&gt;USDSEK^FG_PRICE_CHANGE(0,-1AY)&lt;/Q&gt;&lt;R&gt;1&lt;/R&gt;&lt;C&gt;1&lt;/C&gt;&lt;D xsi:type="xsd:double"&gt;1.1206388&lt;/D&gt;&lt;/FQL&gt;&lt;FQL&gt;&lt;Q&gt;EWU^P_PRICE_RETURNS_PR('52W',2,-10AY,0,AM)&lt;/Q&gt;&lt;R&gt;121&lt;/R&gt;&lt;C&gt;1&lt;/C&gt;&lt;D xsi:type="xsd:double"&gt;14.3556595&lt;/D&gt;&lt;D xsi:type="xsd:double"&gt;19.855618&lt;/D&gt;&lt;D xsi:type="xsd:double"&gt;15.471209&lt;/D&gt;&lt;D xsi:type="xsd:double"&gt;25.829947&lt;/D&gt;&lt;D xsi:type="xsd:double"&gt;16.84581&lt;/D&gt;&lt;D xsi:type="xsd:double"&gt;14.838982&lt;/D&gt;&lt;D xsi:type="xsd:double"&gt;7.4839473&lt;/D&gt;&lt;D xsi:type="xsd:double"&gt;-1.9281566&lt;/D&gt;&lt;D xsi:type="xsd:double"&gt;-0.4356444&lt;/D&gt;&lt;D xsi:type="xsd:double"&gt;-2.4322093&lt;/D&gt;&lt;D xsi:type="xsd:double"&gt;-7.8957853&lt;/D&gt;&lt;D xsi:type="xsd:double"&gt;-3.7953615&lt;/D&gt;&lt;D xsi:type="xsd:double"&gt;-0.3199458&lt;/D&gt;&lt;D xsi:type="xsd:double"&gt;-3.3530653&lt;/D&gt;&lt;D xsi:type="xsd:double"&gt;-2.514404&lt;/D&gt;&lt;D xsi:type="xsd:double"&gt;-6.518042&lt;/D&gt;&lt;D xsi:type="xsd:double"&gt;-6.665957&lt;/D&gt;&lt;D xsi:type="xsd:double"&gt;-12.428183&lt;/D&gt;&lt;D xsi:type="xsd:double"&gt;-13.396215&lt;/D&gt;&lt;D xsi:type="xsd:double"&gt;-3.1158447&lt;/D&gt;&lt;D xsi:type="xsd:double"&gt;-6.360203&lt;/D&gt;&lt;D xsi:type="xsd:double"&gt;-10.309023&lt;/D&gt;&lt;D xsi:type="xsd:double"&gt;-17.220188&lt;/D&gt;&lt;D xsi:type="xsd:double"&gt;-17.386263&lt;/D&gt;&lt;D xsi:type="xsd:double"&gt;-12.809772&lt;/D&gt;&lt;D xsi:type="xsd:double"&gt;-11.035567&lt;/D&gt;&lt;D xsi:type="xsd:double"&gt;-15.913791&lt;/D&gt;&lt;D xsi:type="xsd:double"&gt;-11.5283375&lt;/D&gt;&lt;D</t>
        </r>
      </text>
    </comment>
    <comment ref="A10" authorId="0" shapeId="0" xr:uid="{E96B8FCE-A6C1-4463-82F6-45C5BC09CB8E}">
      <text>
        <r>
          <rPr>
            <b/>
            <sz val="9"/>
            <color indexed="81"/>
            <rFont val="Tahoma"/>
            <charset val="1"/>
          </rPr>
          <t xml:space="preserve"> xsi:type="xsd:double"&gt;-13.343769&lt;/D&gt;&lt;D xsi:type="xsd:double"&gt;-7.494026&lt;/D&gt;&lt;D xsi:type="xsd:double"&gt;-2.231121&lt;/D&gt;&lt;D xsi:type="xsd:double"&gt;-8.797873&lt;/D&gt;&lt;D xsi:type="xsd:double"&gt;-8.504904&lt;/D&gt;&lt;D xsi:type="xsd:double"&gt;-0.01822114&lt;/D&gt;&lt;D xsi:type="xsd:double"&gt;13.619065&lt;/D&gt;&lt;D xsi:type="xsd:double"&gt;10.254669&lt;/D&gt;&lt;D xsi:type="xsd:double"&gt;6.911099&lt;/D&gt;&lt;D xsi:type="xsd:double"&gt;3.470993&lt;/D&gt;&lt;D xsi:type="xsd:double"&gt;13.928485&lt;/D&gt;&lt;D xsi:type="xsd:double"&gt;6.832421&lt;/D&gt;&lt;D xsi:type="xsd:double"&gt;13.602865&lt;/D&gt;&lt;D xsi:type="xsd:double"&gt;8.655632&lt;/D&gt;&lt;D xsi:type="xsd:double"&gt;13.860714&lt;/D&gt;&lt;D xsi:type="xsd:double"&gt;19.040918&lt;/D&gt;&lt;D xsi:type="xsd:double"&gt;19.338644&lt;/D&gt;&lt;D xsi:type="xsd:double"&gt;20.380688&lt;/D&gt;&lt;D xsi:type="xsd:double"&gt;24.749004&lt;/D&gt;&lt;D xsi:type="xsd:double"&gt;14.289963&lt;/D&gt;&lt;D xsi:type="xsd:double"&gt;11.094308&lt;/D&gt;&lt;D xsi:type="xsd:double"&gt;16.61805&lt;/D&gt;&lt;D xsi:type="xsd:double"&gt;11.35323&lt;/D&gt;&lt;D xsi:type="xsd:double"&gt;9.185421&lt;/D&gt;&lt;D xsi:type="xsd:double"&gt;6.611371&lt;/D&gt;&lt;D xsi:type="xsd:double"&gt;6.1629057&lt;/D&gt;&lt;D xsi:type="xsd:double"&gt;2.6301146&lt;/D&gt;&lt;D xsi:type="xsd:double"&gt;-3.8349986&lt;/D&gt;&lt;D xsi:type="xsd:double"&gt;-4.6031&lt;/D&gt;&lt;D xsi:type="xsd:double"&gt;-14.369422&lt;/D&gt;&lt;D xsi:type="xsd:double"&gt;-13.025451&lt;/D&gt;&lt;D xsi:type="xsd:double"&gt;-3.6597729&lt;/D&gt;&lt;D xsi:type="xsd:double"&gt;0.9967208&lt;/D&gt;&lt;D xsi:type="xsd:double"&gt;-3.1199574&lt;/D&gt;&lt;D xsi:type="xsd:double"&gt;-8.084572&lt;/D&gt;&lt;D xsi:type="xsd:double"&gt;-2.3589551&lt;/D&gt;&lt;D xsi:type="xsd:double"&gt;-2.4239063&lt;/D&gt;&lt;D xsi:type="xsd:double"&gt;-6.984818&lt;/D&gt;&lt;D xsi:type="xsd:double"&gt;-3.225422&lt;/D&gt;&lt;D xsi:type="xsd:double"&gt;4.548216&lt;/D&gt;&lt;D xsi:type="xsd:double"&gt;7.257402&lt;/D&gt;&lt;D xsi:type="xsd:double"&gt;20.379007&lt;/D&gt;&lt;D xsi:type="xsd:double"&gt;13.699282&lt;/D&gt;&lt;D xsi:type="xsd:double"&gt;5.458498&lt;/D&gt;&lt;D xsi:type="xsd:double"&gt;-37.58195&lt;/D&gt;&lt;D xsi:type="xsd:double"&gt;-26.937353&lt;/D&gt;&lt;D xsi:type="xsd:double"&gt;-19.69455&lt;/D&gt;&lt;D xsi:type="xsd:double"&gt;-16.585796&lt;/D&gt;&lt;D xsi:type="xsd:double"&gt;-14.142191&lt;/D&gt;&lt;D xsi:type="xsd:double"&gt;-8.875155&lt;/D&gt;&lt;D xsi:type="xsd:double"&gt;-17.489857&lt;/D&gt;&lt;D xsi:type="xsd:double"&gt;-18.207502&lt;/D&gt;&lt;D xsi:type="xsd:double"&gt;-8.997589&lt;/D&gt;&lt;D xsi:type="xsd:double"&gt;-11.534375&lt;/D&gt;&lt;D xsi:type="xsd:double"&gt;-5.875105&lt;/D&gt;&lt;D xsi:type="xsd:double"&gt;-3.2562613&lt;/D&gt;&lt;D xsi:type="xsd:double"&gt;56.38485&lt;/D&gt;&lt;D xsi:type="xsd:double"&gt;41.633595&lt;/D&gt;&lt;D xsi:type="xsd:double"&gt;37.884308&lt;/D&gt;&lt;D xsi:type="xsd:double"&gt;31.06141&lt;/D&gt;&lt;D xsi:type="xsd:double"&gt;24.242735&lt;/D&gt;&lt;D xsi:type="xsd:double"&gt;25.59191&lt;/D&gt;&lt;D xsi:type="xsd:double"&gt;31.00624&lt;/D&gt;&lt;D xsi:type="xsd:double"&gt;36.277546&lt;/D&gt;&lt;D xsi:type="xsd:double"&gt;18.678606&lt;/D&gt;&lt;D xsi:type="xsd:double"&gt;16.64574&lt;/D&gt;&lt;D xsi:type="xsd:double"&gt;13.883662&lt;/D&gt;&lt;D xsi:type="xsd:double"&gt;15.511012&lt;/D&gt;&lt;D xsi:type="xsd:double"&gt;11.013424&lt;/D&gt;&lt;D xsi:type="xsd:double"&gt;7.9454064&lt;/D&gt;&lt;D xsi:type="xsd:double"&gt;-1.2080669&lt;/D&gt;&lt;D xsi:type="xsd:double"&gt;-5.003029&lt;/D&gt;&lt;D xsi:type="xsd:double"&gt;-3.5720646&lt;/D&gt;&lt;D xsi:type="xsd:double"&gt;-1.7900467&lt;/D&gt;&lt;D xsi:type="xsd:double"&gt;-9.373349&lt;/D&gt;&lt;D xsi:type="xsd:double"&gt;-15.624392&lt;/D&gt;&lt;D xsi:type="xsd:double"&gt;-4.4610558&lt;/D&gt;&lt;D xsi:type="xsd:double"&gt;-0.9362638&lt;/D&gt;&lt;D xsi:type="xsd:double"&gt;-1.0501444&lt;/D&gt;&lt;D xsi:type="xsd:double"&gt;-1.104027&lt;/D&gt;&lt;D xsi:type="xsd:double"&gt;-2.2809029&lt;/D&gt;&lt;D xsi:type="xsd:double"&gt;3.5435677&lt;/D&gt;&lt;D xsi:type="xsd:double"&gt;8.436573&lt;/D&gt;&lt;D xsi:type="xsd:double"&gt;12.242818&lt;/D&gt;&lt;D xsi:type="xsd:double"&gt;15.900755&lt;/D&gt;&lt;D xsi:type="xsd:double"&gt;6.854737&lt;/D&gt;&lt;D xsi:type="xsd:double"&gt;19.242931&lt;/D&gt;&lt;D xsi:type="xsd:double"&gt;19.038296&lt;/D&gt;&lt;D xsi:type="xsd:double"&gt;10.57638&lt;/D&gt;&lt;D xsi:type="xsd:double"&gt;10.735798&lt;/D&gt;&lt;D xsi:type="xsd:double"&gt;1.9605398&lt;/D&gt;&lt;D xsi:type="xsd:double"&gt;3.844154&lt;/D&gt;&lt;D xsi:type="xsd:double"&gt;12.062347&lt;/D&gt;&lt;/FQL&gt;&lt;FQL&gt;&lt;Q&gt;ENZL^FMA_DIV_YLD(NTMA,-10AY,0,AM,"PORTAGG","MEANR")&lt;/Q&gt;&lt;R&gt;121&lt;/R&gt;&lt;C&gt;1&lt;/C&gt;&lt;D xsi:type="xsd:double"&gt;4.05332409485155&lt;/D&gt;&lt;D xsi:type="xsd:double"&gt;4.12445759473644&lt;/D&gt;&lt;D xsi:type="xsd:double"&gt;4.17425973391635&lt;/D&gt;&lt;D xsi:type="xsd:double"&gt;4.26425703692055&lt;/D&gt;&lt;D xsi:type="xsd:double"&gt;4.45210501401178&lt;/D&gt;&lt;D xsi:type="xsd:double"&gt;4.49515012974268&lt;/D&gt;&lt;D xsi:type="xsd:double"&gt;4.62649699465832&lt;/D&gt;&lt;D xsi:type="xsd:double"&gt;4.60247275690355&lt;/D&gt;&lt;D xsi:type="xsd:double"&gt;4.44678153961263&lt;/D&gt;&lt;D xsi:type="xsd:double"&gt;4.46255241450638&lt;/D&gt;&lt;D xsi:type="xsd:double"&gt;4.34096270130248&lt;/D&gt;&lt;D xsi:type="xsd:double"&gt;4.27549863967424&lt;/D&gt;&lt;D xsi:type="xsd:double"&gt;4.35178770439163&lt;/D&gt;&lt;D xsi:type="xsd:double"&gt;4.46887337674836&lt;/D&gt;&lt;D xsi:type="xsd:double"&gt;4.45748220529361&lt;/D&gt;&lt;D xsi:type="xsd:double"&gt;4.50699823538501&lt;/D&gt;&lt;D xsi:type="xsd:double"&gt;4.57708149001172&lt;/D&gt;&lt;D xsi:type="xsd:double"&gt;4.88614810134764&lt;/D&gt;&lt;D xsi:type="xsd:double"&gt;5.11716632509331&lt;/D&gt;&lt;D xsi:type="xsd:double"&gt;4.9862790259135&lt;/D&gt;&lt;D xsi:type="xsd:double"&gt;4.90674340250469&lt;/D&gt;&lt;D xsi:type="xsd:double"&gt;4.88526572968686&lt;/D&gt;&lt;D xsi:type="xsd:double"&gt;4.93145932314537&lt;/D&gt;&lt;D xsi:type="xsd:double"&gt;4.92522979200155&lt;/D&gt;&lt;D xsi:type="xsd:double"&gt;4.61232805070132&lt;/D&gt;&lt;D xsi:type="xsd:double"&gt;4.50188537673027&lt;/D&gt;&lt;D xsi:type="xsd:double"&gt;4.48069907674465&lt;/D&gt;&lt;D xsi:type="xsd:double"&gt;4.45931432811163&lt;/D&gt;&lt;D xsi:type="xsd:double"&gt;4.20889109887482&lt;/D&gt;&lt;D xsi:type="xsd:double"&gt;4.12992615571692&lt;/D&gt;&lt;D xsi:type="xsd:double"&gt;4.30802396836096&lt;/D&gt;&lt;D xsi:type="xsd:double"&gt;4.57150787058349&lt;/D&gt;&lt;D xsi:type="xsd:double"&gt;4.62866242256139&lt;/D&gt;&lt;D xsi:type="xsd:double"&gt;4.68083774016024&lt;/D&gt;&lt;D xsi:type="xsd:double"&gt;4.51910206682884&lt;/D&gt;&lt;D xsi:type="xsd:double"&gt;4.55501315438109&lt;/D&gt;&lt;D xsi:type="xsd:double"&gt;4.636819300525&lt;/D&gt;&lt;D xsi:type="xsd:double"&gt;4.59351897461212&lt;/D&gt;&lt;D xsi:type="xsd:double"&gt;4.48295674581196&lt;/D&gt;&lt;D xsi:type="xsd:double"&gt;4.4043033904292&lt;/D&gt;&lt;D xsi:type="xsd:double"&gt;4.39712922437836&lt;/D&gt;&lt;D xsi:type="xsd:double"&gt;4.32007284671201&lt;/D&gt;&lt;D xsi:type="xsd:double"&gt;4.44754861704679&lt;/D&gt;&lt;D xsi:type="xsd:double"&gt;4.34755399365135&lt;/D&gt;&lt;D xsi:type="xsd:double"&gt;4.39765763532969&lt;/D&gt;&lt;D xsi:type="xsd:double"&gt;4.21880492381521&lt;/D&gt;&lt;D xsi:type="xsd:double"&gt;4.28162295355334&lt;/D&gt;&lt;D xsi:type="xsd:double"&gt;4.32544420669124&lt;/D&gt;&lt;D xsi:type="xsd:double"&gt;4.16172807111068&lt;/D&gt;&lt;D xsi:type="xsd:double"&gt;4.34430512185683&lt;/D&gt;&lt;D xsi:type="xsd:double"&gt;4.23200651896813&lt;/D&gt;&lt;D xsi:type="xsd:double"&gt;4.0224911579762&lt;/D&gt;&lt;D xsi:type="xsd:double"&gt;4.07609641093191&lt;/D&gt;&lt;D xsi:type="xsd:double"&gt;3.97234986143785&lt;/D&gt;&lt;D xsi:type="xsd:double"&gt;3.93915933776198&lt;/D&gt;&lt;D xsi:type="xsd:double"&gt;4.25938588713736&lt;/D&gt;&lt;D xsi:type="xsd:double"&gt;4.30286089726672&lt;/D&gt;&lt;D xsi:type="xsd:double"&gt;4.22402255929649&lt;/D&gt;&lt;D xsi:type="xsd:double"&gt;4.03738344663791&lt;/D&gt;&lt;D xsi:type="xsd:double"&gt;3.99518560543404&lt;/D&gt;&lt;D xsi:type="xsd:double"&gt;3.91817833808542&lt;/D&gt;&lt;D xsi:type="xsd:double"&gt;3.70535227064247&lt;/D&gt;&lt;D xsi:type="xsd:double"&gt;3.65796990486497&lt;/D&gt;&lt;D xsi:type="xsd:double"&gt;3.62922340924557&lt;/D&gt;&lt;D xsi:type="xsd:double"&gt;3.43685314974151&lt;/D&gt;&lt;D xsi:type="xsd:double"&gt;3.43223855296733&lt;/D&gt;&lt;D xsi:type="xsd:double"&gt;3.37111486240202&lt;/D&gt;&lt;D xsi:type="xsd:double"&gt;3.29521557462338&lt;/D&gt;&lt;D xsi:type="xsd:double"&gt;3.31951841576253&lt;/D&gt;&lt;D xsi:type="xsd:double"&gt;3.16385889222262&lt;/D&gt;&lt;D xsi:type="xsd:double"&gt;3.08402127436241&lt;/D&gt;&lt;D xsi:type="xsd:double"&gt;2.99518999959424&lt;/D&gt;&lt;D xsi:type="xsd:double"&gt;3.65889469648539&lt;/D&gt;&lt;D xsi:type="xsd:double"&gt;2.75852198526947&lt;/D&gt;&lt;D xsi:type="xsd:double"&gt;2.52919333388072&lt;/D&gt;&lt;D xsi:type="xsd:double"&gt;2.51610690429187&lt;/D&gt;&lt;D xsi:type="xsd:double"&gt;2.4008311766816&lt;/D&gt;&lt;D xsi:type="xsd:double"&gt;2.30985092232506&lt;/D&gt;&lt;D xsi:type="xsd:double"&gt;2.49196081818265&lt;/D&gt;&lt;D xsi:type="xsd:double"&gt;2.34538396461663&lt;/D&gt;&lt;D xsi:type="xsd:double"&gt;2.4219263168353&lt;/D&gt;&lt;D xsi:type="xsd:double"&gt;2.47578025360178&lt;/D&gt;&lt;D xsi:type="xsd:double"&gt;2.4638441728724&lt;/D&gt;&lt;D xsi:type="xsd:double"&gt;2.5645684206892&lt;/D&gt;&lt;D xsi:type="xsd:double"&gt;2.56153788646239&lt;/D&gt;&lt;D xsi:type="xsd:double"&gt;2.61732838047642&lt;/D&gt;&lt;D xsi:type="xsd:double"&gt;2.67005259582784&lt;/D&gt;&lt;D xsi:type="xsd:double"&gt;2.69658460766698&lt;/D&gt;&lt;D xsi:type="xsd:double"&gt;2.61515380784491&lt;/D&gt;&lt;D xsi:type="xsd:double"&gt;2.62861382402672&lt;/D&gt;&lt;D xsi:type="xsd:double"&gt;2.60087021165797&lt;/D&gt;&lt;D xsi:type="xsd:double"&gt;2.65727938686646&lt;/D&gt;&lt;D xsi:type="xsd:double"&gt;2.73284055461786&lt;/D&gt;&lt;D xsi:type="xsd:double"&gt;2.77161392883609&lt;/D&gt;&lt;D xsi:type="xsd:double"&gt;2.94722031699415&lt;/D&gt;&lt;D xsi:type="xsd:double"&gt;2.99524905450864&lt;/D&gt;&lt;D xsi:type="xsd:double"&gt;3.01517704557684&lt;/D&gt;&lt;D xsi:type="xsd:double"&gt;3.12534316606088&lt;/D&gt;&lt;D xsi:type="xsd:double"&gt;3.21407496301532&lt;/D&gt;&lt;D xsi:type="xsd:double"&gt;3.41723896778763&lt;/D&gt;&lt;D xsi:type="xsd:double"&gt;3.29271912657931&lt;/D&gt;&lt;D xsi:type="xsd:double"&gt;3.14704509686352&lt;/D&gt;&lt;D xsi:type="xsd:double"&gt;3.28828407474178&lt;/D&gt;&lt;D xsi:type="xsd:double"&gt;3.51429446454801&lt;/D&gt;&lt;D xsi:type="xsd:double"&gt;3.33640978021795&lt;/D&gt;&lt;D xsi:type="xsd:double"&gt;3.46904135082793&lt;/D&gt;&lt;D xsi:type="xsd:double"&gt;3.31595094613258&lt;/D&gt;&lt;D xsi:type="xsd:double"&gt;3.3382526171482&lt;/D&gt;&lt;D xsi:type="xsd:double"&gt;3.57528413311502&lt;/D&gt;&lt;D xsi:type="xsd:double"&gt;3.4103487493752&lt;/D&gt;&lt;D xsi:type="xsd:double"&gt;3.4442821806367&lt;/D&gt;&lt;D xsi:type="xsd:double"&gt;3.48359085083845&lt;/D&gt;&lt;D xsi:type="xsd:double"&gt;3.42818701115214&lt;/D&gt;&lt;D xsi:type="xsd:double"&gt;3.53020035228921&lt;/D&gt;&lt;D xsi:type="xsd:double"&gt;3.42642455126622&lt;/D&gt;&lt;D xsi:type="xsd:double"&gt;3.53923506395956&lt;/D&gt;&lt;D xsi:type="xsd:double"&gt;3.43813073474725&lt;/D&gt;&lt;D xsi:type="xsd:double"&gt;3.00545684664127&lt;/D&gt;&lt;D xsi:type="xsd:double"&gt;3.04435215534629&lt;/D&gt;&lt;D xsi:type="xsd:double"&gt;2.98293212213474&lt;/D&gt;&lt;D xsi:type="xsd:double"&gt;2.80284778537959&lt;/D&gt;&lt;/FQL&gt;&lt;FQL&gt;&lt;Q&gt;DDR3512M-FDS^FG_PRICE_CHANGE(0,-3AM)&lt;/Q&gt;&lt;R&gt;1&lt;/R&gt;&lt;C&gt;1&lt;/C&gt;&lt;D xsi:type="xsd:double"&gt;-2.42914745942632&lt;/D&gt;&lt;/FQL&gt;&lt;FQL&gt;&lt;Q&gt;QQQ^FG_TOTAL_RETURNC(0,-1AM)&lt;/Q&gt;&lt;R&gt;1&lt;/R&gt;&lt;C&gt;1&lt;/C&gt;&lt;D xsi:type="xsd:double"&gt;4.8975587&lt;/D&gt;&lt;/FQL&gt;&lt;FQL&gt;&lt;Q&gt;EWJ^FG_TOTAL_RETURNC(0,-12AM)&lt;/Q&gt;&lt;R&gt;1&lt;/R&gt;&lt;C&gt;1&lt;/C&gt;&lt;D xsi:type="xsd:double"&gt;28.990137&lt;/D&gt;&lt;/FQL&gt;&lt;FQL&gt;&lt;Q&gt;EWC^PERCENT_CHANGE(FMA_EPS(+1,0,,,,"PORTAGG","MEAN"),FMA_EPS(+1,-3AM,,,,"PORTAGG","MEAN"))&lt;/Q&gt;&lt;R&gt;1&lt;/R&gt;&lt;C&gt;1&lt;/C&gt;&lt;D xsi:type="xsd:double"&gt;-4.90400784306769&lt;/D&gt;&lt;/FQL&gt;&lt;FQL&gt;&lt;Q&gt;FXI^FMA_COS_UP("EPS","1M",+1,0,,,"PORTAGG","MEANR")&lt;/Q&gt;&lt;R&gt;1&lt;/R&gt;&lt;C&gt;1&lt;/C&gt;&lt;D xsi:type="xsd:double"&gt;17&lt;/D&gt;&lt;/FQL&gt;&lt;FQL&gt;&lt;Q&gt;EWN^FMA_COS_DOWN("EPS","1M",+1,0,,,"PORTAGG","MEANR")&lt;/Q&gt;&lt;R&gt;1&lt;/R&gt;&lt;C&gt;1&lt;/C&gt;&lt;D xsi:type="xsd:double"&gt;29&lt;/D&gt;&lt;/FQL&gt;&lt;FQL&gt;&lt;Q&gt;EWC^FMA_COS_DOWN("EPS","1M",+1,0,,,"PORTAGG","MEANR")&lt;/Q&gt;&lt;R&gt;1&lt;/R&gt;&lt;C&gt;1&lt;/C&gt;&lt;D xsi:type="xsd:double"&gt;35&lt;/D&gt;&lt;/FQL&gt;&lt;FQL&gt;&lt;Q&gt;EWI^FMA_RBICS_REV_CURRENT(30, LOC, "PORTAGG")&lt;/Q&gt;&lt;R&gt;1&lt;/R&gt;&lt;C&gt;1&lt;/C&gt;&lt;D xsi:type="xsd:double"&gt;34.5462492743982&lt;/D&gt;&lt;/FQL&gt;&lt;FQL&gt;&lt;Q&gt;TRYIT10Y-FDS^FG_YIELD_NAME&lt;/Q&gt;&lt;R&gt;1&lt;/R&gt;&lt;C&gt;1&lt;/C&gt;&lt;D xsi:type="xsd:string"&gt;Italy Benchmark Bond - 10 Year&lt;/D&gt;&lt;/FQL&gt;&lt;FQL&gt;&lt;Q&gt;REFGBBANK-FDS^PROPER_NAME(0,,,"SECURITY","NAME")&lt;/Q&gt;&lt;R&gt;1&lt;/R&gt;&lt;C&gt;1&lt;/C&gt;&lt;D xsi:type="xsd:string"&gt;UK Bank Rate&lt;/D&gt;&lt;/FQL&gt;&lt;FQL&gt;&lt;Q&gt;TRYSE10Y-FDS^PCTCHG(FG_YIELD(0,,,,"YTM"),FG_YIELD(-3AM,,,,"YTM"))&lt;/Q&gt;&lt;R&gt;1&lt;/R&gt;&lt;C&gt;1&lt;/C&gt;&lt;D xsi:type="xsd:double"&gt;20.532131&lt;/D&gt;&lt;/FQL&gt;&lt;FQL&gt;&lt;Q&gt;TRYNZ10Y-FDS^PCTCHG(FG_YIELD(0,,,,"YTM"),FG_YIELD(-3AM,,,,"YTM"))&lt;/Q&gt;&lt;R&gt;1&lt;/R&gt;&lt;C&gt;1&lt;/C&gt;&lt;D xsi:type="xsd:double"&gt;2.366493&lt;/D&gt;&lt;/FQL&gt;&lt;FQL&gt;&lt;Q&gt;TRYDE10Y-FDS^FG_YIELD_NAME&lt;/Q&gt;&lt;R&gt;1&lt;/R&gt;&lt;C&gt;1&lt;/C&gt;&lt;D xsi:type="xsd:string"&gt;Germany Benchmark Bond - 10 Year&lt;/D&gt;&lt;/FQL&gt;&lt;FQL&gt;&lt;Q&gt;VWO^FMA_EVAL_EBIT(LTMA,NOW,NOW,M,"PORTAGG","MEANR")&lt;/Q&gt;&lt;R&gt;1&lt;/R&gt;&lt;C&gt;1&lt;/C&gt;&lt;D xsi:type="xsd:double"&gt;13.9146839212733&lt;/D&gt;&lt;/FQL&gt;&lt;FQL&gt;&lt;Q&gt;EWD^FMA_EVAL_EBITDA(NTMA,0,,,"PORTAGG","MEANR")&lt;/Q&gt;&lt;R&gt;1&lt;/R&gt;&lt;C&gt;1&lt;/C&gt;&lt;D xsi:type="xsd:double"&gt;11.2873925226541&lt;/D&gt;&lt;/FQL&gt;&lt;FQL&gt;&lt;Q&gt;SPY^FG_FCF_YIELD_NTM(0)&lt;/Q&gt;&lt;R&gt;1&lt;/R&gt;&lt;C&gt;1&lt;/C&gt;&lt;D xsi:type="xsd:double"&gt;4.10147139550472&lt;/D&gt;&lt;/FQL&gt;&lt;FQL&gt;&lt;Q&gt;EWL^FMA_EVAL_EBITDA(NTMA,0,,,"PORTAGG","MEANR")&lt;/Q&gt;&lt;R&gt;1&lt;/R&gt;&lt;C&gt;1&lt;/C&gt;&lt;D xsi:type="xsd:double"&gt;12.8825139747199&lt;/D&gt;&lt;/FQL&gt;&lt;FQL&gt;&lt;Q&gt;EWC^FG_FCF_YIELD_NTM(0)&lt;/Q&gt;&lt;R&gt;1&lt;/R&gt;&lt;C&gt;1&lt;/C&gt;&lt;D xsi:type="xsd:double"&gt;5.07882247529024&lt;/D&gt;&lt;/FQL&gt;&lt;FQL&gt;&lt;Q&gt;USO^FG_TOTAL_RETURNC(0,-3AM)&lt;/Q&gt;&lt;R&gt;1&lt;/R&gt;&lt;C&gt;1&lt;/C&gt;&lt;D xsi:type="xsd:double"&gt;11.284947&lt;/D&gt;&lt;/FQL&gt;&lt;FQL&gt;&lt;Q&gt;EWN^FMA_COS_UP("EPS","1M",+1,0,,,"PORTAGG","MEANR")&lt;/Q&gt;&lt;R&gt;1&lt;/R&gt;&lt;C&gt;1&lt;/C&gt;&lt;D xsi:type="xsd:double"&gt;16&lt;/D&gt;&lt;/FQL&gt;&lt;FQL&gt;&lt;Q&gt;EWD^FMA_RBICS_REV_CURRENT(30, LOC, "PORTAGG")&lt;/Q&gt;&lt;R&gt;1&lt;/R&gt;&lt;C&gt;1&lt;/C&gt;&lt;D xsi:type="xsd:double"&gt;27.1998242779551&lt;/D&gt;&lt;/FQL&gt;&lt;FQL&gt;&lt;Q&gt;REFCHMPR-FDS^(SUBARRAY(NOT_NA(NO_REPEAT_F(FG_YIELD(NOW,-10AY,D))),0,1)-SUBARRAY(NOT_NA(NO_REPEAT_F(FG_YIELD(NOW,-10AY,D))),1,1))*100&lt;/Q&gt;&lt;R&gt;1&lt;/R&gt;&lt;C&gt;1&lt;/C&gt;&lt;D xsi:type="xsd:double"&gt;-25&lt;/D&gt;&lt;/FQL&gt;&lt;FQL&gt;&lt;Q&gt;TRYNZ10Y-FDS^PCTCHG(FG_YIELD(0,,,,"YTM"),FG_YIELD(-1AM,,,,"YTM"))&lt;/Q&gt;&lt;R&gt;1&lt;/R&gt;&lt;C&gt;1&lt;/C&gt;&lt;D xsi:type="xsd:double"&gt;-5.1606154&lt;/D&gt;&lt;/FQL&gt;&lt;FQL&gt;&lt;Q&gt;EWD^FG_FCF_YIELD_NTM(0)&lt;/Q&gt;&lt;R&gt;1&lt;/R&gt;&lt;C&gt;1&lt;/C&gt;&lt;D xsi:type="xsd:double"&gt;5.15584847074335&lt;/D&gt;&lt;/FQL&gt;&lt;FQL&gt;&lt;Q&gt;EWC^FMA_DIV_YLD(NTMA,NOW,NOW,M,"PORTAGG","MEANR")&lt;/Q&gt;&lt;R&gt;1&lt;/R&gt;&lt;C&gt;1&lt;/C&gt;&lt;D xsi:type="xsd:double"&gt;3.25812743272384&lt;/D&gt;&lt;/FQL&gt;&lt;FQL&gt;&lt;Q&gt;USO^FG_TOTAL_RETURNC(0,-1AM)&lt;/Q&gt;&lt;R&gt;1&lt;/R&gt;&lt;C&gt;1&lt;/C&gt;&lt;D xsi:type="xsd:double"&gt;4.9453616&lt;/D&gt;&lt;/FQL&gt;&lt;FQL&gt;&lt;Q&gt;EWD^JULIAN(FMA_DIV_YLD(NTMA,NOW,NOW,M,"PORTAGG","MEANR").DATES)&lt;/Q&gt;&lt;R&gt;1&lt;/R&gt;&lt;C&gt;1&lt;/C&gt;&lt;D xsi:type="xsd:long"&gt;45351&lt;/D&gt;&lt;/FQL&gt;&lt;FQL&gt;&lt;Q&gt;EWA^FMA_EVAL_EBIT(LTMA,NOW,NOW,M,"PORTAGG","MEANR")&lt;/Q&gt;&lt;R&gt;1&lt;/R&gt;&lt;C&gt;1&lt;/C&gt;&lt;D xsi:type="xsd:double"&gt;12.4410790169921&lt;/D&gt;&lt;/FQL&gt;&lt;FQL&gt;&lt;Q&gt;DBA^FG_TOTAL_RETURNC(0,-6AM)&lt;/Q&gt;&lt;R&gt;1&lt;/R&gt;&lt;C&gt;1&lt;/C&gt;&lt;D xsi:type="xsd:double"&gt;14.21442&lt;/D&gt;&lt;/FQL&gt;&lt;FQL&gt;&lt;Q&gt;ENZL^FMA_COS_DOWN("EPS","1M",+1,0,,,"PORTAGG","MEANR")&lt;/Q&gt;&lt;R&gt;1&lt;/R&gt;&lt;C&gt;1&lt;/C&gt;&lt;D xsi:type="xsd:double"&gt;7&lt;/D&gt;&lt;/FQL&gt;&lt;FQL&gt;&lt;Q&gt;CC_DE^FG_COMPANY_NAME&lt;/Q&gt;&lt;R&gt;1&lt;/R&gt;&lt;C&gt;1&lt;/C&gt;&lt;D xsi:type="xsd:string"&gt;Germany&lt;/D&gt;&lt;/FQL&gt;&lt;FQL&gt;&lt;Q&gt;CAGDPY@CH^EE_ACTUAL_ANNUAL(MED,+1)&lt;/Q&gt;&lt;R&gt;1&lt;/R&gt;&lt;C&gt;1&lt;/C&gt;&lt;D xsi:type="xsd:double"&gt;8&lt;/D&gt;&lt;/FQL&gt;&lt;FQL&gt;&lt;Q&gt;USDGBP^STD(FG_PRICE_CHANGE(0,-3AY,M))&lt;/Q&gt;&lt;R&gt;1&lt;/R&gt;&lt;C&gt;1&lt;/C&gt;&lt;D xsi:type="xsd:double"&gt;2.41245979550438&lt;/D&gt;&lt;/FQL&gt;&lt;FQL&gt;&lt;Q&gt;USDCAD^FG_PRICE_CHANGE(0,-6AM)&lt;/Q&gt;&lt;R&gt;1&lt;/R&gt;&lt;C&gt;1&lt;/C&gt;&lt;D xsi:type="xsd:double"&gt;0.30750036&lt;/D&gt;&lt;/FQL&gt;&lt;FQL&gt;&lt;Q&gt;PLATI-FDS^FG_PRICE_CHANGE(0,-1AM)&lt;/Q&gt;&lt;R&gt;1&lt;/R&gt;&lt;C&gt;1&lt;/C&gt;&lt;D xsi:type="xsd:double"&gt;1.98456449834619&lt;/D&gt;&lt;/FQL&gt;&lt;FQL&gt;&lt;Q&gt;COPP-FDS^FG_PRICE_CHANGE(0,-1AM)&lt;/Q&gt;&lt;R&gt;1&lt;/R&gt;&lt;C&gt;1&lt;/C&gt;&lt;D xsi:type="xsd:double"&gt;4.43928248806298&lt;/D&gt;&lt;/FQL&gt;&lt;FQL&gt;&lt;Q&gt;EWI^FG_PRICE_MAVG(0,,,,60)&lt;/Q&gt;&lt;R&gt;1&lt;/R&gt;&lt;C&gt;1&lt;/C&gt;&lt;D xsi:type="xsd:double"&gt;34.7105&lt;/D&gt;&lt;/FQL&gt;&lt;FQL&gt;&lt;Q&gt;EWJ^FG_PRICE_MAVG(0,,,,60)&lt;/Q&gt;&lt;R&gt;1&lt;/R&gt;&lt;C&gt;1&lt;/C&gt;&lt;D xsi:type="xsd:double"&gt;67.2265&lt;/D&gt;&lt;/FQL&gt;&lt;FQL&gt;&lt;Q&gt;SPY^PERCENT_CHANGE(FMA_EPS(+1,0,,,,"PORTAGG","MEAN"),FMA_EPS(+1,-3AM,,,,"PORTAGG","MEAN"))&lt;/Q&gt;&lt;R&gt;1&lt;/R&gt;&lt;C&gt;1&lt;/C&gt;&lt;D xsi:type="xsd:double"&gt;-0.4099096470994&lt;/D&gt;&lt;/FQL&gt;&lt;FQL&gt;&lt;Q&gt;VGK^P_PRICE(0)/P_PRICE_LOW_PR(0,,,USD,,,"PRICE","INTRA","52W")-1&lt;/Q&gt;&lt;R&gt;1&lt;/R&gt;&lt;C&gt;1&lt;/C&gt;&lt;D xsi:type="xsd:double"&gt;0.2175808&lt;/D&gt;&lt;/FQL&gt;&lt;FQL&gt;&lt;Q&gt;EWN^FG_TOTAL_RETURNC(0,-3AM)&lt;/Q&gt;&lt;R&gt;1&lt;/R&gt;&lt;C&gt;1&lt;/C&gt;&lt;D xsi:type="xsd:double"&gt;10.526312&lt;/D&gt;&lt;/FQL&gt;&lt;FQL&gt;&lt;Q&gt;EWC^FMA_PCT_ABOVE_MAVG(200,0,,,,"PORTAGG")&lt;/Q&gt;&lt;R&gt;1&lt;/R&gt;&lt;C&gt;1&lt;/C&gt;&lt;D xsi:type="xsd:double"&gt;67.0454545454545&lt;/D&gt;&lt;/FQL&gt;&lt;FQL&gt;&lt;Q&gt;USDCHF^FG_PRICE_CHANGE(0,-3AM)&lt;/Q&gt;&lt;R&gt;1&lt;/R&gt;&lt;C&gt;1&lt;/C&gt;&lt;D xsi:type="xsd:double"&gt;4.9422383&lt;/D&gt;&lt;/FQL&gt;&lt;FQL&gt;&lt;Q&gt;URTH^FG_TOTAL_RETURNC(0,-12AM)&lt;/Q&gt;&lt;R&gt;1&lt;/R&gt;&lt;C&gt;1&lt;/C&gt;&lt;D xsi:type="xsd:double"&gt;28.766941&lt;/D&gt;&lt;/FQL&gt;&lt;FQL&gt;&lt;Q&gt;VGK^FG_FCF_YIELD_NTM(0)&lt;/Q&gt;&lt;R&gt;1&lt;/R&gt;&lt;C&gt;1&lt;/C&gt;&lt;D xsi:type="xsd:double"&gt;5.04614547304439&lt;/D&gt;&lt;/FQL&gt;&lt;FQL&gt;&lt;Q&gt;REFEUREFI-FDS^FG_YIELD(NOW,,,0)&lt;/Q&gt;&lt;R&gt;1&lt;/R&gt;&lt;C&gt;1&lt;/C&gt;&lt;D xsi:type="xsd:double"&gt;4.5&lt;/D&gt;&lt;/FQL&gt;&lt;FQL&gt;&lt;Q&gt;CAGDPY@CH^EE_ACTUAL_ANNUAL(MED,0)&lt;/Q&gt;&lt;R&gt;1&lt;/R&gt;&lt;C&gt;1&lt;/C&gt;&lt;D xsi:type="xsd:double"&gt;7.64151941312264&lt;/D&gt;&lt;/FQL&gt;&lt;FQL&gt;&lt;Q&gt;USDSEK^FG_PRICE(0)&lt;/Q&gt;&lt;R&gt;1&lt;/R&gt;&lt;C&gt;1&lt;/C&gt;&lt;D xsi:type="xsd:double"&gt;10.4627&lt;/D&gt;&lt;/FQL&gt;&lt;FQL&gt;&lt;Q&gt;EWL^P_PRICE_RETURNS_PR('52W',2,-10AY,0,AM)&lt;/Q&gt;&lt;R&gt;121&lt;/R&gt;&lt;C&gt;1&lt;/C&gt;&lt;D xsi:type="xsd:double"&gt;17.43102&lt;/D&gt;&lt;D xsi:type="xsd:double"&gt;20.526123&lt;/D&gt;&lt;D xsi:type="xsd:double"&gt;16.709364&lt;/D&gt;&lt;D xsi:type="xsd:double"&gt;24.023724&lt;/D&gt;&lt;D xsi:type="xsd:double"&gt;15.903627&lt;/D&gt;&lt;D xsi:type="xsd:double"&gt;13.1197815&lt;/D&gt;&lt;D xsi:type="xsd:double"&gt;7.75578&lt;/D&gt;&lt;D xsi:type="xsd:double"&gt;0.34503937&lt;/D&gt;&lt;D xsi:type="xsd:double"&gt;4.816556&lt;/D&gt;&lt;D xsi:type="xsd:double"&gt;3.0988574&lt;/D&gt;&lt;D xsi:type="xsd:double"&gt;0.8151293&lt;/D&gt;&lt;D xsi:type="xsd:double"&gt;2.2064328&lt;/D&gt;&lt;D xsi:type="xsd:double"&gt;3.7940025&lt;/D&gt;&lt;D xsi:type="xsd:double"&gt;3.0677438&lt;/D&gt;&lt;D xsi:type="xsd:double"&gt;4.4208765&lt;/D&gt;&lt;D xsi:type="xsd:double"&gt;0.25738478&lt;/D&gt;&lt;D xsi:type="xsd:double"&gt;3.4479976&lt;/D&gt;&lt;D xsi:type="xsd:double"&gt;-2.0193636&lt;/D&gt;&lt;D xsi:type="xsd:double"&gt;-2.7047873&lt;/D&gt;&lt;D xsi:type="xsd:double"&gt;3.1071305&lt;/D&gt;&lt;D xsi:type="xsd:double"&gt;-3.1788945&lt;/D&gt;&lt;D xsi:type="xsd:double"&gt;-2.7644217&lt;/D&gt;&lt;D xsi:type="xsd:double"&gt;-11.010271&lt;/D&gt;&lt;D xsi:type="xsd:double"&gt;-11.236495&lt;/D&gt;&lt;D xsi:type="xsd:double"&gt;-10.831761&lt;/D&gt;&lt;D xsi:type="xsd:double"&gt;-9.63828&lt;/D&gt;&lt;D xsi:type="xsd:double"&gt;-13.859642&lt;/D&gt;&lt;D xsi:type="xsd:double"&gt;-9.510356&lt;/D&gt;&lt;D xsi:type="xsd:double"&gt;-10.737723&lt;/D&gt;&lt;D xsi:type="xsd:double"&gt;-5.931413&lt;/D&gt;&lt;D xsi:type="xsd:double"&gt;0.05648136&lt;/D&gt;&lt;D xsi:type="xsd:double"&gt;-3.7461162&lt;/D&gt;&lt;D xsi:type="xsd:double"&gt;-5.8133483&lt;/D&gt;&lt;D xsi:type="xsd:double"&gt;-1.9783199&lt;/D&gt;&lt;D xsi:type="xsd:double"&gt;9.261656&lt;/D&gt;&lt;D xsi:type="xsd:double"&gt;11.6698265&lt;/D&gt;&lt;D xsi:type="xsd:double"&gt;10.462725&lt;/D&gt;&lt;D xsi:type="xsd:double"&gt;7.506478&lt;/D&gt;&lt;D xsi:type="xsd:double"&gt;19.98502&lt;/D&gt;&lt;D xsi:type="xsd:double"&gt;16.748201&lt;/D&gt;&lt;D xsi:type="xsd:double"&gt;19.745731&lt;/D&gt;&lt;D xsi:type="xsd:double"&gt;13.605738&lt;/D&gt;&lt;D xsi:type="xsd:double"&gt;15.542614&lt;/D&gt;&lt;D xsi:type="xsd:double"&gt;20.0045&lt;/D&gt;&lt;D xsi:type="xsd:double"&gt;24.603199&lt;/D&gt;&lt;D xsi:type="xsd:double"&gt;23.216988&lt;/D&gt;&lt;D xsi:type="xsd:double"&gt;24.888266&lt;/D&gt;&lt;D xsi:type="xsd:double"&gt;16.034662&lt;/D&gt;&lt;D xsi:type="xsd:double"&gt;10.863459&lt;/D&gt;&lt;D xsi:type="xsd:double"&gt;9.125161&lt;/D&gt;&lt;D xsi:type="xsd:double"&gt;1.3169885&lt;/D&gt;&lt;D xsi:type="xsd:double"&gt;-3.300935&lt;/D&gt;&lt;D xsi:type="xsd:double"&gt;-0.22394657&lt;/D&gt;&lt;D xsi:type="xsd:double"&gt;3.8615584&lt;/D&gt;&lt;D xsi:type="xsd:double"&gt;4.071951&lt;/D&gt;&lt;D xsi:type="xsd:double"&gt;-3.7492692&lt;/D&gt;&lt;D xsi:type="xsd:double"&gt;-3.8512588&lt;/D&gt;&lt;D xsi:type="xsd:double"&gt;-10.513371&lt;/D&gt;&lt;D xsi:type="xsd:double"&gt;-6.6663265&lt;/D&gt;&lt;D xsi:type="xsd:double"&gt;-0.365597&lt;/D&gt;&lt;D xsi:type="xsd:double"&gt;5.355072&lt;/D&gt;&lt;D xsi:type="xsd:double"&gt;5.8181405&lt;/D&gt;&lt;D xsi:type="xsd:double"&gt;7.165718&lt;/D&gt;&lt;D xsi:type="xsd:double"&gt;19.175316&lt;/D&gt;&lt;D xsi:type="xsd:double"&gt;13.758254&lt;/D&gt;&lt;D xsi:type="xsd:double"&gt;10.155511&lt;/D&gt;&lt;D xsi:type="xsd:double"&gt;8.698809&lt;/D&gt;&lt;D xsi:type="xsd:double"&gt;16.749405&lt;/D&gt;&lt;D xsi:type="xsd:double"&gt;20.647358&lt;/D&gt;&lt;D xsi:type="xsd:double"&gt;32.92874&lt;/D&gt;&lt;D xsi:type="xsd:double"&gt;27.28584&lt;/D&gt;&lt;D xsi:type="xsd:double"&gt;24.647976&lt;/D&gt;&lt;D xsi:type="xsd:double"&gt;-10.032755&lt;/D&gt;&lt;D xsi:type="xsd:double"&gt;3.7368774&lt;/D&gt;&lt;D xsi:type="xsd:double"&gt;6.151855&lt;/D&gt;&lt;D xsi:type="xsd:double"&gt;7.2384715&lt;/D&gt;&lt;D xsi:type="xsd:double"&gt;11.24152&lt;/D&gt;&lt;D xsi:type="xsd:double"&gt;13.763344&lt;/D&gt;&lt;D xsi:type="xsd:double"&gt;13.211894&lt;/D&gt;&lt;D xsi:type="xsd:double"&gt;10.989893&lt;/D&gt;&lt;D xsi:type="xsd:double"&gt;12.4339695&lt;/D&gt;&lt;D xsi:type="xsd:double"&gt;10.232306&lt;/D&gt;&lt;D xsi:type="xsd:double"&gt;11.671162&lt;/D&gt;&lt;D xsi:type="xsd:double"&gt;7.2370887&lt;/D&gt;&lt;D xsi:type="xsd:double"&gt;38.784218&lt;/D&gt;&lt;D xsi:type="xsd:double"&gt;30.682432&lt;/D&gt;&lt;D xsi:type="xsd:double"&gt;29.960941&lt;/D&gt;&lt;D xsi:type="xsd:double"&gt;27.937937&lt;/D&gt;&lt;D xsi:type="xsd:double"&gt;22.540236&lt;/D&gt;&lt;D xsi:type="xsd:double"&gt;23.472607&lt;/D&gt;&lt;D xsi:type="xsd:double"&gt;17.235828&lt;/D&gt;&lt;D xsi:type="xsd:double"&gt;22.039402&lt;/D&gt;&lt;D xsi:type="xsd:double"&gt;20.169985&lt;/D&gt;&lt;D xsi:type="xsd:double"&gt;20.213318&lt;/D&gt;&lt;D xsi:type="xsd:double"&gt;11.0463505&lt;/D&gt;&lt;D xsi:type="xsd:double"&gt;9.899199&lt;/D&gt;&lt;D xsi:type="xsd:double"&gt;11.533022&lt;/D&gt;&lt;D xsi:type="xsd:double"&gt;4.457557&lt;/D&gt;&lt;D xsi:type="xsd:double"&gt;-6.7990837&lt;/D&gt;&lt;D xsi:type="xsd:double"&gt;-17.38016&lt;/D&gt;&lt;D xsi:type="xsd:double"&gt;-12.359821&lt;/D&gt;&lt;D xsi:type="xsd:double"&gt;-13.679928&lt;/D&gt;&lt;D xsi:type="xsd:double"&gt;-17.720371&lt;/D&gt;&lt;D xsi:type="xsd:double"&gt;-20.911533&lt;/D&gt;&lt;D xsi:type="xsd:double"&gt;-15.248526&lt;/D&gt;&lt;D xsi:type="xsd:double"&gt;-16.282255&lt;/D&gt;&lt;D xsi:type="xsd:double"&gt;-8.962083&lt;/D&gt;&lt;D xsi:type="xsd:double"&gt;-5.924362&lt;/D&gt;&lt;D xsi:type="xsd:double"&gt;-8.272982&lt;/D&gt;&lt;D xsi:type="xsd:double"&gt;2.3167968&lt;/D&gt;&lt;D xsi:type="xsd:double"&gt;12.381721&lt;/D&gt;&lt;D xsi:type="xsd:double"&gt;17.13748&lt;/D&gt;&lt;D xsi:type="xsd:double"&gt;14.296436&lt;/D&gt;&lt;D xsi:type="xsd:double"&gt;8.3801155&lt;/D&gt;&lt;D xsi:type="xsd:double"&gt;17.493607&lt;/D&gt;&lt;D xsi:type="xsd:double"&gt;14.889884&lt;/D&gt;&lt;D xsi:type="xsd:double"&gt;8.784151&lt;/D&gt;&lt;D xsi:type="xsd:double"&gt;14.521098&lt;/D&gt;&lt;D xsi:type="xsd:double"&gt;6.338382&lt;/D&gt;&lt;D xsi:type="xsd:double"&gt;8.674002&lt;/D&gt;&lt;D xsi:type="xsd:double"&gt;11.376059&lt;/D&gt;&lt;/FQL&gt;&lt;FQL&gt;&lt;Q&gt;DDR3512M-FDS^FG_PRICE_CHANGE(0,-1AM)&lt;/Q&gt;&lt;R&gt;1&lt;/R&gt;&lt;C&gt;1&lt;/C&gt;&lt;D xsi:type="xsd:double"&gt;-0.836157475346266&lt;/D&gt;&lt;/FQL&gt;&lt;FQL&gt;&lt;Q&gt;QQQ^PERCENT_CHANGE(FMA_EPS(+1,0,,,,"PORTAGG","MEAN"),FMA_EPS(+1,-3AM,,,,"PORTAGG","MEAN"))&lt;/Q&gt;&lt;R&gt;1&lt;/R&gt;&lt;C&gt;1&lt;/C&gt;&lt;D xsi:type="xsd:double"&gt;-0.0644825839547809&lt;/D&gt;&lt;/FQL&gt;&lt;FQL&gt;&lt;Q&gt;SPY^SIZE(FG_CONSTITUENTS)&lt;/Q&gt;&lt;R&gt;1&lt;/R&gt;&lt;C&gt;1&lt;/C&gt;&lt;D xsi:type="xsd:long"&gt;504&lt;/D&gt;&lt;/FQL&gt;&lt;FQL&gt;&lt;Q&gt;EWQ^SIZE(FG_CONSTITUENTS)&lt;/Q&gt;&lt;R&gt;1&lt;/R&gt;&lt;C&gt;1&lt;/C&gt;&lt;D xsi:type="xsd:long"&gt;63&lt;/D&gt;&lt;/FQL&gt;&lt;FQL&gt;&lt;Q&gt;EWC^FMA_COS_UP("EPS","1M",+1,0,,,"PORTAGG","MEANR")&lt;/Q&gt;&lt;R&gt;1&lt;/R&gt;&lt;C&gt;1&lt;/C&gt;&lt;D xsi:type="xsd:double"&gt;32&lt;/D&gt;&lt;/FQL&gt;&lt;FQL&gt;&lt;Q&gt;EWQ^FMA_RBICS_REV_CURRENT(30, LOC, "PORTAGG")&lt;/Q&gt;&lt;R&gt;1&lt;/R&gt;&lt;C&gt;1&lt;/C&gt;&lt;D xsi:type="xsd:double"&gt;10.7535343809749&lt;/D&gt;&lt;/FQL&gt;&lt;FQL&gt;&lt;Q&gt;TRYSE10Y-FDS^FG_YIELD_NAME&lt;/Q&gt;&lt;R&gt;1&lt;/R&gt;&lt;C&gt;1&lt;/C&gt;&lt;D xsi:type="xsd:string"&gt;Sweden Benchmark Bond - 10 Year&lt;/D&gt;&lt;/FQL&gt;&lt;FQL&gt;&lt;Q&gt;TRYSE10Y-FDS^PCTCHG(FG_YIELD(0,,,,"YTM"),FG_YIELD(-1AM,,,,"YTM"))&lt;/Q&gt;&lt;R&gt;1&lt;/R&gt;&lt;C&gt;1&lt;/C&gt;&lt;D xsi:type="xsd:double"&gt;-1.3963007&lt;/D&gt;&lt;/FQL&gt;&lt;FQL&gt;&lt;Q&gt;TRYUS10Y-FDS^FG_YIELD(0,,,,"YTM")&lt;/Q&gt;&lt;R&gt;1&lt;/R&gt;&lt;C&gt;1&lt;/C&gt;&lt;D xsi:type="xsd:double"&gt;4.2743&lt;/D&gt;&lt;/FQL&gt;&lt;FQL&gt;&lt;Q&gt;TRYCA10Y-FDS^FG_YIELD(0,,,,"YTM")&lt;/Q&gt;&lt;R&gt;1&lt;/R&gt;&lt;C&gt;1&lt;/C&gt;&lt;D xsi:type="xsd:double"&gt;3.5122&lt;/D&gt;&lt;/FQL&gt;&lt;FQL&gt;&lt;Q&gt;VWO^FMA_EVAL_EBITDA(NTMA,0,,,"PORTAGG","MEANR")&lt;/Q&gt;&lt;R&gt;1&lt;/R&gt;&lt;C&gt;1&lt;/C&gt;&lt;D xsi:type="xsd:double"&gt;8.19565148200538&lt;/D&gt;&lt;/FQL&gt;&lt;FQL&gt;&lt;Q&gt;EWD^FMA_DIV_YLD(NTMA,NOW,NOW,M,"PORTAGG","MEANR")&lt;/Q&gt;&lt;R&gt;1&lt;/R&gt;&lt;C&gt;1&lt;/C&gt;&lt;D xsi:type="xsd:double"&gt;3.29605026326781&lt;/D&gt;&lt;/FQL&gt;&lt;FQL&gt;&lt;Q&gt;SPY^FMA_DIV_YLD(NTMA,NOW,NOW,M,"PORTAGG","MEANR")&lt;/Q&gt;&lt;R&gt;1&lt;/R&gt;&lt;C&gt;1&lt;/C&gt;&lt;D xsi:type="xsd:double"&gt;1.47138559472213&lt;/D&gt;&lt;/FQL&gt;&lt;FQL&gt;&lt;Q&gt;EWL^FG_FCF_YIELD_NTM(0)&lt;/Q&gt;&lt;R&gt;1&lt;/R&gt;&lt;C&gt;1&lt;/C&gt;&lt;D xsi:type="xsd:double"&gt;4.93379248915301&lt;/D&gt;&lt;/FQL&gt;&lt;FQL&gt;&lt;Q&gt;EWC^FMA_PE(NTMA,0,,,"PORTAGG","MEANR")&lt;/Q&gt;&lt;R&gt;1&lt;/R&gt;&lt;C&gt;1&lt;/C&gt;&lt;D xsi:type="xsd:double"&gt;14.4897833466545&lt;/D&gt;&lt;/FQL&gt;&lt;FQL&gt;&lt;Q&gt;EWL^FMA_PE(LTM,0,,,"PORTAGG","MEANR")&lt;/Q&gt;&lt;R&gt;1&lt;/R&gt;&lt;C&gt;1&lt;/C&gt;&lt;D xsi:type="xsd:double"&gt;14.941064251725&lt;/D&gt;&lt;/FQL&gt;&lt;FQL&gt;&lt;Q&gt;USDGBP^STD(FG_PRICE_CHANGE(0,-1AY,AM))&lt;/Q&gt;&lt;R&gt;1&lt;/R&gt;&lt;C&gt;1&lt;/C&gt;&lt;D xsi:type="xsd:double"&gt;1.67905064459856&lt;/D&gt;&lt;/FQL&gt;&lt;FQL&gt;&lt;Q&gt;USDAUD^FG_PRICE_CHANGE(0,-3AM)&lt;/Q&gt;&lt;R&gt;1&lt;/R&gt;&lt;C&gt;1&lt;/C&gt;&lt;D xsi:type="xsd:double"&gt;3.295529&lt;/D&gt;&lt;/FQL&gt;&lt;FQL&gt;&lt;Q&gt;EWI^FMA_PE(NTMA,-10AY,0,AM,"PORTAGG","MEANR")&lt;/Q&gt;&lt;R&gt;121&lt;/R&gt;&lt;C&gt;1&lt;/C&gt;&lt;D xsi:type="xsd:double"&gt;13.302240995688&lt;/D&gt;&lt;D xsi:type="xsd:double"&gt;13.7026595292843&lt;/D&gt;&lt;D xsi:type="xsd:double"&gt;13.4776816445115&lt;/D&gt;&lt;D xsi:type="xsd:double"&gt;14.4776738856528&lt;/D&gt;&lt;D xsi:type="xsd:double"&gt;13.6807443029779&lt;/D&gt;&lt;D xsi:type="xsd:double"&gt;13.3789240313269&lt;/D&gt;&lt;D xsi:type="xsd:double"&gt;13.8927748559943&lt;/D&gt;&lt;D xsi:type="xsd:double"&gt;12.3830650768054&lt;/D&gt;&lt;D xsi:type="xsd:double"&gt;13.135151822678&lt;/D&gt;&lt;D xsi:type="xsd:double"&gt;12.4526822287783&lt;/D&gt;&lt;D xsi:type="xsd:double"&gt;13.516370194816&lt;/D&gt;&lt;D xsi:type="xsd:double"&gt;15.2604524277468&lt;/D&gt;&lt;D xsi:type="xsd:double"&gt;15.7871336688048&lt;/D&gt;&lt;D xsi:type="xsd:double"&gt;15.7895690787065&lt;/D&gt;&lt;D xsi:type="xsd:double"&gt;15.9220003985332&lt;/D&gt;&lt;D xsi:type="xsd:double"&gt;15.0323889583764&lt;/D&gt;&lt;D xsi:type="xsd:double"&gt;15.5047171536576&lt;/D&gt;&lt;D xsi:type="xsd:double"&gt;14.2559178390983&lt;/D&gt;&lt;D xsi:type="xsd:double"&gt;14.294483882522&lt;/D&gt;&lt;D xsi:type="xsd:double"&gt;14.5209852816471&lt;/D&gt;&lt;D xsi:type="xsd:double"&gt;14.7989927951777&lt;/D&gt;&lt;D xsi:type="xsd:double"&gt;13.9377805049168&lt;/D&gt;&lt;D xsi:type="xsd:double"&gt;12.7858930435165&lt;/D&gt;&lt;D xsi:type="xsd:double"&gt;12.1685465185011&lt;/D&gt;&lt;D xsi:type="xsd:double"&gt;13.6308479114004&lt;/D&gt;&lt;D xsi:type="xsd:double"&gt;13.6425093725099&lt;/D&gt;&lt;D xsi:type="xsd:double"&gt;13.572588248728&lt;/D&gt;&lt;D xsi:type="xsd:double"&gt;12.6651518744666&lt;/D&gt;&lt;D xsi:type="xsd:double"&gt;12.400896971519&lt;/D&gt;&lt;D xsi:type="xsd:double"&gt;12.242165454654&lt;/D&gt;&lt;D xsi:type="xsd:double"&gt;11.7911328646665&lt;/D&gt;&lt;D xsi:type="xsd:double"&gt;12.1996159174956&lt;/D&gt;&lt;D xsi:type="xsd:double"&gt;11.4123581893453&lt;/D&gt;&lt;D xsi:type="xsd:double"&gt;13.8702244711954&lt;/D&gt;&lt;D xsi:type="xsd:double"&gt;13.3737120198855&lt;/D&gt;&lt;D xsi:type="xsd:double"&gt;13.1207114342615&lt;/D&gt;&lt;D xsi:type="xsd:double"&gt;13.3918997962252&lt;/D&gt;&lt;D xsi:type="xsd:double"&gt;12.9396446114148&lt;/D&gt;&lt;D xsi:type="xsd:double"&gt;13.8350913214073&lt;/D&gt;&lt;D xsi:type="xsd:double"&gt;13.3693019561813&lt;/D&gt;&lt;D xsi:type="xsd:double"&gt;13.3981315270577&lt;/D&gt;&lt;D xsi:type="xsd:double"&gt;13.2973091631899&lt;/D&gt;&lt;D xsi:type="xsd:double"&gt;13.5367674505143&lt;/D&gt;&lt;D xsi:type="xsd:double"&gt;13.48317368143&lt;/D&gt;&lt;D xsi:type="xsd:double"&gt;13.2280749624318&lt;/D&gt;&lt;D xsi:type="xsd:double"&gt;13.2313803480978&lt;/D&gt;&lt;D xsi:type="xsd:double"&gt;13.723024020421&lt;/D&gt;&lt;D xsi:type="xsd:double"&gt;12.5983893937637&lt;/D&gt;&lt;D xsi:type="xsd:double"&gt;12.6463685920029&lt;/D&gt;&lt;D xsi:type="xsd:double"&gt;13.0694795120097&lt;/D&gt;&lt;D xsi:type="xsd:double"&gt;12.2774044687053&lt;/D&gt;&lt;D xsi:type="xsd:double"&gt;11.4149818646613&lt;/D&gt;&lt;D xsi:type="xsd:double"&gt;11.4033245724639&lt;/D&gt;&lt;D xsi:type="xsd:double"&gt;10.9096215946983&lt;/D&gt;&lt;D xsi:type="xsd:double"&gt;11.0507822568771&lt;/D&gt;&lt;D xsi:type="xsd:double"&gt;9.79563609303259&lt;/D&gt;&lt;D xsi:type="xsd:double"&gt;9.4569440393395&lt;/D&gt;&lt;D xsi:type="xsd:double"&gt;9.22792530018578&lt;/D&gt;&lt;D xsi:type="xsd:double"&gt;9.89856193864263&lt;/D&gt;&lt;D xsi:type="xsd:double"&gt;10.3744610285067&lt;/D&gt;&lt;D xsi:type="xsd:double"&gt;10.8289758309891&lt;/D&gt;&lt;D xsi:type="xsd:double"&gt;10.9743371254587&lt;/D&gt;&lt;D xsi:type="xsd:double"&gt;10.3264210872442&lt;/D&gt;&lt;D xsi:type="xsd:double"&gt;10.5834804241097&lt;/D&gt;&lt;D xsi:type="xsd:double"&gt;10.6509063744615&lt;/D&gt;&lt;D xsi:type="xsd:double"&gt;10.2608045154685&lt;/D&gt;&lt;D xsi:type="xsd:double"&gt;10.8568754332495&lt;/D&gt;&lt;D xsi:type="xsd:double"&gt;10.9480613718074&lt;/D&gt;&lt;D xsi:type="xsd:double"&gt;11.2081993088727&lt;/D&gt;&lt;D xsi:type="xsd:double"&gt;11.6441301000518&lt;/D&gt;&lt;D xsi:type="xsd:double"&gt;11.5075000516322&lt;/D&gt;&lt;D xsi:type="xsd:double"&gt;11.828448499122&lt;/D&gt;&lt;D xsi:type="xsd:double"&gt;8.35411352793344&lt;/D&gt;&lt;D xsi:type="xsd:double"&gt;11.0927849683033&lt;/D&gt;&lt;D xsi:type="xsd:double"&gt;14.7608812140403&lt;/D&gt;&lt;D xsi:type="xsd:double"&gt;17.4875203492844&lt;/D&gt;&lt;D xsi:type="xsd:double"&gt;18.0188261017635&lt;/D&gt;&lt;D xsi:type="xsd:double"&gt;15.9451028948637&lt;/D&gt;&lt;D xsi:type="xsd:double"&gt;14.7315639704691&lt;/D&gt;&lt;D xsi:type="xsd:double"&gt;14.2741902544344&lt;/D&gt;&lt;D xsi:type="xsd:double"&gt;15.0491033127265&lt;/D&gt;&lt;D xsi:type="xsd:double"&gt;14.4279889563446&lt;/D&gt;&lt;D xsi:type="xsd:double"&gt;13.71568750438&lt;/D&gt;&lt;D xsi:type="xsd:double"&gt;13.9221333156361&lt;/D&gt;&lt;D xsi:type="xsd:double"&gt;13.9818339571607&lt;/D&gt;&lt;D xsi:type="xsd:double"&gt;13.6382841386851&lt;/D&gt;&lt;D xsi:type="xsd:double"&gt;13.4035616926896&lt;/D&gt;&lt;D xsi:type="xsd:double"&gt;13.6321018750563&lt;/D&gt;&lt;D xsi:type="xsd:double"&gt;12.8527946096819&lt;/D&gt;&lt;D xsi:type="xsd:double"&gt;12.0186063033334&lt;/D&gt;&lt;D xsi:type="xsd:double"&gt;11.4450783265712&lt;/D&gt;&lt;D xsi:type="xsd:double"&gt;11.7223909091765&lt;/D&gt;&lt;D xsi:type="xsd:double"&gt;11.5928211158226&lt;/D&gt;&lt;D xsi:type="xsd:double"&gt;10.8317913621391&lt;/D&gt;&lt;D xsi:type="xsd:double"&gt;10.9981908732871&lt;/D&gt;&lt;D xsi:type="xsd:double"&gt;10.444037929157&lt;/D&gt;&lt;D xsi:type="xsd:double"&gt;9.54861076796183&lt;/D&gt;&lt;D xsi:type="xsd:double"&gt;9.6226162917251&lt;/D&gt;&lt;D xsi:type="xsd:double"&gt;8.90785669063103&lt;/D&gt;&lt;D xsi:type="xsd:double"&gt;7.97542926301005&lt;/D&gt;&lt;D xsi:type="xsd:double"&gt;7.53245185288894&lt;/D&gt;&lt;D xsi:type="xsd:double"&gt;7.62370502669908&lt;/D&gt;&lt;D xsi:type="xsd:double"&gt;7.59721448706027&lt;/D&gt;&lt;D xsi:type="xsd:double"&gt;7.49291811311296&lt;/D&gt;&lt;D xsi:type="xsd:double"&gt;8.12454440955473&lt;/D&gt;&lt;D xsi:type="xsd:double"&gt;7.72763550418207&lt;/D&gt;&lt;D xsi:type="xsd:double"&gt;8.29440782774337&lt;/D&gt;&lt;D xsi:type="xsd:double"&gt;8.41861628269522&lt;/D&gt;&lt;D xsi:type="xsd:double"&gt;8.30485781442474&lt;/D&gt;&lt;D xsi:type="xsd:double"&gt;8.75966805782665&lt;/D&gt;&lt;D xsi:type="xsd:double"&gt;8.34700697675159&lt;/D&gt;&lt;D xsi:type="xsd:double"&gt;8.65919059523636&lt;/D&gt;&lt;D xsi:type="xsd:double"&gt;8.89242912265706&lt;/D&gt;&lt;D xsi:type="xsd:double"&gt;8.15536973994077&lt;/D&gt;&lt;D xsi:type="xsd:double"&gt;8.42552958048526&lt;/D&gt;&lt;D xsi:type="xsd:double"&gt;7.91299649428939&lt;/D&gt;&lt;D xsi:type="xsd:double"&gt;8.22975270091929&lt;/D&gt;&lt;D xsi:type="xsd:double"&gt;8.87645510234631&lt;/D&gt;&lt;D xsi:type="xsd:double"&gt;8.93349903197918&lt;/D&gt;&lt;D xsi:type="xsd:double"&gt;9.10322842409733&lt;/D&gt;&lt;D xsi:type="xsd:double"&gt;9.73164023124763&lt;/D&gt;&lt;/FQL&gt;&lt;FQL&gt;&lt;Q&gt;PLATI-FDS^FG_PRICE_MAVG(0,,,,30)&lt;/Q&gt;&lt;R&gt;1&lt;/R&gt;&lt;C&gt;1&lt;/C&gt;&lt;D xsi:type="xsd:double"&gt;906.9&lt;/D&gt;&lt;/FQL&gt;&lt;FQL&gt;&lt;Q&gt;COPP-FDS^FG_PRICE_MAVG(0,,,,30)&lt;/Q&gt;&lt;R&gt;1&lt;/R&gt;&lt;C&gt;1&lt;/C&gt;&lt;D xsi:type="xsd:double"&gt;3.8833334&lt;/D&gt;&lt;/FQL&gt;&lt;FQL&gt;&lt;Q&gt;EWI^FG_PRICE_MAVG(0,,,,30)&lt;/Q&gt;&lt;R&gt;1&lt;/R&gt;&lt;C&gt;1&lt;/C&gt;&lt;D xsi:type="xsd:double"&gt;35.828667&lt;/D&gt;&lt;/FQL&gt;&lt;FQL&gt;&lt;Q&gt;EWJ^FG_PRICE_MAVG(0,,,,30)&lt;/Q&gt;&lt;R&gt;1&lt;/R&gt;&lt;C&gt;1&lt;/C&gt;&lt;D xsi:type="xsd:double"&gt;69.183&lt;/D&gt;&lt;/FQL&gt;&lt;FQL&gt;&lt;Q&gt;VGK^P_PRICE(0)/P_PRICE_HIGH_PR(0,,,USD,,,"PRICE","INTRA","52W")&lt;/Q&gt;&lt;R&gt;1&lt;/R&gt;&lt;C&gt;1&lt;/C&gt;&lt;D xsi:type="xsd:double"&gt;0.98908234&lt;/D&gt;&lt;/FQL&gt;&lt;FQL&gt;&lt;Q&gt;QQQ^PERCENT_CHANGE(FMA_EPS(+1,0,,,,"PORTAGG","MEAN"),FMA_EPS(+1,-1AM,,,,"PORTAGG","MEAN"))&lt;/Q&gt;&lt;R&gt;1&lt;/R&gt;&lt;C&gt;1&lt;/C&gt;&lt;D xsi:type="xsd:double"&gt;0.143941652800729&lt;/D&gt;&lt;/FQL&gt;&lt;FQL&gt;&lt;Q&gt;EWA^FG_TOTAL_RETURNC(0,-12AM)&lt;/Q&gt;&lt;R&gt;1&lt;/R&gt;&lt;C&gt;1&lt;/C&gt;&lt;D xsi:type="xsd:double"&gt;14.080084&lt;/D&gt;&lt;/FQL&gt;&lt;FQL&gt;&lt;Q&gt;EWQ^FMA_COS_UP("EPS","1M",+1,0,,,"PORTAGG","MEANR")&lt;/Q&gt;&lt;R&gt;1&lt;/R&gt;&lt;C&gt;1&lt;/C&gt;&lt;D xsi:type="xsd:double"&gt;29&lt;/D&gt;&lt;/FQL&gt;&lt;FQL&gt;&lt;Q&gt;SPY^FMA_RBICS_REV_CURRENT(30, LOC, "PORTAGG")&lt;/Q&gt;&lt;R&gt;1&lt;/R&gt;&lt;C&gt;1&lt;/C&gt;&lt;D xsi:type="xsd:double"&gt;12.5169610337793&lt;/D&gt;&lt;/FQL&gt;&lt;FQL&gt;&lt;Q&gt;REFCHMPR-FDS^FG_YIELD(NOW,,,0)&lt;/Q&gt;&lt;R&gt;1&lt;/R&gt;&lt;C&gt;1&lt;/C&gt;&lt;D xsi:type="xsd:double"&gt;1.5&lt;/D&gt;&lt;/FQL&gt;&lt;FQL&gt;&lt;Q&gt;TRYIT10Y-FDS^FG_YIELD(0,,,,"YTM")&lt;/Q&gt;&lt;R&gt;1&lt;/R&gt;&lt;C&gt;1&lt;/C&gt;&lt;D xsi:type="xsd:double"&gt;3.679&lt;/D&gt;&lt;/FQL&gt;&lt;FQL&gt;&lt;Q&gt;EWD^FMA_PE(NTMA,0,,,"PORTAGG","MEANR")&lt;/Q&gt;&lt;R&gt;1&lt;/R&gt;&lt;C&gt;1&lt;/C&gt;&lt;D xsi:type="xsd:double"&gt;16.4969837914038&lt;/D&gt;&lt;/FQL&gt;&lt;FQL&gt;&lt;Q&gt;EWC^FMA_PE(LTM,0,,,"PORTAGG","MEANR")&lt;/Q&gt;&lt;R&gt;1&lt;/R&gt;&lt;C&gt;1&lt;/C&gt;&lt;D xsi:type="xsd:double"&gt;16.5205488086943&lt;/D&gt;&lt;/FQL&gt;&lt;FQL&gt;&lt;Q&gt;DBA^P_PRICE(0)/P_PRICE_HIGH_PR(0,,,USD,,,"PRICE","INTRA","52W")&lt;/Q&gt;&lt;R&gt;1&lt;/R&gt;&lt;C&gt;1&lt;/C&gt;&lt;D xsi:type="xsd:double"&gt;0.9991646&lt;/D&gt;&lt;/FQL&gt;&lt;FQL&gt;&lt;Q&gt;REFEUREFI-FDS^(SUBARRAY(NOT_NA(NO_REPEAT_F(FG_YIELD(NOW,-10AY,D))),0,1)-SUBARRAY(NOT_NA(NO_REPEAT_F(FG_YIELD(NOW,-10AY,D))),1,1))*100&lt;/Q&gt;&lt;R&gt;1&lt;/R&gt;&lt;C&gt;1&lt;/C&gt;&lt;D xsi:type="xsd:double"&gt;25&lt;/D&gt;&lt;/FQL&gt;&lt;FQL&gt;&lt;Q&gt;VWO^FMA_DIV_YLD(NTMA,NOW,NOW,M,"PORTAGG","MEANR")&lt;/Q&gt;&lt;R&gt;1&lt;/R&gt;&lt;C&gt;1&lt;/C&gt;&lt;D xsi:type="xsd:double"&gt;3.15415612175552&lt;/D&gt;&lt;/FQL&gt;&lt;FQL&gt;&lt;Q&gt;EWC^JULIAN(FMA_DIV_YLD(NTMA,NOW,NOW,M,"PORTAGG","MEANR").DATES)&lt;/Q&gt;&lt;R&gt;1&lt;/R&gt;&lt;C&gt;1&lt;/C&gt;&lt;D xsi:type="xsd:long"&gt;45351&lt;/D&gt;&lt;/FQL&gt;&lt;FQL&gt;&lt;Q&gt;SPY^FMA_PE(LTM,0,,,"PORTAGG","MEANR")&lt;/Q&gt;&lt;R&gt;1&lt;/R&gt;&lt;C&gt;1&lt;/C&gt;&lt;D xsi:type="xsd:double"&gt;25.8951431545667&lt;/D&gt;&lt;/FQL&gt;&lt;FQL&gt;&lt;Q&gt;EWN^FG_PRICE(0)&lt;/Q&gt;&lt;R&gt;1&lt;/R&gt;&lt;C&gt;1&lt;/C&gt;&lt;D xsi:type="xsd:double"&gt;49.35&lt;/D&gt;&lt;/FQL&gt;&lt;FQL&gt;&lt;Q&gt;VGK^FG_TOTAL_RETURNC(0,-3AM)&lt;/Q&gt;&lt;R&gt;1&lt;/R&gt;&lt;C&gt;1&lt;/C&gt;&lt;D xsi:type="xsd:double"&gt;5.2331448&lt;/D&gt;&lt;/FQL&gt;&lt;FQL&gt;&lt;Q&gt;EWU^FG_TOTAL_RETURNC(0,-12AM)&lt;/Q&gt;&lt;R&gt;1&lt;/R&gt;&lt;C&gt;1&lt;/C&gt;&lt;D xsi:type="xsd:double"&gt;12.062347&lt;/D&gt;&lt;/FQL&gt;&lt;FQL&gt;&lt;Q&gt;REFJPTON-FDS^(SUBARRAY(NOT_NA(NO_REPEAT_F(FG_YIELD(NOW,-10AY,D))),0,1)-SUBARRAY(NOT_NA(NO_REPEAT_F(FG_YIELD(NOW,-10AY,D))),1,1))*100&lt;/Q&gt;&lt;R&gt;1&lt;/R&gt;&lt;C&gt;1&lt;/C&gt;&lt;D xsi:type="xsd:double"&gt;20&lt;/D&gt;&lt;/FQL&gt;&lt;FQL&gt;&lt;Q&gt;EWC^FMA_ROE(NTMA,-20AY,NOW,FY,"PORTAGG","MEANR")&lt;/Q&gt;&lt;R&gt;20&lt;/R&gt;&lt;C&gt;1&lt;/C&gt;&lt;D xsi:type="xsd:double"&gt;14.6738571923606&lt;/D&gt;&lt;D xsi:type="xsd:double"&gt;15.7709471724654&lt;/D&gt;&lt;D xsi:type="xsd:double"&gt;15.8547136543611&lt;/D&gt;&lt;D xsi:type="xsd:double"&gt;16.5705490516163&lt;/D&gt;&lt;D xsi:type="xsd:double"&gt;13.8099900139916&lt;/D&gt;&lt;D xsi:type="xsd:double"&gt;11.8327104416904&lt;/D&gt;&lt;D xsi:type="xsd:double"&gt;12.6984457284378&lt;/D&gt;&lt;D xsi:type="xsd:double"&gt;13.5092848924233&lt;/D&gt;&lt;D xsi:type="xsd:double"&gt;12.804929450575&lt;/D&gt;&lt;D xsi:type="xsd:double"&gt;12.2925364029644&lt;/D&gt;&lt;D xsi:type="xsd:double"&gt;11.8034021278505&lt;/D&gt;&lt;D xsi:type="xsd:double"&gt;10.9923508764539&lt;/D&gt;&lt;D xsi:type="xsd:double"&gt;11.4792366602027&lt;/D&gt;&lt;D xsi:type="xsd:double"&gt;11.3979128674428&lt;/D&gt;&lt;D xsi:type="xsd:double"&gt;12.4990081822477&lt;/D&gt;&lt;D xsi:type="xsd:double"&gt;11.9786783863837&lt;/D&gt;&lt;D xsi:type="xsd:double"&gt;11.1922086822881&lt;/D&gt;&lt;D xsi:type="xsd:double"&gt;14.1061782856045&lt;/D&gt;&lt;D xsi:type="xsd:double"&gt;14.0029403106189&lt;/D&gt;&lt;D xsi:type="xsd:double"&gt;13.1440312273413&lt;/D&gt;&lt;/FQL&gt;&lt;FQL&gt;&lt;Q&gt;TRYUS10Y-FDS^PCTCHG(FG_YIELD(0,,,,"YTM"),FG_YIELD(-3AM,,,,"YTM"))&lt;/Q&gt;&lt;R&gt;1&lt;/R&gt;&lt;C&gt;1&lt;/C&gt;&lt;D xsi:type="xsd:double"&gt;10.065925&lt;/D&gt;&lt;/FQL&gt;&lt;FQL&gt;&lt;Q&gt;EWJ^FMA_DIV_YLD(NTMA,NOW,NOW,M,"PORTAGG","MEANR")&lt;/Q&gt;&lt;R&gt;1&lt;/R&gt;&lt;C&gt;1&lt;/C&gt;&lt;D xsi:type="xsd:double"&gt;2.19308426995126&lt;/D&gt;&lt;/FQL&gt;&lt;FQL&gt;&lt;Q&gt;EWU^FG_TOTAL_RETURNC(0,-3AM)&lt;/Q&gt;&lt;R&gt;1&lt;/R&gt;&lt;C&gt;1&lt;/C&gt;&lt;D xsi:type="xsd:double"&gt;3.2611966&lt;/D&gt;&lt;/FQL&gt;&lt;FQL&gt;&lt;Q&gt;TRYCA10Y-FDS^FG_YIELD_NAME&lt;/Q&gt;&lt;R&gt;1&lt;/R&gt;&lt;C&gt;1&lt;/C&gt;&lt;D xsi:type="xsd:string"&gt;Canada Benchmark Bond - 10 Year&lt;/D&gt;&lt;/FQL&gt;&lt;FQL&gt;&lt;Q&gt;EWG^FG_TOTAL_RETURNC(-10AY,0,AM)&lt;/Q&gt;&lt;R&gt;121&lt;/R&gt;&lt;C&gt;1&lt;/C&gt;&lt;D xsi:type="xsd:double"&gt;-3.45155&lt;/D&gt;&lt;D xsi:type="xsd:double"&gt;1.9678593&lt;/D&gt;&lt;D xsi:type="xsd:double"&gt;1.2222528&lt;/D&gt;&lt;D xsi:type="xsd:double"&gt;2.2878885&lt;/D&gt;&lt;D xsi:type="xsd:double"&gt;-4.0992975&lt;/D&gt;&lt;D xsi:type="xsd:double"&gt;-4.2300105&lt;/D&gt;&lt;D xsi:type="xsd:double"&gt;0.44858456&lt;/D&gt;&lt;D xsi:type="xsd:double"&gt;-9.172106&lt;/D&gt;&lt;D xsi:type="xsd:double"&gt;5.8055997&lt;/D&gt;&lt;D xsi:type="xsd:double"&gt;-0.518322&lt;/D&gt;&lt;D xsi:type="xsd:double"&gt;0.07187128&lt;/D&gt;&lt;D xsi:type="xsd:double"&gt;5.9245944&lt;/D&gt;&lt;D xsi:type="xsd:double"&gt;2.5762677&lt;/D&gt;&lt;D xsi:type="xsd:double"&gt;-1.2227416&lt;/D&gt;&lt;D xsi:type="xsd:double"&gt;2.308464&lt;/D&gt;&lt;D xsi:type="xsd:double"&gt;-5.232179&lt;/D&gt;&lt;D xsi:type="xsd:double"&gt;1.4195085&lt;/D&gt;&lt;D xsi:type="xsd:double"&gt;-9.968847&lt;/D&gt;&lt;D xsi:type="xsd:double"&gt;-1.6916573&lt;/D&gt;&lt;D xsi:type="xsd:double"&gt;2.9722333&lt;/D&gt;&lt;D xsi:type="xsd:double"&gt;2.0129204&lt;/D&gt;&lt;D xsi:type="xsd:double"&gt;-2.1965742&lt;/D&gt;&lt;D xsi:type="xsd:double"&gt;-9.668827&lt;/D&gt;&lt;D xsi:type="xsd:double"&gt;0.67424774&lt;/D&gt;&lt;D xsi:type="xsd:double"&gt;6.8229437&lt;/D&gt;&lt;D xsi:type="xsd:double"&gt;4.506266&lt;/D&gt;&lt;D xsi:type="xsd:double"&gt;-5.0993624&lt;/D&gt;&lt;D xsi:type="xsd:double"&gt;1.698935&lt;/D&gt;&lt;D xsi:type="xsd:double"&gt;-1.3504684&lt;/D&gt;&lt;D xsi:type="xsd:double"&gt;7.139969&lt;/D&gt;&lt;D xsi:type="xsd:double"&gt;-1.5813231&lt;/D&gt;&lt;D xsi:type="xsd:double"&gt;-1.1476636&lt;/D&gt;&lt;D xsi:type="xsd:double"&gt;-3.1733751&lt;/D&gt;&lt;D xsi:type="xsd:double"&gt;5.112052&lt;/D&gt;&lt;D xsi:type="xsd:double"&gt;3.8797975&lt;/D&gt;&lt;D xsi:type="xsd:double"&gt;1.7209888&lt;/D&gt;&lt;D xsi:type="xsd:double"&gt;1.5838742&lt;/D&gt;&lt;D xsi:type="xsd:double"&gt;0.42523146&lt;/D&gt;&lt;D xsi:type="xsd:double"&gt;9.244883&lt;/D&gt;&lt;D xsi:type="xsd:double"&gt;0.63034296&lt;/D&gt;&lt;D xsi:type="xsd:double"&gt;0.3272295&lt;/D&gt;&lt;D xsi:type="xsd:double"&gt;-0.3913879</t>
        </r>
      </text>
    </comment>
    <comment ref="A11" authorId="0" shapeId="0" xr:uid="{E4C992BB-84AF-4640-B1F7-C4841477355B}">
      <text>
        <r>
          <rPr>
            <b/>
            <sz val="9"/>
            <color indexed="81"/>
            <rFont val="Tahoma"/>
            <charset val="1"/>
          </rPr>
          <t>4&lt;/D&gt;&lt;D xsi:type="xsd:double"&gt;5.206287&lt;/D&gt;&lt;D xsi:type="xsd:double"&gt;1.5561819&lt;/D&gt;&lt;D xsi:type="xsd:double"&gt;1.2565136&lt;/D&gt;&lt;D xsi:type="xsd:double"&gt;0.64685345&lt;/D&gt;&lt;D xsi:type="xsd:double"&gt;6.2405944&lt;/D&gt;&lt;D xsi:type="xsd:double"&gt;-7.122594&lt;/D&gt;&lt;D xsi:type="xsd:double"&gt;-0.8554816&lt;/D&gt;&lt;D xsi:type="xsd:double"&gt;1.5716434&lt;/D&gt;&lt;D xsi:type="xsd:double"&gt;0.5461216&lt;/D&gt;&lt;D xsi:type="xsd:double"&gt;-6.23855&lt;/D&gt;&lt;D xsi:type="xsd:double"&gt;1.4172673&lt;/D&gt;&lt;D xsi:type="xsd:double"&gt;-2.1124482&lt;/D&gt;&lt;D xsi:type="xsd:double"&gt;1.527226&lt;/D&gt;&lt;D xsi:type="xsd:double"&gt;-8.960104&lt;/D&gt;&lt;D xsi:type="xsd:double"&gt;-3.556031&lt;/D&gt;&lt;D xsi:type="xsd:double"&gt;-7.076347&lt;/D&gt;&lt;D xsi:type="xsd:double"&gt;6.973946&lt;/D&gt;&lt;D xsi:type="xsd:double"&gt;0.97414255&lt;/D&gt;&lt;D xsi:type="xsd:double"&gt;2.0408154&lt;/D&gt;&lt;D xsi:type="xsd:double"&gt;3.8909078&lt;/D&gt;&lt;D xsi:type="xsd:double"&gt;-2.100104&lt;/D&gt;&lt;D xsi:type="xsd:double"&gt;1.9693375&lt;/D&gt;&lt;D xsi:type="xsd:double"&gt;-1.7291069&lt;/D&gt;&lt;D xsi:type="xsd:double"&gt;-4.2888584&lt;/D&gt;&lt;D xsi:type="xsd:double"&gt;4.098046&lt;/D&gt;&lt;D xsi:type="xsd:double"&gt;4.2678475&lt;/D&gt;&lt;D xsi:type="xsd:double"&gt;1.9054294&lt;/D&gt;&lt;D xsi:type="xsd:double"&gt;1.4542937&lt;/D&gt;&lt;D xsi:type="xsd:double"&gt;1.7747402&lt;/D&gt;&lt;D xsi:type="xsd:double"&gt;-2.2803485&lt;/D&gt;&lt;D xsi:type="xsd:double"&gt;-37.371307&lt;/D&gt;&lt;D xsi:type="xsd:double"&gt;21.479452&lt;/D&gt;&lt;D xsi:type="xsd:double"&gt;8.930981&lt;/D&gt;&lt;D xsi:type="xsd:double"&gt;11.921191&lt;/D&gt;&lt;D xsi:type="xsd:double"&gt;9.831774&lt;/D&gt;&lt;D xsi:type="xsd:double"&gt;0.3063321&lt;/D&gt;&lt;D xsi:type="xsd:double"&gt;-1.5609086&lt;/D&gt;&lt;D xsi:type="xsd:double"&gt;0.4136443&lt;/D&gt;&lt;D xsi:type="xsd:double"&gt;3.2955766&lt;/D&gt;&lt;D xsi:type="xsd:double"&gt;5.6346774&lt;/D&gt;&lt;D xsi:type="xsd:double"&gt;4.109597&lt;/D&gt;&lt;D xsi:type="xsd:double"&gt;0.030589104&lt;/D&gt;&lt;D xsi:type="xsd:double"&gt;1.6824841&lt;/D&gt;&lt;D xsi:type="xsd:double"&gt;4.993987&lt;/D&gt;&lt;D xsi:type="xsd:double"&gt;1.9197702&lt;/D&gt;&lt;D xsi:type="xsd:double"&gt;-0.15932322&lt;/D&gt;&lt;D xsi:type="xsd:double"&gt;-1.9759417&lt;/D&gt;&lt;D xsi:type="xsd:double"&gt;1.1101365&lt;/D&gt;&lt;D xsi:type="xsd:double"&gt;-3.0627012&lt;/D&gt;&lt;D xsi:type="xsd:double"&gt;-0.029802322&lt;/D&gt;&lt;D xsi:type="xsd:double"&gt;0.7453799&lt;/D&gt;&lt;D xsi:type="xsd:double"&gt;-4.33405&lt;/D&gt;&lt;D xsi:type="xsd:double"&gt;0.19267797&lt;/D&gt;&lt;D xsi:type="xsd:double"&gt;-2.8340101&lt;/D&gt;&lt;D xsi:type="xsd:double"&gt;-8.846151&lt;/D&gt;&lt;D xsi:type="xsd:double"&gt;-2.8129458&lt;/D&gt;&lt;D xsi:type="xsd:double"&gt;-5.607814&lt;/D&gt;&lt;D xsi:type="xsd:double"&gt;-5.5220184&lt;/D&gt;&lt;D xsi:type="xsd:double"&gt;-3.6804676&lt;/D&gt;&lt;D xsi:type="xsd:double"&gt;-0.17368793&lt;/D&gt;&lt;D xsi:type="xsd:double"&gt;-8.916914&lt;/D&gt;&lt;D xsi:type="xsd:double"&gt;1.193893&lt;/D&gt;&lt;D xsi:type="xsd:double"&gt;16.422844&lt;/D&gt;&lt;D xsi:type="xsd:double"&gt;1.0473251&lt;/D&gt;&lt;D xsi:type="xsd:double"&gt;11.436594&lt;/D&gt;&lt;D xsi:type="xsd:double"&gt;-0.32408834&lt;/D&gt;&lt;D xsi:type="xsd:double"&gt;-0.7225454&lt;/D&gt;&lt;D xsi:type="xsd:double"&gt;6.4774394&lt;/D&gt;&lt;D xsi:type="xsd:double"&gt;0.2050519&lt;/D&gt;&lt;D xsi:type="xsd:double"&gt;-0.5131066&lt;/D&gt;&lt;D xsi:type="xsd:double"&gt;2.5008798&lt;/D&gt;&lt;D xsi:type="xsd:double"&gt;-5.1890016&lt;/D&gt;&lt;D xsi:type="xsd:double"&gt;-3.2982945&lt;/D&gt;&lt;D xsi:type="xsd:double"&gt;-5.584705&lt;/D&gt;&lt;D xsi:type="xsd:double"&gt;10.758233&lt;/D&gt;&lt;D xsi:type="xsd:double"&gt;5.883682&lt;/D&gt;&lt;D xsi:type="xsd:double"&gt;-2.2004128&lt;/D&gt;&lt;D xsi:type="xsd:double"&gt;2.8383493&lt;/D&gt;&lt;D xsi:type="xsd:double"&gt;5.385399&lt;/D&gt;&lt;/FQL&gt;&lt;FQL&gt;&lt;Q&gt;CAGDPY@JP^EE_ACTUAL_ANNUAL(MED,+1)&lt;/Q&gt;&lt;R&gt;1&lt;/R&gt;&lt;C&gt;1&lt;/C&gt;&lt;D xsi:type="xsd:double"&gt;3.4&lt;/D&gt;&lt;/FQL&gt;&lt;FQL&gt;&lt;Q&gt;USDAUD^FG_PRICE_CHANGE(0,-1AM)&lt;/Q&gt;&lt;R&gt;1&lt;/R&gt;&lt;C&gt;1&lt;/C&gt;&lt;D xsi:type="xsd:double"&gt;-0.39577484&lt;/D&gt;&lt;/FQL&gt;&lt;FQL&gt;&lt;Q&gt;EWJ^P_PRICE_RETURNS_PR('52W',2,-10AY,0,AM)&lt;/Q&gt;&lt;R&gt;121&lt;/R&gt;&lt;C&gt;1&lt;/C&gt;&lt;D xsi:type="xsd:double"&gt;2.5809765&lt;/D&gt;&lt;D xsi:type="xsd:double"&gt;-0.26069283&lt;/D&gt;&lt;D xsi:type="xsd:double"&gt;-7.827723&lt;/D&gt;&lt;D xsi:type="xsd:double"&gt;14.878643&lt;/D&gt;&lt;D xsi:type="xsd:double"&gt;2.7017117&lt;/D&gt;&lt;D xsi:type="xsd:double"&gt;10.140753&lt;/D&gt;&lt;D xsi:type="xsd:double"&gt;-0.17740726&lt;/D&gt;&lt;D xsi:type="xsd:double"&gt;-6.541443&lt;/D&gt;&lt;D xsi:type="xsd:double"&gt;-3.030312&lt;/D&gt;&lt;D xsi:type="xsd:double"&gt;-0.9602964&lt;/D&gt;&lt;D xsi:type="xsd:double"&gt;-3.9253712&lt;/D&gt;&lt;D xsi:type="xsd:double"&gt;9.347141&lt;/D&gt;&lt;D xsi:type="xsd:double"&gt;18.696928&lt;/D&gt;&lt;D xsi:type="xsd:double"&gt;19.303858&lt;/D&gt;&lt;D xsi:type="xsd:double"&gt;20.634687&lt;/D&gt;&lt;D xsi:type="xsd:double"&gt;6.8479896&lt;/D&gt;&lt;D xsi:type="xsd:double"&gt;8.114195&lt;/D&gt;&lt;D xsi:type="xsd:double"&gt;0.3383875&lt;/D&gt;&lt;D xsi:type="xsd:double"&gt;-0.8728802&lt;/D&gt;&lt;D xsi:type="xsd:double"&gt;11.078501&lt;/D&gt;&lt;D xsi:type="xsd:double"&gt;10.461569&lt;/D&gt;&lt;D xsi:type="xsd:double"&gt;5.9857607&lt;/D&gt;&lt;D xsi:type="xsd:double"&gt;-4.510832&lt;/D&gt;&lt;D xsi:type="xsd:double"&gt;-10.279221&lt;/D&gt;&lt;D xsi:type="xsd:double"&gt;-9.116613&lt;/D&gt;&lt;D xsi:type="xsd:double"&gt;-6.8350315&lt;/D&gt;&lt;D xsi:type="xsd:double"&gt;-11.284727&lt;/D&gt;&lt;D xsi:type="xsd:double"&gt;-7.2723746&lt;/D&gt;&lt;D xsi:type="xsd:double"&gt;-7.103312&lt;/D&gt;&lt;D xsi:type="xsd:double"&gt;-1.8250346&lt;/D&gt;&lt;D xsi:type="xsd:double"&gt;10.99614&lt;/D&gt;&lt;D xsi:type="xsd:double"&gt;4.2645335&lt;/D&gt;&lt;D xsi:type="xsd:double"&gt;0.13953447&lt;/D&gt;&lt;D xsi:type="xsd:double"&gt;5.254984&lt;/D&gt;&lt;D xsi:type="xsd:double"&gt;18.74429&lt;/D&gt;&lt;D xsi:type="xsd:double"&gt;21.513962&lt;/D&gt;&lt;D xsi:type="xsd:double"&gt;14.035427&lt;/D&gt;&lt;D xsi:type="xsd:double"&gt;8.24399&lt;/D&gt;&lt;D xsi:type="xsd:double"&gt;17.196918&lt;/D&gt;&lt;D xsi:type="xsd:double"&gt;17.67435&lt;/D&gt;&lt;D xsi:type="xsd:double"&gt;16.874718&lt;/D&gt;&lt;D xsi:type="xsd:double"&gt;12.441707&lt;/D&gt;&lt;D xsi:type="xsd:double"&gt;11.335492&lt;/D&gt;&lt;D xsi:type="xsd:double"&gt;16.486729&lt;/D&gt;&lt;D xsi:type="xsd:double"&gt;21.72327&lt;/D&gt;&lt;D xsi:type="xsd:double"&gt;21.643364&lt;/D&gt;&lt;D xsi:type="xsd:double"&gt;28.904999&lt;/D&gt;&lt;D xsi:type="xsd:double"&gt;18.728388&lt;/D&gt;&lt;D xsi:type="xsd:double"&gt;18.336285&lt;/D&gt;&lt;D xsi:type="xsd:double"&gt;19.934141&lt;/D&gt;&lt;D xsi:type="xsd:double"&gt;16.654814&lt;/D&gt;&lt;D xsi:type="xsd:double"&gt;10.123194&lt;/D&gt;&lt;D xsi:type="xsd:double"&gt;8.806992&lt;/D&gt;&lt;D xsi:type="xsd:double"&gt;7.210183&lt;/D&gt;&lt;D xsi:type="xsd:double"&gt;10.015631&lt;/D&gt;&lt;D xsi:type="xsd:double"&gt;0.15021563&lt;/D&gt;&lt;D xsi:type="xsd:double"&gt;-7.4737253&lt;/D&gt;&lt;D xsi:type="xsd:double"&gt;-15.558201&lt;/D&gt;&lt;D xsi:type="xsd:double"&gt;-13.294422&lt;/D&gt;&lt;D xsi:type="xsd:double"&gt;-8.391857&lt;/D&gt;&lt;D xsi:type="xsd:double"&gt;-7.24265&lt;/D&gt;&lt;D xsi:type="xsd:double"&gt;-7.902813&lt;/D&gt;&lt;D xsi:type="xsd:double"&gt;-10.590368&lt;/D&gt;&lt;D xsi:type="xsd:double"&gt;-5.4775896&lt;/D&gt;&lt;D xsi:type="xsd:double"&gt;-4.1643915&lt;/D&gt;&lt;D xsi:type="xsd:double"&gt;-5.288368&lt;/D&gt;&lt;D xsi:type="xsd:double"&gt;-3.3336997&lt;/D&gt;&lt;D xsi:type="xsd:double"&gt;3.7189841&lt;/D&gt;&lt;D xsi:type="xsd:double"&gt;11.526155&lt;/D&gt;&lt;D xsi:type="xsd:double"&gt;19.203722&lt;/D&gt;&lt;D xsi:type="xsd:double"&gt;12.043512&lt;/D&gt;&lt;D xsi:type="xsd:double"&gt;5.9802055&lt;/D&gt;&lt;D xsi:type="xsd:double"&gt;-15.501463&lt;/D&gt;&lt;D xsi:type="xsd:double"&gt;-8.556289&lt;/D&gt;&lt;D xsi:type="xsd:double"&gt;-0.11547208&lt;/D&gt;&lt;D xsi:type="xsd:double"&gt;4.9200296&lt;/D&gt;&lt;D xsi:type="xsd:double"&gt;4.9093485&lt;/D&gt;&lt;D xsi:type="xsd:double"&gt;9.896242&lt;/D&gt;&lt;D xsi:type="xsd:double"&gt;4.5599937&lt;/D&gt;&lt;D xsi:type="xsd:double"&gt;4.9292207&lt;/D&gt;&lt;D xsi:type="xsd:double"&gt;11.037564&lt;/D&gt;&lt;D xsi:type="xsd:double"&gt;11.3976&lt;/D&gt;&lt;D xsi:type="xsd:double"&gt;17.852795&lt;/D&gt;&lt;D xsi:type="xsd:double"&gt;25.598013&lt;/D&gt;&lt;D xsi:type="xsd:double"&gt;58.968807&lt;/D&gt;&lt;D xsi:type="xsd:double"&gt;39.576756&lt;/D&gt;&lt;D xsi:type="xsd:double"&gt;30.689991&lt;/D&gt;&lt;D xsi:type="xsd:double"&gt;22.661245&lt;/D&gt;&lt;D xsi:type="xsd:double"&gt;21.451616&lt;/D&gt;&lt;D xsi:type="xsd:double"&gt;16.691065&lt;/D&gt;&lt;D xsi:type="xsd:double"&gt;26.488865&lt;/D&gt;&lt;D xsi:type="xsd:double"&gt;15.454197&lt;/D&gt;&lt;D xsi:type="xsd:double"&gt;10.432863&lt;/D&gt;&lt;D xsi:type="xsd:double"&gt;3.9005876&lt;/D&gt;&lt;D xsi:type="xsd:double"&gt;-4.4038353&lt;/D&gt;&lt;D xsi:type="xsd:double"&gt;-8.394777&lt;/D&gt;&lt;D xsi:type="xsd:double"&gt;-10.115272&lt;/D&gt;&lt;D xsi:type="xsd:double"&gt;-13.753533&lt;/D&gt;&lt;D xsi:type="xsd:double"&gt;-13.746845&lt;/D&gt;&lt;D xsi:type="xsd:double"&gt;-20.806615999999998&lt;/D&gt;&lt;D xsi:type="xsd:double"&gt;-17.37808&lt;/D&gt;&lt;D xsi:type="xsd:double"&gt;-14.547229&lt;/D&gt;&lt;D xsi:type="xsd:double"&gt;-28.998816&lt;/D&gt;&lt;D xsi:type="xsd:double"&gt;-25.680721&lt;/D&gt;&lt;D xsi:type="xsd:double"&gt;-21.259266&lt;/D&gt;&lt;D xsi:type="xsd:double"&gt;-17.126387&lt;/D&gt;&lt;D xsi:type="xsd:double"&gt;-10.012627&lt;/D&gt;&lt;D xsi:type="xsd:double"&gt;-10.423719&lt;/D&gt;&lt;D xsi:type="xsd:double"&gt;-7.543784&lt;/D&gt;&lt;D xsi:type="xsd:double"&gt;3.3749938&lt;/D&gt;&lt;D xsi:type="xsd:double"&gt;9.443307&lt;/D&gt;&lt;D xsi:type="xsd:double"&gt;20.827938&lt;/D&gt;&lt;D xsi:type="xsd:double"&gt;15.514922&lt;/D&gt;&lt;D xsi:type="xsd:double"&gt;7.715285&lt;/D&gt;&lt;D xsi:type="xsd:double"&gt;22.76107&lt;/D&gt;&lt;D xsi:type="xsd:double"&gt;21.119928&lt;/D&gt;&lt;D xsi:type="xsd:double"&gt;16.50076&lt;/D&gt;&lt;D xsi:type="xsd:double"&gt;17.45634&lt;/D&gt;&lt;D xsi:type="xsd:double"&gt;17.658484&lt;/D&gt;&lt;D xsi:type="xsd:double"&gt;22.924053&lt;/D&gt;&lt;D xsi:type="xsd:double"&gt;28.990137&lt;/D&gt;&lt;/FQL&gt;&lt;FQL&gt;&lt;Q&gt;DDR3512M-FDS^FG_PRICE_MAVG(0,,,,30)&lt;/Q&gt;&lt;R&gt;1&lt;/R&gt;&lt;C&gt;1&lt;/C&gt;&lt;D xsi:type="xsd:double"&gt;0.9680709&lt;/D&gt;&lt;/FQL&gt;&lt;FQL&gt;&lt;Q&gt;EWN^PERCENT_CHANGE(FMA_EPS(+1,0,,,,"PORTAGG","MEAN"),FMA_EPS(+1,-3AM,,,,"PORTAGG","MEAN"))&lt;/Q&gt;&lt;R&gt;1&lt;/R&gt;&lt;C&gt;1&lt;/C&gt;&lt;D xsi:type="xsd:double"&gt;-0.926318739545316&lt;/D&gt;&lt;/FQL&gt;&lt;FQL&gt;&lt;Q&gt;EWA^P_PRICE(0)/P_PRICE_LOW_PR(0,,,USD,,,"PRICE","INTRA","52W")-1&lt;/Q&gt;&lt;R&gt;1&lt;/R&gt;&lt;C&gt;1&lt;/C&gt;&lt;D xsi:type="xsd:double"&gt;0.19354844&lt;/D&gt;&lt;/FQL&gt;&lt;FQL&gt;&lt;Q&gt;SPY^FMA_COS_DOWN("EPS","1M",+1,0,,,"PORTAGG","MEANR")&lt;/Q&gt;&lt;R&gt;1&lt;/R&gt;&lt;C&gt;1&lt;/C&gt;&lt;D xsi:type="xsd:double"&gt;186&lt;/D&gt;&lt;/FQL&gt;&lt;FQL&gt;&lt;Q&gt;EWA^SIZE(FG_CONSTITUENTS)&lt;/Q&gt;&lt;R&gt;1&lt;/R&gt;&lt;C&gt;1&lt;/C&gt;&lt;D xsi:type="xsd:long"&gt;60&lt;/D&gt;&lt;/FQL&gt;&lt;FQL&gt;&lt;Q&gt;QQQ^FMA_RBICS_REV_CURRENT(30, LOC, "PORTAGG")&lt;/Q&gt;&lt;R&gt;1&lt;/R&gt;&lt;C&gt;1&lt;/C&gt;&lt;D xsi:type="xsd:double"&gt;0.861039068445162&lt;/D&gt;&lt;/FQL&gt;&lt;FQL&gt;&lt;Q&gt;TRYNL10Y-FDS^FG_YIELD_NAME&lt;/Q&gt;&lt;R&gt;1&lt;/R&gt;&lt;C&gt;1&lt;/C&gt;&lt;D xsi:type="xsd:string"&gt;Netherlands Benchmark Bond - 10 Year&lt;/D&gt;&lt;/FQL&gt;&lt;FQL&gt;&lt;Q&gt;TRYNL10Y-FDS^PCTCHG(FG_YIELD(0,,,,"YTM"),FG_YIELD(-3AM,,,,"YTM"))&lt;/Q&gt;&lt;R&gt;1&lt;/R&gt;&lt;C&gt;1&lt;/C&gt;&lt;D xsi:type="xsd:double"&gt;19.400356&lt;/D&gt;&lt;/FQL&gt;&lt;FQL&gt;&lt;Q&gt;VWO^FG_FCF_YIELD_NTM(0)&lt;/Q&gt;&lt;R&gt;1&lt;/R&gt;&lt;C&gt;1&lt;/C&gt;&lt;D xsi:type="xsd:double"&gt;5.06354955521454&lt;/D&gt;&lt;/FQL&gt;&lt;FQL&gt;&lt;Q&gt;SPY^FMA_PE(NTMA,0,,,"PORTAGG","MEANR")&lt;/Q&gt;&lt;R&gt;1&lt;/R&gt;&lt;C&gt;1&lt;/C&gt;&lt;D xsi:type="xsd:double"&gt;20.899401057473&lt;/D&gt;&lt;/FQL&gt;&lt;FQL&gt;&lt;Q&gt;EWL^FMA_DIV_YLD(NTMA,NOW,NOW,M,"PORTAGG","MEANR")&lt;/Q&gt;&lt;R&gt;1&lt;/R&gt;&lt;C&gt;1&lt;/C&gt;&lt;D xsi:type="xsd:double"&gt;3.30332242739859&lt;/D&gt;&lt;/FQL&gt;&lt;FQL&gt;&lt;Q&gt;REFCHMPR-FDS^PROPER_NAME(0,,,"SECURITY","NAME")&lt;/Q&gt;&lt;R&gt;1&lt;/R&gt;&lt;C&gt;1&lt;/C&gt;&lt;D xsi:type="xsd:string"&gt;Swiss Policy Rate - Sight Deposit Rate&lt;/D&gt;&lt;/FQL&gt;&lt;FQL&gt;&lt;Q&gt;EWD^FMA_PE(LTM,0,,,"PORTAGG","MEANR")&lt;/Q&gt;&lt;R&gt;1&lt;/R&gt;&lt;C&gt;1&lt;/C&gt;&lt;D xsi:type="xsd:double"&gt;15.0608295744507&lt;/D&gt;&lt;/FQL&gt;&lt;FQL&gt;&lt;Q&gt;EWL^FMA_PE(NTMA,0,,,"PORTAGG","MEANR")&lt;/Q&gt;&lt;R&gt;1&lt;/R&gt;&lt;C&gt;1&lt;/C&gt;&lt;D xsi:type="xsd:double"&gt;17.661928176964&lt;/D&gt;&lt;/FQL&gt;&lt;FQL&gt;&lt;Q&gt;TRYNL10Y-FDS^PCTCHG(FG_YIELD(0,,,,"YTM"),FG_YIELD(-1AM,,,,"YTM"))&lt;/Q&gt;&lt;R&gt;1&lt;/R&gt;&lt;C&gt;1&lt;/C&gt;&lt;D xsi:type="xsd:double"&gt;-0.8058635&lt;/D&gt;&lt;/FQL&gt;&lt;FQL&gt;&lt;Q&gt;TRYSE10Y-FDS^FG_YIELD(0,,,,"YTM")&lt;/Q&gt;&lt;R&gt;1&lt;/R&gt;&lt;C&gt;1&lt;/C&gt;&lt;D xsi:type="xsd:double"&gt;2.401&lt;/D&gt;&lt;/FQL&gt;&lt;FQL&gt;&lt;Q&gt;TRYAU10Y-FDS^FG_YIELD(0,,,,"YTM")&lt;/Q&gt;&lt;R&gt;1&lt;/R&gt;&lt;C&gt;1&lt;/C&gt;&lt;D xsi:type="xsd:double"&gt;4.091&lt;/D&gt;&lt;/FQL&gt;&lt;FQL&gt;&lt;Q&gt;VWO^FG_PE_NTM(0,,,90,0)&lt;/Q&gt;&lt;R&gt;1&lt;/R&gt;&lt;C&gt;1&lt;/C&gt;&lt;D xsi:type="xsd:double"&gt;13.5921407535063&lt;/D&gt;&lt;/FQL&gt;&lt;FQL&gt;&lt;Q&gt;EWC^FG_PRICE(0)&lt;/Q&gt;&lt;R&gt;1&lt;/R&gt;&lt;C&gt;1&lt;/C&gt;&lt;D xsi:type="xsd:double"&gt;38.2&lt;/D&gt;&lt;/FQL&gt;&lt;FQL&gt;&lt;Q&gt;EWJ^FMA_RBICS_REV_CURRENT(30, LOC, "PORTAGG")&lt;/Q&gt;&lt;R&gt;1&lt;/R&gt;&lt;C&gt;1&lt;/C&gt;&lt;D xsi:type="xsd:double"&gt;17.7091909618778&lt;/D&gt;&lt;/FQL&gt;&lt;FQL&gt;&lt;Q&gt;REFSEREPO-FDS^(SUBARRAY(NOT_NA(NO_REPEAT_F(FG_YIELD(NOW,-10AY,D))),0,1)-SUBARRAY(NOT_NA(NO_REPEAT_F(FG_YIELD(NOW,-10AY,D))),1,1))*100&lt;/Q&gt;&lt;R&gt;1&lt;/R&gt;&lt;C&gt;1&lt;/C&gt;&lt;D xsi:type="xsd:double"&gt;25&lt;/D&gt;&lt;/FQL&gt;&lt;FQL&gt;&lt;Q&gt;VWO^FG_PE(0)&lt;/Q&gt;&lt;R&gt;1&lt;/R&gt;&lt;C&gt;1&lt;/C&gt;&lt;D xsi:type="xsd:double"&gt;12.8647740050643&lt;/D&gt;&lt;/FQL&gt;&lt;FQL&gt;&lt;Q&gt;EWL^JULIAN(FMA_DIV_YLD(NTMA,NOW,NOW,M,"PORTAGG","MEANR").DATES)&lt;/Q&gt;&lt;R&gt;1&lt;/R&gt;&lt;C&gt;1&lt;/C&gt;&lt;D xsi:type="xsd:long"&gt;45351&lt;/D&gt;&lt;/FQL&gt;&lt;FQL&gt;&lt;Q&gt;ENZL^P_PRICE_RETURNS_PR('52W',2,-10AY,0,AM)&lt;/Q&gt;&lt;R&gt;121&lt;/R&gt;&lt;C&gt;1&lt;/C&gt;&lt;D xsi:type="xsd:double"&gt;21.658468&lt;/D&gt;&lt;D xsi:type="xsd:double"&gt;16.568077&lt;/D&gt;&lt;D xsi:type="xsd:double"&gt;18.299389&lt;/D&gt;&lt;D xsi:type="xsd:double"&gt;33.006&lt;/D&gt;&lt;D xsi:type="xsd:double"&gt;22.785997&lt;/D&gt;&lt;D xsi:type="xsd:double"&gt;22.056461&lt;/D&gt;&lt;D xsi:type="xsd:double"&gt;5.6457043&lt;/D&gt;&lt;D xsi:type="xsd:double"&gt;3.382492&lt;/D&gt;&lt;D xsi:type="xsd:double"&gt;9.408558&lt;/D&gt;&lt;D xsi:type="xsd:double"&gt;12.553716&lt;/D&gt;&lt;D xsi:type="xsd:double"&gt;6.38386&lt;/D&gt;&lt;D xsi:type="xsd:double"&gt;7.1242213&lt;/D&gt;&lt;D xsi:type="xsd:double"&gt;1.8846512&lt;/D&gt;&lt;D xsi:type="xsd:double"&gt;2.0045042&lt;/D&gt;&lt;D xsi:type="xsd:double"&gt;-2.4548411&lt;/D&gt;&lt;D xsi:type="xsd:double"&gt;-11.038542&lt;/D&gt;&lt;D xsi:type="xsd:double"&gt;-11.490429&lt;/D&gt;&lt;D xsi:type="xsd:double"&gt;-11.553669&lt;/D&gt;&lt;D xsi:type="xsd:double"&gt;-13.301492&lt;/D&gt;&lt;D xsi:type="xsd:double"&gt;-4.9930153&lt;/D&gt;&lt;D xsi:type="xsd:double"&gt;-9.403467&lt;/D&gt;&lt;D xsi:type="xsd:double"&gt;-4.2426944&lt;/D&gt;&lt;D xsi:type="xsd:double"&gt;-9.171391&lt;/D&gt;&lt;D xsi:type="xsd:double"&gt;-5.716461&lt;/D&gt;&lt;D xsi:type="xsd:double"&gt;0.9508252&lt;/D&gt;&lt;D xsi:type="xsd:double"&gt;7.2290063&lt;/D&gt;&lt;D xsi:type="xsd:double"&gt;11.011171&lt;/D&gt;&lt;D xsi:type="xsd:double"&gt;23.422623&lt;/D&gt;&lt;D xsi:type="xsd:double"&gt;30.501926&lt;/D&gt;&lt;D xsi:type="xsd:double"&gt;43.31397&lt;/D&gt;&lt;D xsi:type="xsd:double"&gt;50.490295&lt;/D&gt;&lt;D xsi:type="xsd:double"&gt;25.208055&lt;/D&gt;&lt;D xsi:type="xsd:double"&gt;22.487175&lt;/D&gt;&lt;D xsi:type="xsd:double"&gt;13.642311&lt;/D&gt;&lt;D xsi:type="xsd:double"&gt;28.968966&lt;/D&gt;&lt;D xsi:type="xsd:double"&gt;25.015032&lt;/D&gt;&lt;D xsi:type="xsd:double"&gt;9.620655&lt;/D&gt;&lt;D xsi:type="xsd:double"&gt;5.8463693&lt;/D&gt;&lt;D xsi:type="xsd:double"&gt;10.393214&lt;/D&gt;&lt;D xsi:type="xsd:double"&gt;11.676478&lt;/D&gt;&lt;D xsi:type="xsd:double"&gt;12.84436&lt;/D&gt;&lt;D xsi:type="xsd:double"&gt;6.5295577&lt;/D&gt;&lt;D xsi:type="xsd:double"&gt;5.6785464&lt;/D&gt;&lt;D xsi:type="xsd:double"&gt;12.511396&lt;/D&gt;&lt;D xsi:type="xsd:double"&gt;13.0759&lt;/D&gt;&lt;D xsi:type="xsd:double"&gt;24.066675&lt;/D&gt;&lt;D xsi:type="xsd:double"&gt;18.407799&lt;/D&gt;&lt;D xsi:type="xsd:double"&gt;17.597961&lt;/D&gt;&lt;D xsi:type="xsd:double"&gt;25.697958&lt;/D&gt;&lt;D xsi:type="xsd:double"&gt;17.618502&lt;/D&gt;&lt;D xsi:type="xsd:double"&gt;15.33103&lt;/D&gt;&lt;D xsi:type="xsd:double"&gt;13.550425&lt;/D&gt;&lt;D xsi:type="xsd:double"&gt;6.8689704&lt;/D&gt;&lt;D xsi:type="xsd:double"&gt;5.8819413&lt;/D&gt;&lt;D xsi:type="xsd:double"&gt;8.677506&lt;/D&gt;&lt;D xsi:type="xsd:double"&gt;1.8558621&lt;/D&gt;&lt;D xsi:type="xsd:double"&gt;8.058381&lt;/D&gt;&lt;D xsi:type="xsd:double"&gt;-1.0457754&lt;/D&gt;&lt;D xsi:type="xsd:double"&gt;3.3406377&lt;/D&gt;&lt;D xsi:type="xsd:double"&gt;5.72592&lt;/D&gt;&lt;D xsi:type="xsd:double"&gt;4.60701&lt;/D&gt;&lt;D xsi:type="xsd:double"&gt;8.826447&lt;/D&gt;&lt;D xsi:type="xsd:double"&gt;11.5543&lt;/D&gt;&lt;D xsi:type="xsd:double"&gt;7.8069925&lt;/D&gt;&lt;D xsi:type="xsd:double"&gt;20.487118&lt;/D&gt;&lt;D xsi:type="xsd:double"&gt;10.975754&lt;/D&gt;&lt;D xsi:type="xsd:double"&gt;7.7381253&lt;/D&gt;&lt;D xsi:type="xsd:double"&gt;21.810186&lt;/D&gt;&lt;D xsi:type="xsd:double"&gt;18.556416&lt;/D&gt;&lt;D xsi:type="xsd:double"&gt;27.090788&lt;/D&gt;&lt;D xsi:type="xsd:double"&gt;25.380062&lt;/D&gt;&lt;D xsi:type="xsd:double"&gt;20.54428&lt;/D&gt;&lt;D xsi:type="xsd:double"&gt;-19.199144&lt;/D&gt;&lt;D xsi:type="xsd:double"&gt;-5.84988&lt;/D&gt;&lt;D xsi:type="xsd:double"&gt;0.29762983&lt;/D&gt;&lt;D xsi:type="xsd:double"&gt;9.330845&lt;/D&gt;&lt;D xsi:type="xsd:double"&gt;9.778333&lt;/D&gt;&lt;D xsi:type="xsd:double"&gt;15.795172&lt;/D&gt;&lt;D xsi:type="xsd:double"&gt;13.333201&lt;/D&gt;&lt;D xsi:type="xsd:double"&gt;16.836666&lt;/D&gt;&lt;D xsi:type="xsd:double"&gt;22.844898&lt;/D&gt;&lt;D xsi:type="xsd:double"&gt;16.808641&lt;/D&gt;&lt;D xsi:type="xsd:double"&gt;18.715023&lt;/D&gt;&lt;D xsi:type="xsd:double"&gt;15.103304&lt;/D&gt;&lt;D xsi:type="xsd:double"&gt;58.146942&lt;/D&gt;&lt;D xsi:type="xsd:double"&gt;38.789497&lt;/D&gt;&lt;D xsi:type="xsd:double"&gt;27.46811&lt;/D&gt;&lt;D xsi:type="xsd:double"&gt;14.146113&lt;/D&gt;&lt;D xsi:type="xsd:double"&gt;6.3613653&lt;/D&gt;&lt;D xsi:type="xsd:double"&gt;7.6261044&lt;/D&gt;&lt;D xsi:type="xsd:double"&gt;13.399506&lt;/D&gt;&lt;D xsi:type="xsd:double"&gt;6.2321663&lt;/D&gt;&lt;D xsi:type="xsd:double"&gt;-5.4415646&lt;/D&gt;&lt;D xsi:type="xsd:double"&gt;-8.62608&lt;/D&gt;&lt;D xsi:type="xsd:double"&gt;-17.388105&lt;/D&gt;&lt;D xsi:type="xsd:double"&gt;-15.3697195&lt;/D&gt;&lt;D xsi:type="xsd:double"&gt;-10.028261&lt;/D&gt;&lt;D xsi:type="xsd:double"&gt;-16.115856&lt;/D&gt;&lt;D xsi:type="xsd:double"&gt;-22.549772&lt;/D&gt;&lt;D xsi:type="xsd:double"&gt;-25.024933&lt;/D&gt;&lt;D xsi:type="xsd:double"&gt;-22.259443&lt;/D&gt;&lt;D xsi:type="xsd:double"&gt;-19.348085&lt;/D&gt;&lt;D xsi:type="xsd:double"&gt;-27.99976&lt;/D&gt;&lt;D xsi:type="xsd:double"&gt;-33.132183&lt;/D&gt;&lt;D xsi:type="xsd:double"&gt;-20.682938&lt;/D&gt;&lt;D xsi:type="xsd:double"&gt;-15.470284&lt;/D&gt;&lt;D xsi:type="xsd:double"&gt;-5.5835543&lt;/D&gt;&lt;D xsi:type="xsd:double"&gt;-6.4585924&lt;/D&gt;&lt;D xsi:type="xsd:double"&gt;-13.5198&lt;/D&gt;&lt;D xsi:type="xsd:double"&gt;-5.113709&lt;/D&gt;&lt;D xsi:type="xsd:double"&gt;9.864319&lt;/D&gt;&lt;D xsi:type="xsd:double"&gt;10.863865&lt;/D&gt;&lt;D xsi:type="xsd:double"&gt;6.922877&lt;/D&gt;&lt;D xsi:type="xsd:double"&gt;-4.657638&lt;/D&gt;&lt;D xsi:type="xsd:double"&gt;1.1474013&lt;/D&gt;&lt;D xsi:type="xsd:double"&gt;4.098797&lt;/D&gt;&lt;D xsi:type="xsd:double"&gt;-2.3320973&lt;/D&gt;&lt;D xsi:type="xsd:double"&gt;2.203524&lt;/D&gt;&lt;D xsi:type="xsd:double"&gt;-6.568086&lt;/D&gt;&lt;D xsi:type="xsd:double"&gt;-6.602907&lt;/D&gt;&lt;D xsi:type="xsd:double"&gt;-2.924031&lt;/D&gt;&lt;/FQL&gt;&lt;FQL&gt;&lt;Q&gt;CC_NL^IMF_IFS_RCPI_Q(0)&lt;/Q&gt;&lt;R&gt;1&lt;/R&gt;&lt;C&gt;1&lt;/C&gt;&lt;D xsi:type="xsd:double"&gt;0.80520856&lt;/D&gt;&lt;/FQL&gt;&lt;FQL&gt;&lt;Q&gt;USDANG^STD(FG_PRICE_CHANGE(0,-3AY,M))&lt;/Q&gt;&lt;R&gt;1&lt;/R&gt;&lt;C&gt;1&lt;/C&gt;&lt;D xsi:type="xsd:double"&gt;0&lt;/D&gt;&lt;/FQL&gt;&lt;FQL&gt;&lt;Q&gt;USDGBP^FG_PRICE_CHANGE(0,-6AM)&lt;/Q&gt;&lt;R&gt;1&lt;/R&gt;&lt;C&gt;1&lt;/C&gt;&lt;D xsi:type="xsd:double"&gt;-3.0037522&lt;/D&gt;&lt;/FQL&gt;&lt;FQL&gt;&lt;Q&gt;EWD^FMA_PE(NTMA,-10AY,0,AM,"PORTAGG","MEANR")&lt;/Q&gt;&lt;R&gt;121&lt;/R&gt;&lt;C&gt;1&lt;/C&gt;&lt;D xsi:type="xsd:double"&gt;15.7172698754293&lt;/D&gt;&lt;D xsi:type="xsd:double"&gt;15.4441655259031&lt;/D&gt;&lt;D xsi:type="xsd:double"&gt;15.8164595318611&lt;/D&gt;&lt;D xsi:type="xsd:double"&gt;15.6178525479844&lt;/D&gt;&lt;D xsi:type="xsd:double"&gt;15.4851330070068&lt;/D&gt;&lt;D xsi:type="xsd:double"&gt;14.750751467963&lt;/D&gt;&lt;D xsi:type="xsd:double"&gt;14.9239661448463&lt;/D&gt;&lt;D xsi:type="xsd:double"&gt;13.8503121808754&lt;/D&gt;&lt;D xsi:type="xsd:double"&gt;15.576260967062&lt;/D&gt;&lt;D xsi:type="xsd:double"&gt;15.5372217490273&lt;/D&gt;&lt;D xsi:type="xsd:double"&gt;15.9534036919626&lt;/D&gt;&lt;D xsi:type="xsd:double"&gt;16.9722015731247&lt;/D&gt;&lt;D xsi:type="xsd:double"&gt;17.4445789435228&lt;/D&gt;&lt;D xsi:type="xsd:double"&gt;16.7068720929079&lt;/D&gt;&lt;D xsi:type="xsd:double"&gt;16.0712634988566&lt;/D&gt;&lt;D xsi:type="xsd:double"&gt;15.5487206735117&lt;/D&gt;&lt;D xsi:type="xsd:double"&gt;16.2944944414727&lt;/D&gt;&lt;D xsi:type="xsd:double"&gt;14.8881549686422&lt;/D&gt;&lt;D xsi:type="xsd:double"&gt;14.5244346828935&lt;/D&gt;&lt;D xsi:type="xsd:double"&gt;14.8585864543559&lt;/D&gt;&lt;D xsi:type="xsd:double"&gt;15.5533075902819&lt;/D&gt;&lt;D xsi:type="xsd:double"&gt;14.7103432080902&lt;/D&gt;&lt;D xsi:type="xsd:double"&gt;13.7618596098958&lt;/D&gt;&lt;D xsi:type="xsd:double"&gt;14.9529648968398&lt;/D&gt;&lt;D xsi:type="xsd:double"&gt;15.1647181828777&lt;/D&gt;&lt;D xsi:type="xsd:double"&gt;15.7447933758523&lt;/D&gt;&lt;D xsi:type="xsd:double"&gt;14.7520541754704&lt;/D&gt;&lt;D xsi:type="xsd:double"&gt;14.7550470044936&lt;/D&gt;&lt;D xsi:type="xsd:double"&gt;15.1603496538079&lt;/D&gt;&lt;D xsi:type="xsd:double"&gt;15.3180917892956&lt;/D&gt;&lt;D xsi:type="xsd:double"&gt;15.5031005913117&lt;/D&gt;&lt;D xsi:type="xsd:double"&gt;16.4986556706849&lt;/D&gt;&lt;D xsi:type="xsd:double"&gt;16.1545985086291&lt;/D&gt;&lt;D xsi:type="xsd:double"&gt;16.5076969190082&lt;/D&gt;&lt;D xsi:type="xsd:double"&gt;16.173601057791&lt;/D&gt;&lt;D xsi:type="xsd:double"&gt;16.6012912273238&lt;/D&gt;&lt;D xsi:type="xsd:double"&gt;16.6578915923375&lt;/D&gt;&lt;D xsi:type="xsd:double"&gt;16.8548921791858&lt;/D&gt;&lt;D xsi:type="xsd:double"&gt;17.9874406260666&lt;/D&gt;&lt;D xsi:type="xsd:double"&gt;16.8636751590204&lt;/D&gt;&lt;D xsi:type="xsd:double"&gt;16.3559641032027&lt;/D&gt;&lt;D xsi:type="xsd:double"&gt;15.5487027383877&lt;/D&gt;&lt;D xsi:type="xsd:double"&gt;16.4024895416069&lt;/D&gt;&lt;D xsi:type="xsd:double"&gt;17.2923776298861&lt;/D&gt;&lt;D xsi:type="xsd:double"&gt;16.8907480190507&lt;/D&gt;&lt;D xsi:type="xsd:double"&gt;16.5426132156712&lt;/D&gt;&lt;D xsi:type="xsd:double"&gt;16.7274281140693&lt;/D&gt;&lt;D xsi:type="xsd:double"&gt;16.3515401973933&lt;/D&gt;&lt;D xsi:type="xsd:double"&gt;15.9833370323769&lt;/D&gt;&lt;D xsi:type="xsd:double"&gt;15.9804808375417&lt;/D&gt;&lt;D xsi:type="xsd:double"&gt;16.2166711726025&lt;/D&gt;&lt;D xsi:type="xsd:double"&gt;15.2487439216403&lt;/D&gt;&lt;D xsi:type="xsd:double"&gt;15.3446470194569&lt;/D&gt;&lt;D xsi:type="xsd:double"&gt;15.6663265376069&lt;/D&gt;&lt;D xsi:type="xsd:double"&gt;15.8985700305688&lt;/D&gt;&lt;D xsi:type="xsd:double"&gt;14.3487098993693&lt;/D&gt;&lt;D xsi:type="xsd:double"&gt;13.8472021012774&lt;/D&gt;&lt;D xsi:type="xsd:double"&gt;13.2863595605209&lt;/D&gt;&lt;D xsi:type="xsd:double"&gt;14.4322592674037&lt;/D&gt;&lt;D xsi:type="xsd:double"&gt;14.7828726759484&lt;/D&gt;&lt;D xsi:type="xsd:double"&gt;15.1072518803191&lt;/D&gt;&lt;D xsi:type="xsd:double"&gt;15.4924771592964&lt;/D&gt;&lt;D xsi:type="xsd:double"&gt;14.9980359191972&lt;/D&gt;&lt;D xsi:type="xsd:double"&gt;15.1062061875416&lt;/D&gt;&lt;D xsi:type="xsd:double"&gt;15.0813115212464&lt;/D&gt;&lt;D xsi:type="xsd:double"&gt;13.7394140356333&lt;/D&gt;&lt;D xsi:type="xsd:double"&gt;14.7351286409081&lt;/D&gt;&lt;D xsi:type="xsd:double"&gt;15.6964436646407&lt;/D&gt;&lt;D xsi:type="xsd:double"&gt;15.5179397537477&lt;/D&gt;&lt;D xsi:type="xsd:double"&gt;16.2861455325113&lt;/D&gt;&lt;D xsi:type="xsd:double"&gt;16.4784520125403&lt;/D&gt;&lt;D xsi:type="xsd:double"&gt;16.9047108510599&lt;/D&gt;&lt;D xsi:type="xsd:double"&gt;12.2671867858782&lt;/D&gt;&lt;D xsi:type="xsd:double"&gt;15.9393254923857&lt;/D&gt;&lt;D xsi:type="xsd:double"&gt;17.7242056320997&lt;/D&gt;&lt;D xsi:type="xsd:double"&gt;19.0155920947884&lt;/D&gt;&lt;D xsi:type="xsd:double"&gt;19.6354689529273&lt;/D&gt;&lt;D xsi:type="xsd:double"&gt;17.9981502293117&lt;/D&gt;&lt;D xsi:type="xsd:double"&gt;17.8265103624784&lt;/D&gt;&lt;D xsi:type="xsd:double"&gt;17.1161106497542&lt;/D&gt;&lt;D xsi:type="xsd:double"&gt;17.3050130946035&lt;/D&gt;&lt;D xsi:type="xsd:double"&gt;16.8464346110342&lt;/D&gt;&lt;D xsi:type="xsd:double"&gt;18.931312973747&lt;/D&gt;&lt;D xsi:type="xsd:double"&gt;19.0314996728653&lt;/D&gt;&lt;D xsi:type="xsd:double"&gt;20.0149477520914&lt;/D&gt;&lt;D xsi:type="xsd:double"&gt;19.4563808103231&lt;/D&gt;&lt;D xsi:type="xsd:double"&gt;18.0186618563916&lt;/D&gt;&lt;D xsi:type="xsd:double"&gt;18.6483441428652&lt;/D&gt;&lt;D xsi:type="xsd:double"&gt;18.531528837361&lt;/D&gt;&lt;D xsi:type="xsd:double"&gt;18.3372118566773&lt;/D&gt;&lt;D xsi:type="xsd:double"&gt;17.8811478110623&lt;/D&gt;&lt;D xsi:type="xsd:double"&gt;18.4036025092&lt;/D&gt;&lt;D xsi:type="xsd:double"&gt;18.8597221754694&lt;/D&gt;&lt;D xsi:type="xsd:double"&gt;17.8328050817548&lt;/D&gt;&lt;D xsi:type="xsd:double"&gt;16.9614648896172&lt;/D&gt;&lt;D xsi:type="xsd:double"&gt;15.6153795079444&lt;/D&gt;&lt;D xsi:type="xsd:double"&gt;15.6656165396759&lt;/D&gt;&lt;D xsi:type="xsd:double"&gt;15.2700842095589&lt;/D&gt;&lt;D xsi:type="xsd:double"&gt;15.6585026386392&lt;/D&gt;&lt;D xsi:type="xsd:double"&gt;14.3656730704476&lt;/D&gt;&lt;D xsi:type="xsd:double"&gt;15.0048541482304&lt;/D&gt;&lt;D xsi:type="xsd:double"&gt;14.8858540055084&lt;/D&gt;&lt;D xsi:type="xsd:double"&gt;13.4258777125134&lt;/D&gt;&lt;D xsi:type="xsd:double"&gt;13.2774565422325&lt;/D&gt;&lt;D xsi:type="xsd:double"&gt;12.8759612813189&lt;/D&gt;&lt;D xsi:type="xsd:double"&gt;12.8283437557649&lt;/D&gt;&lt;D xsi:type="xsd:double"&gt;13.6876526014636&lt;/D&gt;&lt;D xsi:type="xsd:double"&gt;14.0436418626897&lt;/D&gt;&lt;D xsi:type="xsd:double"&gt;13.4944151325824&lt;/D&gt;&lt;D xsi:type="xsd:double"&gt;13.8147259010351&lt;/D&gt;&lt;D xsi:type="xsd:double"&gt;13.7704964079547&lt;/D&gt;&lt;D xsi:type="xsd:double"&gt;13.429974424163&lt;/D&gt;&lt;D xsi:type="xsd:double"&gt;13.2284712764467&lt;/D&gt;&lt;D xsi:type="xsd:double"&gt;12.4772425525438&lt;/D&gt;&lt;D xsi:type="xsd:double"&gt;12.9554904585921&lt;/D&gt;&lt;D xsi:type="xsd:double"&gt;12.6291394824656&lt;/D&gt;&lt;D xsi:type="xsd:double"&gt;13.3579374510239&lt;/D&gt;&lt;D xsi:type="xsd:double"&gt;15.6091007892741&lt;/D&gt;&lt;D xsi:type="xsd:double"&gt;15.0844509581951&lt;/D&gt;&lt;D xsi:type="xsd:double"&gt;16.0148736535254&lt;/D&gt;&lt;D xsi:type="xsd:double"&gt;16.4969837914038&lt;/D&gt;&lt;/FQL&gt;&lt;FQL&gt;&lt;Q&gt;CPALM-FDS^MAX(FG_PRICE(0,-5AY))&lt;/Q&gt;&lt;R&gt;1&lt;/R&gt;&lt;C&gt;1&lt;/C&gt;&lt;D xsi:type="xsd:double"&gt;8163&lt;/D&gt;&lt;/FQL&gt;&lt;FQL&gt;&lt;Q&gt;TIOS-FDS^MAX(FG_PRICE(0,-5AY))&lt;/Q&gt;&lt;R&gt;1&lt;/R&gt;&lt;C&gt;1&lt;/C&gt;&lt;D xsi:type="xsd:double"&gt;219.77&lt;/D&gt;&lt;/FQL&gt;&lt;FQL&gt;&lt;Q&gt;EWD^FG_PRICE_MAVG(0,,,,200)&lt;/Q&gt;&lt;R&gt;1&lt;/R&gt;&lt;C&gt;1&lt;/C&gt;&lt;D xsi:type="xsd:double"&gt;35.6966&lt;/D&gt;&lt;/FQL&gt;&lt;FQL&gt;&lt;Q&gt;EWG^FG_PRICE_MAVG(0,,,,200)&lt;/Q&gt;&lt;R&gt;1&lt;/R&gt;&lt;C&gt;1&lt;/C&gt;&lt;D xsi:type="xsd:double"&gt;28.26735&lt;/D&gt;&lt;/FQL&gt;&lt;FQL&gt;&lt;Q&gt;VGK^FG_TOTAL_RETURNC(0,-6AM)&lt;/Q&gt;&lt;R&gt;1&lt;/R&gt;&lt;C&gt;1&lt;/C&gt;&lt;D xsi:type="xsd:double"&gt;15.475929&lt;/D&gt;&lt;/FQL&gt;&lt;FQL&gt;&lt;Q&gt;QQQ^FMA_PCT_ABOVE_MAVG(200,0,,,,"PORTAGG")&lt;/Q&gt;&lt;R&gt;1&lt;/R&gt;&lt;C&gt;1&lt;/C&gt;&lt;D xsi:type="xsd:double"&gt;74.5098039215686&lt;/D&gt;&lt;/FQL&gt;&lt;FQL&gt;&lt;Q&gt;EWL^FMA_RBICS_REV_CURRENT(30, LOC, "PORTAGG")&lt;/Q&gt;&lt;R&gt;1&lt;/R&gt;&lt;C&gt;1&lt;/C&gt;&lt;D xsi:type="xsd:double"&gt;18.5381872854437&lt;/D&gt;&lt;/FQL&gt;&lt;FQL&gt;&lt;Q&gt;CAGDPY@JP^EE_ACTUAL_ANNUAL(MED,0)&lt;/Q&gt;&lt;R&gt;1&lt;/R&gt;&lt;C&gt;1&lt;/C&gt;&lt;D xsi:type="xsd:double"&gt;3.55112124522863&lt;/D&gt;&lt;/FQL&gt;&lt;FQL&gt;&lt;Q&gt;USDAUD^FG_PRICE_CHANGE(0,-1AY)&lt;/Q&gt;&lt;R&gt;1&lt;/R&gt;&lt;C&gt;1&lt;/C&gt;&lt;D xsi:type="xsd:double"&gt;1.2481928&lt;/D&gt;&lt;/FQL&gt;&lt;FQL&gt;&lt;Q&gt;WL-FDS^MAX(FG_PRICE(0,-5AY))&lt;/Q&gt;&lt;R&gt;1&lt;/R&gt;&lt;C&gt;1&lt;/C&gt;&lt;D xsi:type="xsd:double"&gt;763.4&lt;/D&gt;&lt;/FQL&gt;&lt;FQL&gt;&lt;Q&gt;EWN^PERCENT_CHANGE(FMA_EPS(+1,0,,,,"PORTAGG","MEAN"),FMA_EPS(+1,-1AM,,,,"PORTAGG","MEAN"))&lt;/Q&gt;&lt;R&gt;1&lt;/R&gt;&lt;C&gt;1&lt;/C&gt;&lt;D xsi:type="xsd:double"&gt;1.99417598193696&lt;/D&gt;&lt;/FQL&gt;&lt;FQL&gt;&lt;Q&gt;EWA^P_PRICE(0)/P_PRICE_HIGH_PR(0,,,USD,,,"PRICE","INTRA","52W")&lt;/Q&gt;&lt;R&gt;1&lt;/R&gt;&lt;C&gt;1&lt;/C&gt;&lt;D xsi:type="xsd:double"&gt;0.9752396&lt;/D&gt;&lt;/FQL&gt;&lt;FQL&gt;&lt;Q&gt;SPY^FMA_COS_UP("EPS","1M",+1,0,,,"PORTAGG","MEANR")&lt;/Q&gt;&lt;R&gt;1&lt;/R&gt;&lt;C&gt;1&lt;/C&gt;&lt;D xsi:type="xsd:double"&gt;172&lt;/D&gt;&lt;/FQL&gt;&lt;FQL&gt;&lt;Q&gt;EWA^FMA_COS_DOWN("EPS","1M",+1,0,,,"PORTAGG","MEANR")&lt;/Q&gt;&lt;R&gt;1&lt;/R&gt;&lt;C&gt;1&lt;/C&gt;&lt;D xsi:type="xsd:double"&gt;23&lt;/D&gt;&lt;/FQL&gt;&lt;FQL&gt;&lt;Q&gt;TRYFR10Y-FDS^FG_YIELD_NAME&lt;/Q&gt;&lt;R&gt;1&lt;/R&gt;&lt;C&gt;1&lt;/C&gt;&lt;D xsi:type="xsd:string"&gt;France Benchmark Bond - 10 Year&lt;/D&gt;&lt;/FQL&gt;&lt;FQL&gt;&lt;Q&gt;TIPSCL10Y-FDS^FG_YIELD(-10AY,0,Y,,"YTM")&lt;/Q&gt;&lt;R&gt;10&lt;/R&gt;&lt;C&gt;1&lt;/C&gt;&lt;D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xsi:type="xsd:double"&gt;5.3314&lt;/D&gt;&lt;/FQL&gt;&lt;FQL&gt;&lt;Q&gt;USDANG^STD(FG_PRICE_CHANGE(0,-1AY,AM))&lt;/Q&gt;&lt;R&gt;1&lt;/R&gt;&lt;C&gt;1&lt;/C&gt;&lt;D xsi:type="xsd:double"&gt;0&lt;/D&gt;&lt;/FQL&gt;&lt;FQL&gt;&lt;Q&gt;EWC^P_PRICE_RETURNS_PR('52W',2,-10AY,0,AM)&lt;/Q&gt;&lt;R&gt;121&lt;/R&gt;&lt;C&gt;1&lt;/C&gt;&lt;D xsi:type="xsd:double"&gt;5.412483&lt;/D&gt;&lt;D xsi:type="xsd:double"&gt;14.998698&lt;/D&gt;&lt;D xsi:type="xsd:double"&gt;11.001897&lt;/D&gt;&lt;D xsi:type="xsd:double"&gt;24.363947&lt;/D&gt;&lt;D xsi:type="xsd:double"&gt;18.624985&lt;/D&gt;&lt;D xsi:type="xsd:double"&gt;21.619392&lt;/D&gt;&lt;D xsi:type="xsd:double"&gt;14.145899&lt;/D&gt;&lt;D xsi:type="xsd:double"&gt;4.07871&lt;/D&gt;&lt;D xsi:type="xsd:double"&gt;7.638335&lt;/D&gt;&lt;D xsi:type="xsd:double"&gt;2.3839116&lt;/D&gt;&lt;D xsi:type="xsd:double"&gt;-4.477918&lt;/D&gt;&lt;D xsi:type="xsd:double"&gt;-2.6116908&lt;/D&gt;&lt;D xsi:type="xsd:double"&gt;-3.425771&lt;/D&gt;&lt;D xsi:type="xsd:double"&gt;-1.4500499&lt;/D&gt;&lt;D xsi:type="xsd:double"&gt;-4.241997&lt;/D&gt;&lt;D xsi:type="xsd:double"&gt;-11.88466&lt;/D&gt;&lt;D xsi:type="xsd:double"&gt;-19.64481&lt;/D&gt;&lt;D xsi:type="xsd:double"&gt;-26.09803&lt;/D&gt;&lt;D xsi:type="xsd:double"&gt;-23.69743&lt;/D&gt;&lt;D xsi:type="xsd:double"&gt;-17.619526&lt;/D&gt;&lt;D xsi:type="xsd:double"&gt;-22.738998&lt;/D&gt;&lt;D xsi:type="xsd:double"&gt;-23.71804&lt;/D&gt;&lt;D xsi:type="xsd:double"&gt;-27.232986&lt;/D&gt;&lt;D xsi:type="xsd:double"&gt;-21.827215&lt;/D&gt;&lt;D xsi:type="xsd:double"&gt;-11.777705&lt;/D&gt;&lt;D xsi:type="xsd:double"&gt;-11.831331&lt;/D&gt;&lt;D xsi:type="xsd:double"&gt;-13.293589&lt;/D&gt;&lt;D xsi:type="xsd:double"&gt;-7.26856&lt;/D&gt;&lt;D xsi:type="xsd:double"&gt;0.72073936&lt;/D&gt;&lt;D xsi:type="xsd:double"&gt;7.1759224&lt;/D&gt;&lt;D xsi:type="xsd:double"&gt;8.900011&lt;/D&gt;&lt;D xsi:type="xsd:double"&gt;9.263002&lt;/D&gt;&lt;D xsi:type="xsd:double"&gt;14.208078&lt;/D&gt;&lt;D xsi:type="xsd:double"&gt;25.521421&lt;/D&gt;&lt;D xsi:type="xsd:double"&gt;46.45183&lt;/D&gt;&lt;D xsi:type="xsd:double"&gt;33.010696&lt;/D&gt;&lt;D xsi:type="xsd:double"&gt;12.964582&lt;/D&gt;&lt;D xsi:type="xsd:double"&gt;8.49812&lt;/D&gt;&lt;D xsi:type="xsd:double"&gt;11.379517&lt;/D&gt;&lt;D xsi:type="xsd:double"&gt;6.9209337&lt;/D&gt;&lt;D xsi:type="xsd:double"&gt;12.606764&lt;/D&gt;&lt;D xsi:type="xsd:double"&gt;7.500422&lt;/D&gt;&lt;D xsi:type="xsd:double"&gt;14.949918&lt;/D&gt;&lt;D xsi:type="xsd:double"&gt;15.124941&lt;/D&gt;&lt;D xsi:type="xsd:double"&gt;14.374995&lt;/D&gt;&lt;D xsi:type="xsd:double"&gt;13.181853&lt;/D&gt;&lt;D xsi:type="xsd:double"&gt;15.61898&lt;/D&gt;&lt;D xsi:type="xsd:double"&gt;3.3269048&lt;/D&gt;&lt;D xsi:type="xsd:double"&gt;8.753002&lt;/D&gt;&lt;D xsi:type="xsd:double"&gt;7.4421763&lt;/D&gt;&lt;D xsi:type="xsd:double"&gt;14.278257&lt;/D&gt;&lt;D xsi:type="xsd:double"&gt;10.965216&lt;/D&gt;&lt;D xsi:type="xsd:double"&gt;5.8956385&lt;/D&gt;&lt;D xsi:type="xsd:double"&gt;7.9535246&lt;/D&gt;&lt;D xsi:type="xsd:double"&gt;2.863872&lt;/D&gt;&lt;D xsi:type="xsd:double"&gt;-5.363536&lt;/D&gt;&lt;D xsi:type="xsd:double"&gt;-7.2210193&lt;/D&gt;&lt;D xsi:type="xsd:double"&gt;-17.62798&lt;/D&gt;&lt;D xsi:type="xsd:double"&gt;-10.434514&lt;/D&gt;&lt;D xsi:type="xsd:double"&gt;0.9895086&lt;/D&gt;&lt;D xsi:type="xsd:double"&gt;1.8964291&lt;/D&gt;&lt;D xsi:type="xsd:double"&gt;3.492713&lt;/D&gt;&lt;D xsi:type="xsd:double"&gt;-1.5604913&lt;/D&gt;&lt;D xsi:type="xsd:double"&gt;3.86976&lt;/D&gt;&lt;D xsi:type="xsd:double"&gt;2.5981784&lt;/D&gt;&lt;D xsi:type="xsd:double"&gt;-0.67018867&lt;/D&gt;&lt;D xsi:type="xsd:double"&gt;3.0931354&lt;/D&gt;&lt;D xsi:type="xsd:double"&gt;8.673323&lt;/D&gt;&lt;D xsi:type="xsd:double"&gt;14.242994&lt;/D&gt;&lt;D xsi:type="xsd:double"&gt;26.612305&lt;/D&gt;&lt;D xsi:type="xsd:double"&gt;18.395079&lt;/D&gt;&lt;D xsi:type="xsd:double"&gt;12.868047&lt;/D&gt;&lt;D xsi:type="xsd:double"&gt;-31.267834&lt;/D&gt;&lt;D xsi:type="xsd:double"&gt;-19.758272&lt;/D&gt;&lt;D xsi:type="xsd:double"&gt;-11.716336&lt;/D&gt;&lt;D xsi:type="xsd:double"&gt;-7.5748262&lt;/D&gt;&lt;D xsi:type="xsd:double"&gt;-3.5031319&lt;/D&gt;&lt;D xsi:type="xsd:double"&gt;4.038799&lt;/D&gt;&lt;D xsi:type="xsd:double"&gt;-4.489875&lt;/D&gt;&lt;D xsi:type="xsd:double"&gt;-0.77264905&lt;/D&gt;&lt;D xsi:type="xsd:double"&gt;2.8758287&lt;/D&gt;&lt;D xsi:type="xsd:double"&gt;6.136477&lt;/D&gt;&lt;D xsi:type="xsd:double"&gt;7.185304&lt;/D&gt;&lt;D xsi:type="xsd:double"&gt;9.779846&lt;/D&gt;&lt;D xsi:type="xsd:double"&gt;85.066376&lt;/D&gt;&lt;D xsi:type="xsd:double"&gt;59.38585&lt;/D&gt;&lt;D xsi:type="xsd:double"&gt;56.362213&lt;/D&gt;&lt;D xsi:type="xsd:double"&gt;48.23195&lt;/D&gt;&lt;D xsi:type="xsd:double"&gt;37.744568&lt;/D&gt;&lt;D xsi:type="xsd:double"&gt;30.262566&lt;/D&gt;&lt;D xsi:type="xsd:double"&gt;35.383736&lt;/D&gt;&lt;D xsi:type="xsd:double"&gt;44.127975&lt;/D&gt;&lt;D xsi:type="xsd:double"&gt;35.591198&lt;/D&gt;&lt;D xsi:type="xsd:double"&gt;22.96436&lt;/D&gt;&lt;D xsi:type="xsd:double"&gt;19.529402&lt;/D&gt;&lt;D xsi:type="xsd:double"&gt;17.657518&lt;/D&gt;&lt;D xsi:type="xsd:double"&gt;19.131351&lt;/D&gt;&lt;D xsi:type="xsd:double"&gt;14.712154&lt;/D&gt;&lt;D xsi:type="xsd:double"&gt;-1.1663854&lt;/D&gt;&lt;D xsi:type="xsd:double"&gt;-6.5502048&lt;/D&gt;&lt;D xsi:type="xsd:double"&gt;-5.69796&lt;/D&gt;&lt;D xsi:type="xsd:double"&gt;0.13304949&lt;/D&gt;&lt;D xsi:type="xsd:double"&gt;-7.5458884&lt;/D&gt;&lt;D xsi:type="xsd:double"&gt;-17.430353&lt;/D&gt;&lt;D xsi:type="xsd:double"&gt;-10.664457&lt;/D&gt;&lt;D xsi:type="xsd:double"&gt;-9.385448&lt;/D&gt;&lt;D xsi:type="xsd:double"&gt;-7.078701&lt;/D&gt;&lt;D xsi:type="xsd:double"&gt;-6.9654703&lt;/D&gt;&lt;D xsi:type="xsd:double"&gt;-16.292263&lt;/D&gt;&lt;D xsi:type="xsd:double"&gt;-8.746332&lt;/D&gt;&lt;D xsi:type="xsd:double"&gt;-2.1205187&lt;/D&gt;&lt;D xsi:type="xsd:double"&gt;2.8443694&lt;/D&gt;&lt;D xsi:type="xsd:double"&gt;8.0378895&lt;/D&gt;&lt;D xsi:type="xsd:double"&gt;-2.8511643&lt;/D&gt;&lt;D xsi:type="xsd:double"&gt;6.3955426&lt;/D&gt;&lt;D xsi:type="xsd:double"&gt;6.792283&lt;/D&gt;&lt;D xsi:type="xsd:double"&gt;2.604413&lt;/D&gt;&lt;D xsi:type="xsd:double"&gt;12.569321&lt;/D&gt;&lt;D xsi:type="xsd:double"&gt;6.737089&lt;/D&gt;&lt;D xsi:type="xsd:double"&gt;8.736706&lt;/D&gt;&lt;D xsi:type="xsd:double"&gt;18.77557&lt;/D&gt;&lt;/FQL&gt;&lt;FQL&gt;&lt;Q&gt;EWN^FMA_PE(NTMA,-10AY,0,AM,"PORTAGG","MEANR")&lt;/Q&gt;&lt;R&gt;121&lt;/R&gt;&lt;C&gt;1&lt;/C&gt;&lt;D xsi:type="xsd:double"&gt;13.8737088343116&lt;/D&gt;&lt;D xsi:type="xsd:double"&gt;14.0218736868482&lt;/D&gt;&lt;D xsi:type="xsd:double"&gt;14.12855215075&lt;/D&gt;&lt;D xsi:type="xsd:double"&gt;14.570525966856&lt;/D&gt;&lt;D xsi:type="xsd:double"&gt;14.0727015260962&lt;/D&gt;&lt;D xsi:type="xsd:double"&gt;14.2342088038957&lt;/D&gt;&lt;D xsi:type="xsd:double"&gt;14.8323813029305&lt;/D&gt;&lt;D xsi:type="xsd:double"&gt;13.8425479909133&lt;/D&gt;&lt;D xsi:type="xsd:double"&gt;15.0124934295933&lt;/D&gt;&lt;D xsi:type="xsd:double"&gt;14.6640209303116&lt;/D&gt;&lt;D xsi:type="xsd:double"&gt;15.3707468608122&lt;/D&gt;&lt;D xsi:type="xsd:double"&gt;16.4370446295784&lt;/D&gt;&lt;D xsi:type="xsd:double"&gt;17.5522313301558&lt;/D&gt;&lt;D xsi:type="xsd:double"&gt;17.4620992427707&lt;/D&gt;&lt;D xsi:type="xsd:double"&gt;17.23002530506&lt;/D&gt;&lt;D xsi:type="xsd:double"&gt;16.253186713725&lt;/D&gt;&lt;D xsi:type="xsd:double"&gt;17.017261128894&lt;/D&gt;&lt;D xsi:type="xsd:double"&gt;14.8617788460951&lt;/D&gt;&lt;D xsi:type="xsd:double"&gt;14.7215258252244&lt;/D&gt;&lt;D xsi:type="xsd:double"&gt;15.2972291455122&lt;/D&gt;&lt;D xsi:type="xsd:double"&gt;16.3331370416191&lt;/D&gt;&lt;D xsi:type="xsd:double"&gt;15.1887882978782&lt;/D&gt;&lt;D xsi:type="xsd:double"&gt;14.3750865365836&lt;/D&gt;&lt;D xsi:type="xsd:double"&gt;14.3135939229231&lt;/D&gt;&lt;D xsi:type="xsd:double"&gt;15.3387241918843&lt;/D&gt;&lt;D xsi:type="xsd:double"&gt;15.363476883523&lt;/D&gt;&lt;D xsi:type="xsd:double"&gt;14.8130262294545&lt;/D&gt;&lt;D xsi:type="xsd:double"&gt;14.5160827631193&lt;/D&gt;&lt;D xsi:type="xsd:double"&gt;14.7259138354309&lt;/D&gt;&lt;D xsi:type="xsd:double"&gt;14.7652275167909&lt;/D&gt;&lt;D xsi:type="xsd:double"&gt;14.7554985443078&lt;/D&gt;&lt;D xsi:type="xsd:double"&gt;14.8866798049604&lt;/D&gt;&lt;D xsi:type="xsd:double"&gt;14.5831022331066&lt;/D&gt;&lt;D xsi:type="xsd:double"&gt;15.1295574322184&lt;/D&gt;&lt;D xsi:type="xsd:double"&gt;15.0790703517132&lt;/D&gt;&lt;D xsi:type="xsd:double"&gt;15.6047076131263&lt;/D&gt;&lt;D xsi:type="xsd:double"&gt;16.0072265803806&lt;/D&gt;&lt;D xsi:type="xsd:double"&gt;16.1227343733152&lt;/D&gt;&lt;D xsi:type="xsd:double"&gt;16.3110730849352&lt;/D&gt;&lt;D xsi:type="xsd:double"&gt;16.0633113910583&lt;/D&gt;&lt;D xsi:type="xsd:double"&gt;15.8870327337855&lt;/D&gt;&lt;D xsi:type="xsd:double"&gt;15.6898935913388&lt;/D&gt;&lt;D xsi:type="xsd:double"&gt;15.8234076054119&lt;/D&gt;&lt;D xsi:type="xsd:double"&gt;16.1924782377583&lt;/D&gt;&lt;D xsi:type="xsd:double"&gt;16.0746205429081&lt;/D&gt;&lt;D xsi:type="xsd:double"&gt;16.0639184740211&lt;/D&gt;&lt;D xsi:type="xsd:double"&gt;16.4907647441549&lt;/D&gt;&lt;D xsi:type="xsd:double"&gt;15.6117240987801&lt;/D&gt;&lt;D xsi:type="xsd:double"&gt;15.6691189392655&lt;/D&gt;&lt;D xsi:type="xsd:double"&gt;15.4843756580229&lt;/D&gt;&lt;D xsi:type="xsd:double"&gt;15.9394250370001&lt;/D&gt;&lt;D xsi:type="xsd:double"&gt;15.6732833095331&lt;/D&gt;&lt;D xsi:type="xsd:double"&gt;16.0128610987015&lt;/D&gt;&lt;D xsi:type="xsd:double"&gt;15.4506886803543&lt;/D&gt;&lt;D xsi:type="xsd:double"&gt;15.1455135496148&lt;/D&gt;&lt;D xsi:type="xsd:double"&gt;14.1928415454299&lt;/D&gt;&lt;D xsi:type="xsd:double"&gt;14.0069616645574&lt;/D&gt;&lt;D xsi:type="xsd:double"&gt;13.011900818352&lt;/D&gt;&lt;D xsi:type="xsd:double"&gt;13.6370287671703&lt;/D&gt;&lt;D xsi:type="xsd:double"&gt;14.8213842441289&lt;/D&gt;&lt;D xsi:type="xsd:double"&gt;15.2593114319685&lt;/D&gt;&lt;D xsi:type="xsd:double"&gt;15.7626743854562&lt;/D&gt;&lt;D xsi:type="xsd:double"&gt;15.2014387024999&lt;/D&gt;&lt;D xsi:type="xsd:double"&gt;15.4679899564166&lt;/D&gt;&lt;D xsi:type="xsd:double"&gt;15.7048698743572&lt;/D&gt;&lt;D xsi:type="xsd:double"&gt;15.2769386941193&lt;/D&gt;&lt;D xsi:type="xsd:double"&gt;16.2732015088927&lt;/D&gt;&lt;D xsi:type="xsd:double"&gt;16.1822029461404&lt;/D&gt;&lt;D xsi:type="xsd:double"&gt;16.5137249457448&lt;/D&gt;&lt;D xsi:type="xsd:double"&gt;17.1646478557999&lt;/D&gt;&lt;D xsi:type="xsd:double"&gt;17.2474803535118&lt;/D&gt;&lt;D xsi:type="xsd:double"&gt;17.8739988674667&lt;/D&gt;&lt;D xsi:type="xsd:double"&gt;12.6291631337267&lt;/D&gt;&lt;D xsi:type="xsd:double"&gt;16.0680091660909&lt;/D&gt;&lt;D xsi:type="xsd:double"&gt;17.9408870839624&lt;/D&gt;&lt;D xsi:type="xsd:double"&gt;19.7316687821175&lt;/D&gt;&lt;D xsi:type="xsd:double"&gt;20.4306184365103&lt;/D&gt;&lt;D xsi:type="xsd:double"&gt;19.6286328271342&lt;/D&gt;&lt;D xsi:type="xsd:double"&gt;18.8473645577762&lt;/D&gt;&lt;D xsi:type="xsd:double"&gt;19.5874234742246&lt;/D&gt;&lt;D xsi:type="xsd:double"&gt;20.5880690405058&lt;/D&gt;&lt;D xsi:type="xsd:double"&gt;20.22260954989&lt;/D&gt;&lt;D xsi:type="xsd:double"&gt;21.7573129460276&lt;/D&gt;&lt;D xsi:type="xsd:double"&gt;22.5778810362219&lt;/D&gt;&lt;D xsi:type="xsd:double"&gt;21.8616154030764&lt;/D&gt;&lt;D xsi:type="xsd:double"&gt;22.1401943995175&lt;/D&gt;&lt;D xsi:type="xsd:double"&gt;21.2006121037957&lt;/D&gt;&lt;D xsi:type="xsd:double"&gt;21.2123572144186&lt;/D&gt;&lt;D xsi:type="xsd:double"&gt;20.8790294120283&lt;/D&gt;&lt;D xsi:type="xsd:double"&gt;21.5155661854672&lt;/D&gt;&lt;D xsi:type="xsd:double"&gt;21.3456130632131&lt;/D&gt;&lt;D xsi:type="xsd:double"&gt;21.1056500871159&lt;/D&gt;&lt;D xsi:type="xsd:double"&gt;21.5161634838146&lt;/D&gt;&lt;D xsi:type="xsd:double"&gt;19.8943078511399&lt;/D&gt;&lt;D xsi:type="xsd:double"&gt;19.114884310226&lt;/D&gt;&lt;D xsi:type="xsd:double"&gt;18.0427361655897&lt;/D&gt;&lt;D xsi:type="xsd:double"&gt;18.0276738276191&lt;/D&gt;&lt;D xsi:type="xsd:double"&gt;18.0233841586301&lt;/D&gt;&lt;D xsi:type="xsd:double"&gt;16.5382169644315&lt;/D&gt;&lt;D xsi:type="xsd:double"&gt;15.6925674650802&lt;/D&gt;&lt;D xsi:type="xsd:double"&gt;17.509850433387&lt;/D&gt;&lt;D xsi:type="xsd:double"&gt;17.3774864083402&lt;/D&gt;&lt;D xsi</t>
        </r>
      </text>
    </comment>
    <comment ref="A12" authorId="0" shapeId="0" xr:uid="{00E34567-2AFD-4FE2-8FAA-7852D1B03408}">
      <text>
        <r>
          <rPr>
            <b/>
            <sz val="9"/>
            <color indexed="81"/>
            <rFont val="Tahoma"/>
            <charset val="1"/>
          </rPr>
          <t>:type="xsd:double"&gt;15.2754067781301&lt;/D&gt;&lt;D xsi:type="xsd:double"&gt;14.7508581744744&lt;/D&gt;&lt;D xsi:type="xsd:double"&gt;16.3164838582699&lt;/D&gt;&lt;D xsi:type="xsd:double"&gt;15.8368565246402&lt;/D&gt;&lt;D xsi:type="xsd:double"&gt;16.84158617221&lt;/D&gt;&lt;D xsi:type="xsd:double"&gt;16.7531693275352&lt;/D&gt;&lt;D xsi:type="xsd:double"&gt;16.0083001790928&lt;/D&gt;&lt;D xsi:type="xsd:double"&gt;16.1048878290033&lt;/D&gt;&lt;D xsi:type="xsd:double"&gt;15.8836281246068&lt;/D&gt;&lt;D xsi:type="xsd:double"&gt;15.4945744300749&lt;/D&gt;&lt;D xsi:type="xsd:double"&gt;15.8682394600487&lt;/D&gt;&lt;D xsi:type="xsd:double"&gt;14.6168016265296&lt;/D&gt;&lt;D xsi:type="xsd:double"&gt;13.7289024714353&lt;/D&gt;&lt;D xsi:type="xsd:double"&gt;13.0540700733017&lt;/D&gt;&lt;D xsi:type="xsd:double"&gt;14.6069047732143&lt;/D&gt;&lt;D xsi:type="xsd:double"&gt;15.2012444403329&lt;/D&gt;&lt;D xsi:type="xsd:double"&gt;14.8714147354531&lt;/D&gt;&lt;D xsi:type="xsd:double"&gt;16.0674686180465&lt;/D&gt;&lt;D xsi:type="xsd:double"&gt;16.0186150181719&lt;/D&gt;&lt;/FQL&gt;&lt;FQL&gt;&lt;Q&gt;WL-FDS^FG_PRICE(0)&lt;/Q&gt;&lt;R&gt;1&lt;/R&gt;&lt;C&gt;1&lt;/C&gt;&lt;D xsi:type="xsd:double"&gt;640&lt;/D&gt;&lt;/FQL&gt;&lt;FQL&gt;&lt;Q&gt;CPALM-FDS^FG_PRICE(0)&lt;/Q&gt;&lt;R&gt;1&lt;/R&gt;&lt;C&gt;1&lt;/C&gt;&lt;D xsi:type="xsd:double"&gt;4352&lt;/D&gt;&lt;/FQL&gt;&lt;FQL&gt;&lt;Q&gt;TIOS-FDS^FG_PRICE(0)&lt;/Q&gt;&lt;R&gt;1&lt;/R&gt;&lt;C&gt;1&lt;/C&gt;&lt;D xsi:type="xsd:double"&gt;110.94&lt;/D&gt;&lt;/FQL&gt;&lt;FQL&gt;&lt;Q&gt;TRYFR10Y-FDS^PCTCHG(FG_YIELD(0,,,,"YTM"),FG_YIELD(-3AM,,,,"YTM"))&lt;/Q&gt;&lt;R&gt;1&lt;/R&gt;&lt;C&gt;1&lt;/C&gt;&lt;D xsi:type="xsd:double"&gt;15.515154&lt;/D&gt;&lt;/FQL&gt;&lt;FQL&gt;&lt;Q&gt;USDNZD^STD(FG_PRICE_CHANGE(0,-3AY,M))&lt;/Q&gt;&lt;R&gt;1&lt;/R&gt;&lt;C&gt;1&lt;/C&gt;&lt;D xsi:type="xsd:double"&gt;3.53129360615239&lt;/D&gt;&lt;/FQL&gt;&lt;FQL&gt;&lt;Q&gt;EWI^FG_TOTAL_RETURNC(0,-3AM)&lt;/Q&gt;&lt;R&gt;1&lt;/R&gt;&lt;C&gt;1&lt;/C&gt;&lt;D xsi:type="xsd:double"&gt;11.153973&lt;/D&gt;&lt;/FQL&gt;&lt;FQL&gt;&lt;Q&gt;URTH^FMA_COS_DOWN("EPS","1M",+1,0,,,"PORTAGG","MEANR")&lt;/Q&gt;&lt;R&gt;1&lt;/R&gt;&lt;C&gt;1&lt;/C&gt;&lt;D xsi:type="xsd:double"&gt;598&lt;/D&gt;&lt;/FQL&gt;&lt;FQL&gt;&lt;Q&gt;TRYCH10Y-FDS^PCTCHG(FG_YIELD(0,,,,"YTM"),FG_YIELD(-3AM,,,,"YTM"))&lt;/Q&gt;&lt;R&gt;1&lt;/R&gt;&lt;C&gt;1&lt;/C&gt;&lt;D xsi:type="xsd:double"&gt;-7.5949397&lt;/D&gt;&lt;/FQL&gt;&lt;FQL&gt;&lt;Q&gt;EWI^FMA_ROE(NTMA,-20AY,NOW,FY,"PORTAGG","MEANR")&lt;/Q&gt;&lt;R&gt;20&lt;/R&gt;&lt;C&gt;1&lt;/C&gt;&lt;D xsi:type="xsd:double"&gt;12.7201174133668&lt;/D&gt;&lt;D xsi:type="xsd:double"&gt;14.3538872460945&lt;/D&gt;&lt;D xsi:type="xsd:double"&gt;15.0689086026843&lt;/D&gt;&lt;D xsi:type="xsd:double"&gt;13.8121430445963&lt;/D&gt;&lt;D xsi:type="xsd:double"&gt;10.7897502226351&lt;/D&gt;&lt;D xsi:type="xsd:double"&gt;8.0585564947071&lt;/D&gt;&lt;D xsi:type="xsd:double"&gt;8.81990423698703&lt;/D&gt;&lt;D xsi:type="xsd:double"&gt;8.11660136585425&lt;/D&gt;&lt;D xsi:type="xsd:double"&gt;7.83939542493847&lt;/D&gt;&lt;D xsi:type="xsd:double"&gt;7.34575996709421&lt;/D&gt;&lt;D xsi:type="xsd:double"&gt;7.29870487123998&lt;/D&gt;&lt;D xsi:type="xsd:double"&gt;7.28937842659948&lt;/D&gt;&lt;D xsi:type="xsd:double"&gt;7.64480507807432&lt;/D&gt;&lt;D xsi:type="xsd:double"&gt;9.05384965064241&lt;/D&gt;&lt;D xsi:type="xsd:double"&gt;10.3909656073461&lt;/D&gt;&lt;D xsi:type="xsd:double"&gt;10.2353053584578&lt;/D&gt;&lt;D xsi:type="xsd:double"&gt;8.27578853786002&lt;/D&gt;&lt;D xsi:type="xsd:double"&gt;11.7277999998841&lt;/D&gt;&lt;D xsi:type="xsd:double"&gt;13.3202789860828&lt;/D&gt;&lt;D xsi:type="xsd:double"&gt;13.3572177464321&lt;/D&gt;&lt;/FQL&gt;&lt;FQL&gt;&lt;Q&gt;USDCHF^FG_PRICE_CHANGE(0,-1AM)&lt;/Q&gt;&lt;R&gt;1&lt;/R&gt;&lt;C&gt;1&lt;/C&gt;&lt;D xsi:type="xsd:double"&gt;2.0888805&lt;/D&gt;&lt;/FQL&gt;&lt;FQL&gt;&lt;Q&gt;USDAUD^FG_PRICE(0)&lt;/Q&gt;&lt;R&gt;1&lt;/R&gt;&lt;C&gt;1&lt;/C&gt;&lt;D xsi:type="xsd:double"&gt;1.5221858&lt;/D&gt;&lt;/FQL&gt;&lt;FQL&gt;&lt;Q&gt;PASP-FDS^MAX(FG_PRICE(0,-5AY))&lt;/Q&gt;&lt;R&gt;1&lt;/R&gt;&lt;C&gt;1&lt;/C&gt;&lt;D xsi:type="xsd:double"&gt;3158.12&lt;/D&gt;&lt;/FQL&gt;&lt;FQL&gt;&lt;Q&gt;W-FDS^MAX(FG_PRICE(0,-5AY))&lt;/Q&gt;&lt;R&gt;1&lt;/R&gt;&lt;C&gt;1&lt;/C&gt;&lt;D xsi:type="xsd:double"&gt;14.2525&lt;/D&gt;&lt;/FQL&gt;&lt;FQL&gt;&lt;Q&gt;EWQ^FG_PRICE_MAVG(0,,,,200)&lt;/Q&gt;&lt;R&gt;1&lt;/R&gt;&lt;C&gt;1&lt;/C&gt;&lt;D xsi:type="xsd:double"&gt;37.789574&lt;/D&gt;&lt;/FQL&gt;&lt;FQL&gt;&lt;Q&gt;EWA^FG_PRICE_MAVG(0,,,,200)&lt;/Q&gt;&lt;R&gt;1&lt;/R&gt;&lt;C&gt;1&lt;/C&gt;&lt;D xsi:type="xsd:double"&gt;22.6931&lt;/D&gt;&lt;/FQL&gt;&lt;FQL&gt;&lt;Q&gt;EWJ^PERCENT_CHANGE(FMA_EPS(+1,0,,,,"PORTAGG","MEAN"),FMA_EPS(+1,-1AM,,,,"PORTAGG","MEAN"))&lt;/Q&gt;&lt;R&gt;1&lt;/R&gt;&lt;C&gt;1&lt;/C&gt;&lt;D xsi:type="xsd:double"&gt;1.42157963589842&lt;/D&gt;&lt;/FQL&gt;&lt;FQL&gt;&lt;Q&gt;VGK^FG_TOTAL_RETURNC(0,-1AM)&lt;/Q&gt;&lt;R&gt;1&lt;/R&gt;&lt;C&gt;1&lt;/C&gt;&lt;D xsi:type="xsd:double"&gt;4.111743&lt;/D&gt;&lt;/FQL&gt;&lt;FQL&gt;&lt;Q&gt;EWN^FMA_PCT_ABOVE_MAVG(200,0,,,,"PORTAGG")&lt;/Q&gt;&lt;R&gt;1&lt;/R&gt;&lt;C&gt;1&lt;/C&gt;&lt;D xsi:type="xsd:double"&gt;57.4074074074074&lt;/D&gt;&lt;/FQL&gt;&lt;FQL&gt;&lt;Q&gt;EWA^FG_TOTAL_RETURNC(0,-6AM)&lt;/Q&gt;&lt;R&gt;1&lt;/R&gt;&lt;C&gt;1&lt;/C&gt;&lt;D xsi:type="xsd:double"&gt;16.735994&lt;/D&gt;&lt;/FQL&gt;&lt;FQL&gt;&lt;Q&gt;EWJ^SIZE(FG_CONSTITUENTS)&lt;/Q&gt;&lt;R&gt;1&lt;/R&gt;&lt;C&gt;1&lt;/C&gt;&lt;D xsi:type="xsd:long"&gt;219&lt;/D&gt;&lt;/FQL&gt;&lt;FQL&gt;&lt;Q&gt;EWA^FMA_COS_UP("EPS","1M",+1,0,,,"PORTAGG","MEANR")&lt;/Q&gt;&lt;R&gt;1&lt;/R&gt;&lt;C&gt;1&lt;/C&gt;&lt;D xsi:type="xsd:double"&gt;22&lt;/D&gt;&lt;/FQL&gt;&lt;FQL&gt;&lt;Q&gt;EWG^FMA_RBICS_REV_CURRENT(30, LOC, "PORTAGG")&lt;/Q&gt;&lt;R&gt;1&lt;/R&gt;&lt;C&gt;1&lt;/C&gt;&lt;D xsi:type="xsd:double"&gt;22.665656730962&lt;/D&gt;&lt;/FQL&gt;&lt;FQL&gt;&lt;Q&gt;TRYFR10Y-FDS^PCTCHG(FG_YIELD(0,,,,"YTM"),FG_YIELD(-1AM,,,,"YTM"))&lt;/Q&gt;&lt;R&gt;1&lt;/R&gt;&lt;C&gt;1&lt;/C&gt;&lt;D xsi:type="xsd:double"&gt;-1.3457569&lt;/D&gt;&lt;/FQL&gt;&lt;FQL&gt;&lt;Q&gt;TRYAU10Y-FDS^FG_YIELD_NAME&lt;/Q&gt;&lt;R&gt;1&lt;/R&gt;&lt;C&gt;1&lt;/C&gt;&lt;D xsi:type="xsd:string"&gt;Australia Benchmark Bond - 10 Year&lt;/D&gt;&lt;/FQL&gt;&lt;FQL&gt;&lt;Q&gt;VWO^JULIAN(FMA_DIV_YLD(NTMA,NOW,NOW,M,"PORTAGG","MEANR").DATES)&lt;/Q&gt;&lt;R&gt;1&lt;/R&gt;&lt;C&gt;1&lt;/C&gt;&lt;D xsi:type="xsd:long"&gt;45322&lt;/D&gt;&lt;/FQL&gt;&lt;FQL&gt;&lt;Q&gt;EWN^FMA_EVAL_EBIT(LTMA,NOW,NOW,M,"PORTAGG","MEANR")&lt;/Q&gt;&lt;R&gt;1&lt;/R&gt;&lt;C&gt;1&lt;/C&gt;&lt;D xsi:type="xsd:double"&gt;22.4852642524619&lt;/D&gt;&lt;/FQL&gt;&lt;FQL&gt;&lt;Q&gt;SPY^JULIAN(FMA_DIV_YLD(NTMA,NOW,NOW,M,"PORTAGG","MEANR").DATES)&lt;/Q&gt;&lt;R&gt;1&lt;/R&gt;&lt;C&gt;1&lt;/C&gt;&lt;D xsi:type="xsd:long"&gt;45351&lt;/D&gt;&lt;/FQL&gt;&lt;FQL&gt;&lt;Q&gt;EWJ^FMA_EVAL_EBIT(LTMA,NOW,NOW,M,"PORTAGG","MEANR")&lt;/Q&gt;&lt;R&gt;1&lt;/R&gt;&lt;C&gt;1&lt;/C&gt;&lt;D xsi:type="xsd:double"&gt;18.2420412527071&lt;/D&gt;&lt;/FQL&gt;&lt;FQL&gt;&lt;Q&gt;EWA^FMA_EVAL_EBITDA(NTMA,0,,,"PORTAGG","MEANR")&lt;/Q&gt;&lt;R&gt;1&lt;/R&gt;&lt;C&gt;1&lt;/C&gt;&lt;D xsi:type="xsd:double"&gt;8.54505832298869&lt;/D&gt;&lt;/FQL&gt;&lt;FQL&gt;&lt;Q&gt;DBA^FG_TOTAL_RETURNC(0,-3AM)&lt;/Q&gt;&lt;R&gt;1&lt;/R&gt;&lt;C&gt;1&lt;/C&gt;&lt;D xsi:type="xsd:double"&gt;15.055311&lt;/D&gt;&lt;/FQL&gt;&lt;FQL&gt;&lt;Q&gt;VWO^FG_TOTAL_RETURNC(0,-1AM)&lt;/Q&gt;&lt;R&gt;1&lt;/R&gt;&lt;C&gt;1&lt;/C&gt;&lt;D xsi:type="xsd:double"&gt;1.7198682&lt;/D&gt;&lt;/FQL&gt;&lt;FQL&gt;&lt;Q&gt;EWQ^FG_PRICE_MAVG(0,,,,60)&lt;/Q&gt;&lt;R&gt;1&lt;/R&gt;&lt;C&gt;1&lt;/C&gt;&lt;D xsi:type="xsd:double"&gt;39.372665&lt;/D&gt;&lt;/FQL&gt;&lt;FQL&gt;&lt;Q&gt;EWI^FG_TOTAL_RETURNC(0,-6AM)&lt;/Q&gt;&lt;R&gt;1&lt;/R&gt;&lt;C&gt;1&lt;/C&gt;&lt;D xsi:type="xsd:double"&gt;21.611298&lt;/D&gt;&lt;/FQL&gt;&lt;FQL&gt;&lt;Q&gt;TRYNZ10Y-FDS^FG_YIELD(0,,,,"YTM")&lt;/Q&gt;&lt;R&gt;1&lt;/R&gt;&lt;C&gt;1&lt;/C&gt;&lt;D xsi:type="xsd:double"&gt;4.5852&lt;/D&gt;&lt;/FQL&gt;&lt;FQL&gt;&lt;Q&gt;EWN^FMA_EVAL_EBITDA(NTMA,0,,,"PORTAGG","MEANR")&lt;/Q&gt;&lt;R&gt;1&lt;/R&gt;&lt;C&gt;1&lt;/C&gt;&lt;D xsi:type="xsd:double"&gt;12.5939224895889&lt;/D&gt;&lt;/FQL&gt;&lt;FQL&gt;&lt;Q&gt;QQQ^FMA_EVAL_EBIT(LTMA,NOW,NOW,M,"PORTAGG","MEANR")&lt;/Q&gt;&lt;R&gt;1&lt;/R&gt;&lt;C&gt;1&lt;/C&gt;&lt;D xsi:type="xsd:double"&gt;25.0078011678763&lt;/D&gt;&lt;/FQL&gt;&lt;FQL&gt;&lt;Q&gt;EWJ^FG_FCF_YIELD_NTM(0)&lt;/Q&gt;&lt;R&gt;1&lt;/R&gt;&lt;C&gt;1&lt;/C&gt;&lt;D xsi:type="xsd:double"&gt;4.02737152139848&lt;/D&gt;&lt;/FQL&gt;&lt;FQL&gt;&lt;Q&gt;EWA^FG_FCF_YIELD_NTM(0)&lt;/Q&gt;&lt;R&gt;1&lt;/R&gt;&lt;C&gt;1&lt;/C&gt;&lt;D xsi:type="xsd:double"&gt;4.82129393142715&lt;/D&gt;&lt;/FQL&gt;&lt;FQL&gt;&lt;Q&gt;TRYFR10Y-FDS^FG_YIELD(-10AY,0,Y,,"YTM")&lt;/Q&gt;&lt;R&gt;10&lt;/R&gt;&lt;C&gt;1&lt;/C&gt;&lt;D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xsi:type="xsd:double"&gt;2.534&lt;/D&gt;&lt;/FQL&gt;&lt;FQL&gt;&lt;Q&gt;CAGDPY@DE^EE_ACTUAL_ANNUAL(MED,0)&lt;/Q&gt;&lt;R&gt;1&lt;/R&gt;&lt;C&gt;1&lt;/C&gt;&lt;D xsi:type="xsd:double"&gt;6.01260398456499&lt;/D&gt;&lt;/FQL&gt;&lt;FQL&gt;&lt;Q&gt;USDANG^FG_PRICE_CHANGE(0,-6AM)&lt;/Q&gt;&lt;R&gt;1&lt;/R&gt;&lt;C&gt;1&lt;/C&gt;&lt;D xsi:type="xsd:double"&gt;0&lt;/D&gt;&lt;/FQL&gt;&lt;FQL&gt;&lt;Q&gt;EWA^P_PRICE_RETURNS_PR('52W',2,-10AY,0,AM)&lt;/Q&gt;&lt;R&gt;121&lt;/R&gt;&lt;C&gt;1&lt;/C&gt;&lt;D xsi:type="xsd:double"&gt;-2.4652243&lt;/D&gt;&lt;D xsi:type="xsd:double"&gt;4.8701644&lt;/D&gt;&lt;D xsi:type="xsd:double"&gt;3.409779&lt;/D&gt;&lt;D xsi:type="xsd:double"&gt;24.018728&lt;/D&gt;&lt;D xsi:type="xsd:double"&gt;17.697657&lt;/D&gt;&lt;D xsi:type="xsd:double"&gt;20.057678&lt;/D&gt;&lt;D xsi:type="xsd:double"&gt;0.90777874&lt;/D&gt;&lt;D xsi:type="xsd:double"&gt;-4.6337724&lt;/D&gt;&lt;D xsi:type="xsd:double"&gt;-1.9034266&lt;/D&gt;&lt;D xsi:type="xsd:double"&gt;-1.6638577&lt;/D&gt;&lt;D xsi:type="xsd:double"&gt;-2.3963928&lt;/D&gt;&lt;D xsi:type="xsd:double"&gt;-1.9102335&lt;/D&gt;&lt;D xsi:type="xsd:double"&gt;1.1684418&lt;/D&gt;&lt;D xsi:type="xsd:double"&gt;-8.157551&lt;/D&gt;&lt;D xsi:type="xsd:double"&gt;-8.241266&lt;/D&gt;&lt;D xsi:type="xsd:double"&gt;-12.244118&lt;/D&gt;&lt;D xsi:type="xsd:double"&gt;-15.660924&lt;/D&gt;&lt;D xsi:type="xsd:double"&gt;-26.423471&lt;/D&gt;&lt;D xsi:type="xsd:double"&gt;-22.266256&lt;/D&gt;&lt;D xsi:type="xsd:double"&gt;-17.753536&lt;/D&gt;&lt;D xsi:type="xsd:double"&gt;-14.702236&lt;/D&gt;&lt;D xsi:type="xsd:double"&gt;-13.262218&lt;/D&gt;&lt;D xsi:type="xsd:double"&gt;-19.959766&lt;/D&gt;&lt;D xsi:type="xsd:double"&gt;-20.68838&lt;/D&gt;&lt;D xsi:type="xsd:double"&gt;-13.238859&lt;/D&gt;&lt;D xsi:type="xsd:double"&gt;-7.621169&lt;/D&gt;&lt;D xsi:type="xsd:double"&gt;-9.750205&lt;/D&gt;&lt;D xsi:type="xsd:double"&gt;-7.0166826&lt;/D&gt;&lt;D xsi:type="xsd:double"&gt;-0.120300055&lt;/D&gt;&lt;D xsi:type="xsd:double"&gt;9.291876&lt;/D&gt;&lt;D xsi:type="xsd:double"&gt;15.49437&lt;/D&gt;&lt;D xsi:type="xsd:double"&gt;12.910318&lt;/D&gt;&lt;D xsi:type="xsd:double"&gt;8.829522&lt;/D&gt;&lt;D xsi:type="xsd:double"&gt;15.204847&lt;/D&gt;&lt;D xsi:type="xsd:double"&gt;33.710514&lt;/D&gt;&lt;D xsi:type="xsd:double"&gt;31.96454&lt;/D&gt;&lt;D xsi:type="xsd:double"&gt;17.330683&lt;/D&gt;&lt;D xsi:type="xsd:double"&gt;14.3736&lt;/D&gt;&lt;D xsi:type="xsd:double"&gt;16.601563&lt;/D&gt;&lt;D xsi:type="xsd:double"&gt;14.132273&lt;/D&gt;&lt;D xsi:type="xsd:double"&gt;15.507102&lt;/D&gt;&lt;D xsi:type="xsd:double"&gt;13.906813&lt;/D&gt;&lt;D xsi:type="xsd:double"&gt;15.763367&lt;/D&gt;&lt;D xsi:type="xsd:double"&gt;16.305279&lt;/D&gt;&lt;D xsi:type="xsd:double"&gt;18.541325&lt;/D&gt;&lt;D xsi:type="xsd:double"&gt;18.621826&lt;/D&gt;&lt;D xsi:type="xsd:double"&gt;16.372013&lt;/D&gt;&lt;D xsi:type="xsd:double"&gt;7.200563&lt;/D&gt;&lt;D xsi:type="xsd:double"&gt;7.16573&lt;/D&gt;&lt;D xsi:type="xsd:double"&gt;4.2449474&lt;/D&gt;&lt;D xsi:type="xsd:double"&gt;10.991299&lt;/D&gt;&lt;D xsi:type="xsd:double"&gt;10.440123&lt;/D&gt;&lt;D xsi:type="xsd:double"&gt;5.064392&lt;/D&gt;&lt;D xsi:type="xsd:double"&gt;5.4837584&lt;/D&gt;&lt;D xsi:type="xsd:double"&gt;3.3082247&lt;/D&gt;&lt;D xsi:type="xsd:double"&gt;-5.4784956&lt;/D&gt;&lt;D xsi:type="xsd:double"&gt;-5.6506453&lt;/D&gt;&lt;D xsi:type="xsd:double"&gt;-14.629591&lt;/D&gt;&lt;D xsi:type="xsd:double"&gt;-7.6987386&lt;/D&gt;&lt;D xsi:type="xsd:double"&gt;-2.4933815&lt;/D&gt;&lt;D xsi:type="xsd:double"&gt;0.4891634&lt;/D&gt;&lt;D xsi:type="xsd:double"&gt;2.5232673&lt;/D&gt;&lt;D xsi:type="xsd:double"&gt;1.6533256&lt;/D&gt;&lt;D xsi:type="xsd:double"&gt;5.5072904&lt;/D&gt;&lt;D xsi:type="xsd:double"&gt;6.731689&lt;/D&gt;&lt;D xsi:type="xsd:double"&gt;-0.52369833&lt;/D&gt;&lt;D xsi:type="xsd:double"&gt;6.0284257&lt;/D&gt;&lt;D xsi:type="xsd:double"&gt;14.090562&lt;/D&gt;&lt;D xsi:type="xsd:double"&gt;15.237045&lt;/D&gt;&lt;D xsi:type="xsd:double"&gt;24.711943&lt;/D&gt;&lt;D xsi:type="xsd:double"&gt;17.99097&lt;/D&gt;&lt;D xsi:type="xsd:double"&gt;12.439192&lt;/D&gt;&lt;D xsi:type="xsd:double"&gt;-35.07556&lt;/D&gt;&lt;D xsi:type="xsd:double"&gt;-26.401234&lt;/D&gt;&lt;D xsi:type="xsd:double"&gt;-18.08247&lt;/D&gt;&lt;D xsi:type="xsd:double"&gt;-11.115766&lt;/D&gt;&lt;D xsi:type="xsd:double"&gt;-6.8170366&lt;/D&gt;&lt;D xsi:type="xsd:double"&gt;-0.4047811&lt;/D&gt;&lt;D xsi:type="xsd:double"&gt;-9.115368&lt;/D&gt;&lt;D xsi:type="xsd:double"&gt;-5.5016336&lt;/D&gt;&lt;D xsi:type="xsd:double"&gt;5.1719546&lt;/D&gt;&lt;D xsi:type="xsd:double"&gt;7.730162&lt;/D&gt;&lt;D xsi:type="xsd:double"&gt;9.932793&lt;/D&gt;&lt;D xsi:type="xsd:double"&gt;12.046385&lt;/D&gt;&lt;D xsi:type="xsd:double"&gt;81.06393&lt;/D&gt;&lt;D xsi:type="xsd:double"&gt;72.26751&lt;/D&gt;&lt;D xsi:type="xsd:double"&gt;54.959023&lt;/D&gt;&lt;D xsi:type="xsd:double"&gt;41.71511&lt;/D&gt;&lt;D xsi:type="xsd:double"&gt;28.56672&lt;/D&gt;&lt;D xsi:type="xsd:double"&gt;24.46419&lt;/D&gt;&lt;D xsi:type="xsd:double"&gt;30.4587&lt;/D&gt;&lt;D xsi:type="xsd:double"&gt;31.263565&lt;/D&gt;&lt;D xsi:type="xsd:double"&gt;13.800514&lt;/D&gt;&lt;D xsi:type="xsd:double"&gt;7.1513653&lt;/D&gt;&lt;D xsi:type="xsd:double"&gt;-1.7044127&lt;/D&gt;&lt;D xsi:type="xsd:double"&gt;-0.27561188&lt;/D&gt;&lt;D xsi:type="xsd:double"&gt;9.389698&lt;/D&gt;&lt;D xsi:type="xsd:double"&gt;5.854368&lt;/D&gt;&lt;D xsi:type="xsd:double"&gt;-4.8100653&lt;/D&gt;&lt;D xsi:type="xsd:double"&gt;-13.504612&lt;/D&gt;&lt;D xsi:type="xsd:double"&gt;-9.627354&lt;/D&gt;&lt;D xsi:type="xsd:double"&gt;-4.349703&lt;/D&gt;&lt;D xsi:type="xsd:double"&gt;-11.358494&lt;/D&gt;&lt;D xsi:type="xsd:double"&gt;-17.26098&lt;/D&gt;&lt;D xsi:type="xsd:double"&gt;-4.9186707&lt;/D&gt;&lt;D xsi:type="xsd:double"&gt;-2.9372633&lt;/D&gt;&lt;D xsi:type="xsd:double"&gt;6.28649&lt;/D&gt;&lt;D xsi:type="xsd:double"&gt;2.872789&lt;/D&gt;&lt;D xsi:type="xsd:double"&gt;-8.886504&lt;/D&gt;&lt;D xsi:type="xsd:double"&gt;-6.970811&lt;/D&gt;&lt;D xsi:type="xsd:double"&gt;1.4905095&lt;/D&gt;&lt;D xsi:type="xsd:double"&gt;13.04121&lt;/D&gt;&lt;D xsi:type="xsd:double"&gt;10.420359&lt;/D&gt;&lt;D xsi:type="xsd:double"&gt;-1.218164&lt;/D&gt;&lt;D xsi:type="xsd:double"&gt;6.6857696&lt;/D&gt;&lt;D xsi:type="xsd:double"&gt;7.4867606&lt;/D&gt;&lt;D xsi:type="xsd:double"&gt;2.9575706&lt;/D&gt;&lt;D xsi:type="xsd:double"&gt;12.252914&lt;/D&gt;&lt;D xsi:type="xsd:double"&gt;0.6182313&lt;/D&gt;&lt;D xsi:type="xsd:double"&gt;4.743004&lt;/D&gt;&lt;D xsi:type="xsd:double"&gt;14.080084&lt;/D&gt;&lt;/FQL&gt;&lt;FQL&gt;&lt;Q&gt;EWA^FMA_PE(NTMA,-10AY,0,AM,"PORTAGG","MEANR")&lt;/Q&gt;&lt;R&gt;121&lt;/R&gt;&lt;C&gt;1&lt;/C&gt;&lt;D xsi:type="xsd:double"&gt;13.9274085041861&lt;/D&gt;&lt;D xsi:type="xsd:double"&gt;14.3512198838304&lt;/D&gt;&lt;D xsi:type="xsd:double"&gt;14.0939408848456&lt;/D&gt;&lt;D xsi:type="xsd:double"&gt;14.2307213083626&lt;/D&gt;&lt;D xsi:type="xsd:double"&gt;14.7513821436601&lt;/D&gt;&lt;D xsi:type="xsd:double"&gt;14.9545570845838&lt;/D&gt;&lt;D xsi:type="xsd:double"&gt;14.2647873616975&lt;/D&gt;&lt;D xsi:type="xsd:double"&gt;14.0914827949438&lt;/D&gt;&lt;D xsi:type="xsd:double"&gt;13.9994835425048&lt;/D&gt;&lt;D xsi:type="xsd:double"&gt;14.2341685635251&lt;/D&gt;&lt;D xsi:type="xsd:double"&gt;14.7012735354185&lt;/D&gt;&lt;D xsi:type="xsd:double"&gt;16.1580082695938&lt;/D&gt;&lt;D xsi:type="xsd:double"&gt;16.500717799403&lt;/D&gt;&lt;D xsi:type="xsd:double"&gt;16.4267098606396&lt;/D&gt;&lt;D xsi:type="xsd:double"&gt;15.7868348257098&lt;/D&gt;&lt;D xsi:type="xsd:double"&gt;15.4899215497714&lt;/D&gt;&lt;D xsi:type="xsd:double"&gt;15.7172832815805&lt;/D&gt;&lt;D xsi:type="xsd:double"&gt;14.5894904070623&lt;/D&gt;&lt;D xsi:type="xsd:double"&gt;14.321353155852&lt;/D&gt;&lt;D xsi:type="xsd:double"&gt;14.9665355912822&lt;/D&gt;&lt;D xsi:type="xsd:double"&gt;15.2443732536721&lt;/D&gt;&lt;D xsi:type="xsd:double"&gt;15.0870520423819&lt;/D&gt;&lt;D xsi:type="xsd:double"&gt;14.539389323727&lt;/D&gt;&lt;D xsi:type="xsd:double"&gt;15.3074433358274&lt;/D&gt;&lt;D xsi:type="xsd:double"&gt;16.0798272911217&lt;/D&gt;&lt;D xsi:type="xsd:double"&gt;16.3190584144653&lt;/D&gt;&lt;D xsi:type="xsd:double"&gt;16.4278802334472&lt;/D&gt;&lt;D xsi:type="xsd:double"&gt;16.1322275884675&lt;/D&gt;&lt;D xsi:type="xsd:double"&gt;16.6717776612876&lt;/D&gt;&lt;D xsi:type="xsd:double"&gt;16.7831194623937&lt;/D&gt;&lt;D xsi:type="xsd:double"&gt;16.0421188213181&lt;/D&gt;&lt;D xsi:type="xsd:double"&gt;16.0934565203967&lt;/D&gt;&lt;D xsi:type="xsd:double"&gt;15.7001995256548&lt;/D&gt;&lt;D xsi:type="xsd:double"&gt;15.7107927299523&lt;/D&gt;&lt;D xsi:type="xsd:double"&gt;15.7168413845788&lt;/D&gt;&lt;D xsi:type="xsd:double"&gt;16.0189143403291&lt;/D&gt;&lt;D xsi:type="xsd:double"&gt;15.6899543290346&lt;/D&gt;&lt;D xsi:type="xsd:double"&gt;15.7787387112847&lt;/D&gt;&lt;D xsi:type="xsd:double"&gt;15.3598760409749&lt;/D&gt;&lt;D xsi:type="xsd:double"&gt;15.1688880613105&lt;/D&gt;&lt;D xsi:type="xsd:double"&gt;15.6694384113566&lt;/D&gt;&lt;D xsi:type="xsd:double"&gt;15.6887621645178&lt;/D&gt;&lt;D xsi:type="xsd:double"&gt;15.4005841566949&lt;/D&gt;&lt;D xsi:type="xsd:double"&gt;15.9011603531807&lt;/D&gt;&lt;D xsi:type="xsd:double"&gt;15.8857201541751&lt;/D&gt;&lt;D xsi:type="xsd:double"&gt;15.934045143785&lt;/D&gt;&lt;D xsi:type="xsd:double"&gt;15.704492644217&lt;/D&gt;&lt;D xsi:type="xsd:double"&gt;15.407514623776&lt;/D&gt;&lt;D xsi:type="xsd:double"&gt;15.2430939316679&lt;/D&gt;&lt;D xsi:type="xsd:double"&gt;14.9706307707499&lt;/D&gt;&lt;D xsi:type="xsd:double"&gt;15.4466218819604&lt;/D&gt;&lt;D xsi:type="xsd:double"&gt;15.5129137705475&lt;/D&gt;&lt;D xsi:type="xsd:double"&gt;15.6636843075145&lt;/D&gt;&lt;D xsi:type="xsd:double"&gt;15.7555080751632&lt;/D&gt;&lt;D xsi:type="xsd:double"&gt;15.3045452767697&lt;/D&gt;&lt;D xsi:type="xsd:double"&gt;14.5445359394109&lt;/D&gt;&lt;D xsi:type="xsd:double"&gt;14.0132039853533&lt;/D&gt;&lt;D xsi:type="xsd:double"&gt;13.5409468919636&lt;/D&gt;&lt;D xsi:type="xsd:double"&gt;14.7056799229484&lt;/D&gt;&lt;D xsi:type="xsd:double"&gt;15.2375770670421&lt;/D&gt;&lt;D xsi:type="xsd:double"&gt;15.2406057155606&lt;/D&gt;&lt;D xsi:type="xsd:double"&gt;15.3050573638258&lt;/D&gt;&lt;D xsi:type="xsd:double"&gt;15.8701091520842&lt;/D&gt;&lt;D xsi:type="xsd:double"&gt;16.2282143411021&lt;/D&gt;&lt;D xsi:type="xsd:double"&gt;16.2850638735356&lt;/D&gt;&lt;D xsi:type="xsd:double"&gt;15.8974490274047&lt;/D&gt;&lt;D xsi:type="xsd:double"&gt;16.666586032513&lt;/D&gt;&lt;D xsi:type="xsd:double"&gt;16.7594106870363&lt;/D&gt;&lt;D xsi:type="xsd:double"&gt;16.919393799511&lt;/D&gt;&lt;D xsi:type="xsd:double"&gt;17.4615313928309&lt;/D&gt;&lt;D xsi:type="xsd:double"&gt;18.0489566701847&lt;/D&gt;&lt;D xsi:type="xsd:double"&gt;18.3467351808801&lt;/D&gt;&lt;D xsi:type="xsd:double"&gt;12.7641802991023&lt;/D&gt;&lt;D xsi:type="xsd:double"&gt;15.8587679005508&lt;/D&gt;&lt;D xsi:type="xsd:double"&gt;17.7954147475981&lt;/D&gt;&lt;D xsi:type="xsd:double"&gt;19.0173691939851&lt;/D&gt;&lt;D xsi:type="xsd:double"&gt;19.7432777024407&lt;/D&gt;&lt;D xsi:type="xsd:double"&gt;19.66895118923&lt;/D&gt;&lt;D xsi:type="xsd:double"&gt;18.1967421772864&lt;/D&gt;&lt;D xsi:type="xsd:double"&gt;18.624876123274&lt;/D&gt;&lt;D xsi:type="xsd:double"&gt;19.4852995455104&lt;/D&gt;&lt;D xsi:type="xsd:double"&gt;19.2940479680668&lt;/D&gt;&lt;D xsi:type="xsd:double"&gt;19.3560471391777&lt;/D&gt;&lt;D xsi:type="xsd:double"&gt;18.4133169917865&lt;/D&gt;&lt;D xsi:type="xsd:double"&gt;17.7126631217482&lt;/D&gt;&lt;D xsi:type="xsd:double"&gt;18.0541612624187&lt;/D&gt;&lt;D xsi:type="xsd:double"&gt;17.7460265087148&lt;/D&gt;&lt;D xsi:type="xsd:double"&gt;17.723112722786&lt;/D&gt;&lt;D xsi:type="xsd:double"&gt;16.6328322763743&lt;/D&gt;&lt;D xsi:type="xsd:double"&gt;16.8478149498353&lt;/D&gt;&lt;D xsi:type="xsd:double"&gt;16.762660755134&lt;/D&gt;&lt;D xsi:type="xsd:double"&gt;17.6226332468958&lt;/D&gt;&lt;D xsi:type="xsd:double"&gt;17.2501593311286&lt;/D&gt;&lt;D xsi:type="xsd:double"&gt;17.2247852155516&lt;/D&gt;&lt;D xsi:type="xsd:double"&gt;16.6328277171471&lt;/D&gt;&lt;D xsi:type="xsd:double"&gt;15.7619702794235&lt;/D&gt;&lt;D xsi:type="xsd:double"&gt;15.9171317503242&lt;/D&gt;&lt;D xsi:type="xsd:double"&gt;15.7308595768192&lt;/D&gt;&lt;D xsi:type="xsd:double"&gt;14.2815330275574&lt;/D&gt;&lt;D xsi:type="xsd:double"&gt;12.618609075669&lt;/D&gt;&lt;D xsi:type="xsd:double"&gt;13.4061419668885&lt;/D&gt;&lt;D xsi:type="xsd:double"&gt;14.128291390044&lt;/D&gt;&lt;D xsi:type="xsd:double"&gt;13.0747333347862&lt;/D&gt;&lt;D xsi:type="xsd:double"&gt;12.8840816465507&lt;/D&gt;&lt;D xsi:type="xsd:double"&gt;14.1525393408405&lt;/D&gt;&lt;D xsi:type="xsd:double"&gt;14.2511905071203&lt;/D&gt;&lt;D xsi:type="xsd:double"&gt;14.8391724929427&lt;/D&gt;&lt;D xsi:type="xsd:double"&gt;14.7562300728275&lt;/D&gt;&lt;D xsi:type="xsd:double"&gt;13.7707582056508&lt;/D&gt;&lt;D xsi:type="xsd:double"&gt;14.6409581142968&lt;/D&gt;&lt;D xsi:type="xsd:double"&gt;14.6266967604493&lt;/D&gt;&lt;D xsi:type="xsd:double"&gt;15.1569114018553&lt;/D&gt;&lt;D xsi:type="xsd:double"&gt;15.4266016489569&lt;/D&gt;&lt;D xsi:type="xsd:double"&gt;14.870123720762&lt;/D&gt;&lt;D xsi:type="xsd:double"&gt;14.9712769921391&lt;/D&gt;&lt;D xsi:type="xsd:double"&gt;14.4723322163762&lt;/D&gt;&lt;D xsi:type="xsd:double"&gt;15.1872133365441&lt;/D&gt;&lt;D xsi:type="xsd:double"&gt;16.2510815484544&lt;/D&gt;&lt;D xsi:type="xsd:double"&gt;15.9559291109819&lt;/D&gt;&lt;D xsi:type="xsd:double"&gt;16.4207969880227&lt;/D&gt;&lt;D xsi:type="xsd:double"&gt;16.4253110011505&lt;/D&gt;&lt;/FQL&gt;&lt;FQL&gt;&lt;Q&gt;EWJ^FMA_PCT_ABOVE_MAVG(200,0,,,,"PORTAGG")&lt;/Q&gt;&lt;R&gt;1&lt;/R&gt;&lt;C&gt;1&lt;/C&gt;&lt;D xsi:type="xsd:double"&gt;77.1689497716895&lt;/D&gt;&lt;/FQL&gt;&lt;FQL&gt;&lt;Q&gt;EWU^P_PRICE(0)/P_PRICE_LOW_PR(0,,,USD,,,"PRICE","INTRA","52W")-1&lt;/Q&gt;&lt;R&gt;1&lt;/R&gt;&lt;C&gt;1&lt;/C&gt;&lt;D xsi:type="xsd:double"&gt;0.12408769&lt;/D&gt;&lt;/FQL&gt;&lt;FQL&gt;&lt;Q&gt;EWJ^FMA_COS_DOWN("EPS","1M",+1,0,,,"PORTAGG","MEANR")&lt;/Q&gt;&lt;R&gt;1&lt;/R&gt;&lt;C&gt;1&lt;/C&gt;&lt;D xsi:type="xsd:double"&gt;84&lt;/D&gt;&lt;/FQL&gt;&lt;FQL&gt;&lt;Q&gt;REFSEREPO-FDS^FG_YIELD(NOW,,,0)&lt;/Q&gt;&lt;R&gt;1&lt;/R&gt;&lt;C&gt;1&lt;/C&gt;&lt;D xsi:type="xsd:double"&gt;4&lt;/D&gt;&lt;/FQL&gt;&lt;FQL&gt;&lt;Q&gt;REFJPTON-FDS^FG_YIELD(NOW,,,0)&lt;/Q&gt;&lt;R&gt;1&lt;/R&gt;&lt;C&gt;1&lt;/C&gt;&lt;D xsi:type="xsd:double"&gt;0.1&lt;/D&gt;&lt;/FQL&gt;&lt;FQL&gt;&lt;Q&gt;VGK^FMA_EVAL_EBIT(LTMA,NOW,NOW,M,"PORTAGG","MEANR")&lt;/Q&gt;&lt;R&gt;1&lt;/R&gt;&lt;C&gt;1&lt;/C&gt;&lt;D xsi:type="xsd:double"&gt;13.068161161292&lt;/D&gt;&lt;/FQL&gt;&lt;FQL&gt;&lt;Q&gt;EWJ^FMA_EVAL_EBITDA(NTMA,0,,,"PORTAGG","MEANR")&lt;/Q&gt;&lt;R&gt;1&lt;/R&gt;&lt;C&gt;1&lt;/C&gt;&lt;D xsi:type="xsd:double"&gt;10.8822989038149&lt;/D&gt;&lt;/FQL&gt;&lt;FQL&gt;&lt;Q&gt;USDCHF^FG_PRICE_CHANGE(0,-1AY)&lt;/Q&gt;&lt;R&gt;1&lt;/R&gt;&lt;C&gt;1&lt;/C&gt;&lt;D xsi:type="xsd:double"&gt;-2.6469648&lt;/D&gt;&lt;/FQL&gt;&lt;FQL&gt;&lt;Q&gt;ENZL^FMA_PE(NTMA,-10AY,0,AM,"PORTAGG","MEANR")&lt;/Q&gt;&lt;R&gt;121&lt;/R&gt;&lt;C&gt;1&lt;/C&gt;&lt;D xsi:type="xsd:double"&gt;17.3326963044811&lt;/D&gt;&lt;D xsi:type="xsd:double"&gt;17.1570866072506&lt;/D&gt;&lt;D xsi:type="xsd:double"&gt;17.1473242807611&lt;/D&gt;&lt;D xsi:type="xsd:double"&gt;17.0983725845146&lt;/D&gt;&lt;D xsi:type="xsd:double"&gt;17.2468358388666&lt;/D&gt;&lt;D xsi:type="xsd:double"&gt;17.2671290805255&lt;/D&gt;&lt;D xsi:type="xsd:double"&gt;16.9458776867369&lt;/D&gt;&lt;D xsi:type="xsd:double"&gt;17.1365318084819&lt;/D&gt;&lt;D xsi:type="xsd:double"&gt;18.0855320076884&lt;/D&gt;&lt;D xsi:type="xsd:double"&gt;18.1252959824212&lt;/D&gt;&lt;D xsi:type="xsd:double"&gt;18.7768636510464&lt;/D&gt;&lt;D xsi:type="xsd:double"&gt;18.9796341997582&lt;/D&gt;&lt;D xsi:type="xsd:double"&gt;18.8322319650986&lt;/D&gt;&lt;D xsi:type="xsd:double"&gt;18.2595748914602&lt;/D&gt;&lt;D xsi:type="xsd:double"&gt;18.1893385115601&lt;/D&gt;&lt;D xsi:type="xsd:double"&gt;17.9516704455703&lt;/D&gt;&lt;D xsi:type="xsd:double"&gt;18.2502404709023&lt;/D&gt;&lt;D xsi:type="xsd:double"&gt;17.8051467743184&lt;/D&gt;&lt;D xsi:type="xsd:double"&gt;17.495530007461&lt;/D&gt;&lt;D xsi:type="xsd:double"&gt;17.930340998453&lt;/D&gt;&lt;D xsi:type="xsd:double"&gt;17.9339355512296&lt;/D&gt;&lt;D xsi:type="xsd:double"&gt;17.8907415380628&lt;/D&gt;&lt;D xsi:type="xsd:double"&gt;17.3632309703266&lt;/D&gt;&lt;D xsi:type="xsd:double"&gt;17.3355101074039&lt;/D&gt;&lt;D xsi:type="xsd:double"&gt;18.2346209778559&lt;/D&gt;&lt;D xsi:type="xsd:double"&gt;19.016751229579&lt;/D&gt;&lt;D xsi:type="xsd:double"&gt;19.2103208646299&lt;/D&gt;&lt;D xsi:type="xsd:double"&gt;18.8530264706285&lt;/D&gt;&lt;D xsi:type="xsd:double"&gt;19.9560785882022&lt;/D&gt;&lt;D xsi:type="xsd:double"&gt;20.3891768755436&lt;/D&gt;&lt;D xsi:type="xsd:double"&gt;20.2689497358452&lt;/D&gt;&lt;D xsi:type="xsd:double"&gt;19.1220858178548&lt;/D&gt;&lt;D xsi:type="xsd:double"&gt;18.6917341239364&lt;/D&gt;&lt;D xsi:type="xsd:double"&gt;18.3021307170576&lt;/D&gt;&lt;D xsi:type="xsd:double"&gt;18.9123031257667&lt;/D&gt;&lt;D xsi:type="xsd:double"&gt;18.9729508871747&lt;/D&gt;&lt;D xsi:type="xsd:double"&gt;18.7350658650399&lt;/D&gt;&lt;D xsi:type="xsd:double"&gt;19.0068523513775&lt;/D&gt;&lt;D xsi:type="xsd:double"&gt;19.4406972369081&lt;/D&gt;&lt;D xsi:type="xsd:double"&gt;19.5398174242318&lt;/D&gt;&lt;D xsi:type="xsd:double"&gt;19.7137817939963&lt;/D&gt;&lt;D xsi:type="xsd:double"&gt;20.2754994720922&lt;/D&gt;&lt;D xsi:type="xsd:double"&gt;19.6212322651114&lt;/D&gt;&lt;D xsi:type="xsd:double"&gt;20.0852452058662&lt;/D&gt;&lt;D xsi:type="xsd:double"&gt;20.220139276637&lt;/D&gt;&lt;D xsi:type="xsd:double"&gt;20.8932741822751&lt;/D&gt;&lt;D xsi:type="xsd:double"&gt;20.5305680627612&lt;/D&gt;&lt;D xsi:type="xsd:double"&gt;20.3792368850117&lt;/D&gt;&lt;D xsi:type="xsd:double"&gt;20.7783971554972&lt;/D&gt;&lt;D xsi:type="xsd:double"&gt;19.9023144179338&lt;/D&gt;&lt;D xsi:type="xsd:double"&gt;20.3754259674844&lt;/D&gt;&lt;D xsi:type="xsd:double"&gt;21.3167975086619&lt;/D&gt;&lt;D xsi:type="xsd:double"&gt;21.101194286268&lt;/D&gt;&lt;D xsi:type="xsd:double"&gt;21.5169349382155&lt;/D&gt;&lt;D xsi:type="xsd:double"&gt;21.734816553579&lt;/D&gt;&lt;D xsi:type="xsd:double"&gt;20.1959892276804&lt;/D&gt;&lt;D xsi:type="xsd:double"&gt;19.6643923389364&lt;/D&gt;&lt;D xsi:type="xsd:double"&gt;19.8541641247753&lt;/D&gt;&lt;D xsi:type="xsd:double"&gt;20.6437248611298&lt;/D&gt;&lt;D xsi:type="xsd:double"&gt;21.1529374034704&lt;/D&gt;&lt;D xsi:type="xsd:double"&gt;21.4311951505713&lt;/D&gt;&lt;D xsi:type="xsd:double"&gt;22.5484485911005&lt;/D&gt;&lt;D xsi:type="xsd:double"&gt;23.2969434924686&lt;/D&gt;&lt;D xsi:type="xsd:double"&gt;23.2083366496416&lt;/D&gt;&lt;D xsi:type="xsd:double"&gt;24.3627077987959&lt;/D&gt;&lt;D xsi:type="xsd:double"&gt;24.3439222983414&lt;/D&gt;&lt;D xsi:type="xsd:double"&gt;25.6230798119236&lt;/D&gt;&lt;D xsi:type="xsd:double"&gt;25.4307246989623&lt;/D&gt;&lt;D xsi:type="xsd:double"&gt;25.0623730738739&lt;/D&gt;&lt;D xsi:type="xsd:double"&gt;25.9790548918875&lt;/D&gt;&lt;D xsi:type="xsd:double"&gt;26.4147773592856&lt;/D&gt;&lt;D xsi:type="xsd:double"&gt;27.4450754740487&lt;/D&gt;&lt;D xsi:type="xsd:double"&gt;22.851064071849&lt;/D&gt;&lt;D xsi:type="xsd:double"&gt;28.4604527329692&lt;/D&gt;&lt;D xsi:type="xsd:double"&gt;31.1701481973904&lt;/D&gt;&lt;D xsi:type="xsd:double"&gt;30.4338551991049&lt;/D&gt;&lt;D xsi:type="xsd:double"&gt;32.5489058608841&lt;/D&gt;&lt;D xsi:type="xsd:double"&gt;32.5514963066558&lt;/D&gt;&lt;D xsi:type="xsd:double"&gt;30.8927239016261&lt;/D&gt;&lt;D xsi:type="xsd:double"&gt;33.0693333302841&lt;/D&gt;&lt;D xsi:type="xsd:double"&gt;32.0262057229332&lt;/D&gt;&lt;D xsi:type="xsd:double"&gt;33.1311580134138&lt;/D&gt;&lt;D xsi:type="xsd:double"&gt;33.6061587269216&lt;/D&gt;&lt;D xsi:type="xsd:double"&gt;31.610052934896&lt;/D&gt;&lt;D xsi:type="xsd:double"&gt;32.4245384989433&lt;/D&gt;&lt;D xsi:type="xsd:double"&gt;31.8578098490301&lt;/D&gt;&lt;D xsi:type="xsd:double"&gt;32.5951864597289&lt;/D&gt;&lt;D xsi:type="xsd:double"&gt;33.3352209453076&lt;/D&gt;&lt;D xsi:type="xsd:double"&gt;34.1783271262254&lt;/D&gt;&lt;D xsi:type="xsd:double"&gt;34.4477780756088&lt;/D&gt;&lt;D xsi:type="xsd:double"&gt;34.7273684237889&lt;/D&gt;&lt;D xsi:type="xsd:double"&gt;33.777251491104&lt;/D&gt;&lt;D xsi:type="xsd:double"&gt;32.6348639179275&lt;/D&gt;&lt;D xsi:type="xsd:double"&gt;32.2972756529611&lt;/D&gt;&lt;D xsi:type="xsd:double"&gt;30.2241382397446&lt;/D&gt;&lt;D xsi:type="xsd:double"&gt;29.4572258063608&lt;/D&gt;&lt;D xsi:type="xsd:double"&gt;29.4205921542229&lt;/D&gt;&lt;D xsi:type="xsd:double"&gt;28.5362587417786&lt;/D&gt;&lt;D xsi:type="xsd:double"&gt;27.3997422829907&lt;/D&gt;&lt;D xsi:type="xsd:double"&gt;25.420487477142&lt;/D&gt;&lt;D xsi:type="xsd:double"&gt;26.0974755172847&lt;/D&gt;&lt;D xsi:type="xsd:double"&gt;27.4377608779436&lt;/D&gt;&lt;D xsi:type="xsd:double"&gt;25.6062354700963&lt;/D&gt;&lt;D xsi:type="xsd:double"&gt;23.0898226672598&lt;/D&gt;&lt;D xsi:type="xsd:double"&gt;23.7665261406651&lt;/D&gt;&lt;D xsi:type="xsd:double"&gt;23.1034334597613&lt;/D&gt;&lt;D xsi:type="xsd:double"&gt;24.0630183783606&lt;/D&gt;&lt;D xsi:type="xsd:double"&gt;24.0529959648801&lt;/D&gt;&lt;D xsi:type="xsd:double"&gt;22.4192440997276&lt;/D&gt;&lt;D xsi:type="xsd:double"&gt;23.2967538989609&lt;/D&gt;&lt;D xsi:type="xsd:double"&gt;23.705107993859&lt;/D&gt;&lt;D xsi:type="xsd:double"&gt;20.6799274290609&lt;/D&gt;&lt;D xsi:type="xsd:double"&gt;20.9055429901282&lt;/D&gt;&lt;D xsi:type="xsd:double"&gt;19.9726354894353&lt;/D&gt;&lt;D xsi:type="xsd:double"&gt;20.2780314511832&lt;/D&gt;&lt;D xsi:type="xsd:double"&gt;19.2888667395883&lt;/D&gt;&lt;D xsi:type="xsd:double"&gt;20.2106675422568&lt;/D&gt;&lt;D xsi:type="xsd:double"&gt;22.6791271981055&lt;/D&gt;&lt;D xsi:type="xsd:double"&gt;22.1301330993302&lt;/D&gt;&lt;D xsi:type="xsd:double"&gt;21.8933284993786&lt;/D&gt;&lt;D xsi:type="xsd:double"&gt;24.7288747400243&lt;/D&gt;&lt;/FQL&gt;&lt;FQL&gt;&lt;Q&gt;PASP-FDS^FG_PRICE(0)/MAX(FG_PRICE(0,-1AY))&lt;/Q&gt;&lt;R&gt;1&lt;/R&gt;&lt;C&gt;1&lt;/C&gt;&lt;D xsi:type="xsd:double"&gt;0.640243902439024&lt;/D&gt;&lt;/FQL&gt;&lt;FQL&gt;&lt;Q&gt;W-FDS^FG_PRICE(0)/MAX(FG_PRICE(0,-1AY))&lt;/Q&gt;&lt;R&gt;1&lt;/R&gt;&lt;C&gt;1&lt;/C&gt;&lt;D xsi:type="xsd:double"&gt;0.719171325221966&lt;/D&gt;&lt;/FQL&gt;&lt;FQL&gt;&lt;Q&gt;EWA^FG_PRICE_MAVG(0,,,,60)&lt;/Q&gt;&lt;R&gt;1&lt;/R&gt;&lt;C&gt;1&lt;/C&gt;&lt;D xsi:type="xsd:double"&gt;23.852833&lt;/D&gt;&lt;/FQL&gt;&lt;FQL&gt;&lt;Q&gt;EWQ^FG_TOTAL_RETURNC(0,-12AM)&lt;/Q&gt;&lt;R&gt;1&lt;/R&gt;&lt;C&gt;1&lt;/C&gt;&lt;D xsi:type="xsd:double"&gt;16.316105&lt;/D&gt;&lt;/FQL&gt;&lt;FQL&gt;&lt;Q&gt;EWA^FG_TOTAL_RETURNC(0,-3AM)&lt;/Q&gt;&lt;R&gt;1&lt;/R&gt;&lt;C&gt;1&lt;/C&gt;&lt;D xsi:type="xsd:double"&gt;0.9925604&lt;/D&gt;&lt;/FQL&gt;&lt;FQL&gt;&lt;Q&gt;URTH^SIZE(FG_CONSTITUENTS)&lt;/Q&gt;&lt;R&gt;1&lt;/R&gt;&lt;C&gt;1&lt;/C&gt;&lt;D xsi:type="xsd:long"&gt;1467&lt;/D&gt;&lt;/FQL&gt;&lt;FQL&gt;&lt;Q&gt;QQQ^SIZE(FG_CONSTITUENTS)&lt;/Q&gt;&lt;R&gt;1&lt;/R&gt;&lt;C&gt;1&lt;/C&gt;&lt;D xsi:type="xsd:long"&gt;102&lt;/D&gt;&lt;/FQL&gt;&lt;FQL&gt;&lt;Q&gt;ENZL^SIZE(FG_CONSTITUENTS)&lt;/Q&gt;&lt;R&gt;1&lt;/R&gt;&lt;C&gt;1&lt;/C&gt;&lt;D xsi:type="xsd:long"&gt;14&lt;/D&gt;&lt;/FQL&gt;&lt;FQL&gt;&lt;Q&gt;EWC^FMA_RBICS_REV_CURRENT(30, LOC, "PORTAGG")&lt;/Q&gt;&lt;R&gt;1&lt;/R&gt;&lt;C&gt;1&lt;/C&gt;&lt;D xsi:type="xsd:double"&gt;40.9198307473675&lt;/D&gt;&lt;/FQL&gt;&lt;FQL&gt;&lt;Q&gt;REFSEREPO-FDS^PROPER_NAME(0,,,"SECURITY","NAME")&lt;/Q&gt;&lt;R&gt;1&lt;/R&gt;&lt;C&gt;1&lt;/C&gt;&lt;D xsi:type="xsd:string"&gt;Sweden Repo Rate&lt;/D&gt;&lt;/FQL&gt;&lt;FQL&gt;&lt;Q&gt;TRYNL10Y-FDS^FG_YIELD(0,,,,"YTM")&lt;/Q&gt;&lt;R&gt;1&lt;/R&gt;&lt;C&gt;1&lt;/C&gt;&lt;D xsi:type="xsd:double"&gt;2.708&lt;/D&gt;&lt;/FQL&gt;&lt;FQL&gt;&lt;Q&gt;VGK^FMA_EVAL_EBITDA(NTMA,0,,,"PORTAGG","MEANR")&lt;/Q&gt;&lt;R&gt;1&lt;/R&gt;&lt;C&gt;1&lt;/C&gt;&lt;D xsi:type="xsd:double"&gt;8.7719665946126&lt;/D&gt;&lt;/FQL&gt;&lt;FQL&gt;&lt;Q&gt;EWQ^P_PRICE(0)/P_PRICE_LOW_PR(0,,,USD,,,"PRICE","INTRA","52W")-1&lt;/Q&gt;&lt;R&gt;1&lt;/R&gt;&lt;C&gt;1&lt;/C&gt;&lt;D xsi:type="xsd:double"&gt;0.22875822&lt;/D&gt;&lt;/FQL&gt;&lt;FQL&gt;&lt;Q&gt;REFJPTON-FDS^PROPER_NAME(0,,,"SECURITY","NAME")&lt;/Q&gt;&lt;R&gt;1&lt;/R&gt;&lt;C&gt;1&lt;/C&gt;&lt;D xsi:type="xsd:string"&gt;Japan Policy Rate&lt;/D&gt;&lt;/FQL&gt;&lt;FQL&gt;&lt;Q&gt;USDCHF^FG_PRICE(0)&lt;/Q&gt;&lt;R&gt;1&lt;/R&gt;&lt;C&gt;1&lt;/C&gt;&lt;D xsi:type="xsd:double"&gt;0.89925&lt;/D&gt;&lt;/FQL&gt;&lt;FQL&gt;&lt;Q&gt;TRYTR7Y-FDS^FG_YIELD(-10AY,0,Y,,"YTM")&lt;/Q&gt;&lt;R&gt;10&lt;/R&gt;&lt;C&gt;1&lt;/C&gt;&lt;D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xsi:type="xsd:double"&gt;21.984322&lt;/D&gt;&lt;/FQL&gt;&lt;FQL&gt;&lt;Q&gt;PASP-FDS^FG_PRICE_CHANGE(0,-1AY)&lt;/Q&gt;&lt;R&gt;1&lt;/R&gt;&lt;C&gt;1&lt;/C&gt;&lt;D xsi:type="xsd:double"&gt;-26.5734265734266&lt;/D&gt;&lt;/FQL&gt;&lt;FQL&gt;&lt;Q&gt;W-FDS^FG_PRICE_CHANGE(0,-1AY)&lt;/Q&gt;&lt;R&gt;1&lt;/R&gt;&lt;C&gt;1&lt;/C&gt;&lt;D xsi:type="xsd:double"&gt;-19.9780461031833&lt;/D&gt;&lt;/FQL&gt;&lt;FQL&gt;&lt;Q&gt;EWQ^FG_PRICE_MAVG(0,,,,30)&lt;/Q&gt;&lt;R&gt;1&lt;/R&gt;&lt;C&gt;1&lt;/C&gt;&lt;D xsi:type="xsd:double"&gt;40.275333&lt;/D&gt;&lt;/FQL&gt;&lt;FQL&gt;&lt;Q&gt;EWA^FG_PRICE_MAVG(0,,,,30)&lt;/Q&gt;&lt;R&gt;1&lt;/R&gt;&lt;C&gt;1&lt;/C&gt;&lt;D xsi:type="xsd:double"&gt;23.996334&lt;/D&gt;&lt;/FQL&gt;&lt;FQL&gt;&lt;Q&gt;EWQ^PERCENT_CHANGE(FMA_EPS(+1,0,,,,"PORTAGG","MEAN"),FMA_EPS(+1,-1AM,,,,"PORTAGG","MEAN"))&lt;/Q&gt;&lt;R&gt;1&lt;/R&gt;&lt;C&gt;1&lt;/C&gt;&lt;D xsi:type="xsd:double"&gt;-0.617357555614714&lt;/D&gt;&lt;/FQL&gt;&lt;FQL&gt;&lt;Q&gt;EWA^FG_TOTAL_RETURNC(0,-1AM)&lt;/Q&gt;&lt;R&gt;1&lt;/R&gt;&lt;C&gt;1&lt;/C&gt;&lt;D xsi:type="xsd:double"&gt;3.3432126&lt;/D&gt;&lt;/FQL&gt;&lt;FQL&gt;&lt;Q&gt;URTH^FMA_COS_UP("EPS","1M",+1,0,,,"PORTAGG","MEANR")&lt;/Q&gt;&lt;R&gt;1&lt;/R&gt;&lt;C&gt;1&lt;/C&gt;&lt;D xsi:type="xsd:double"&gt;574&lt;/D&gt;&lt;/FQL&gt;&lt;FQL&gt;&lt;Q&gt;QQQ^FMA_COS_DOWN("EPS","1M",+1,0,,,"PORTAGG","MEANR")&lt;/Q&gt;&lt;R&gt;1&lt;/R&gt;&lt;C&gt;1&lt;/C&gt;&lt;D xsi:type="xsd:double"&gt;42&lt;/D&gt;&lt;/FQL&gt;&lt;FQL&gt;&lt;Q&gt;EWA^FMA_RBICS_REV_CURRENT(30, LOC, "PORTAGG")&lt;/Q&gt;&lt;R&gt;1&lt;/R&gt;&lt;C&gt;1&lt;/C&gt;&lt;D xsi:type="xsd:double"&gt;40.7151096463948&lt;/D&gt;&lt;/FQL&gt;&lt;FQL&gt;&lt;Q&gt;TRYGB10Y-FDS^FG_YIELD_NAME&lt;/Q&gt;&lt;R&gt;1&lt;/R&gt;&lt;C&gt;1&lt;/C&gt;&lt;D xsi:type="xsd:string"&gt;United Kingdom Benchmark Bond - 10 Year&lt;/D&gt;&lt;/FQL&gt;&lt;FQL&gt;&lt;Q&gt;TRYGB10Y-FDS^PCTCHG(FG_YIELD(0,,,,"YTM"),FG_YIELD(-3AM,,,,"YTM"))&lt;/Q&gt;&lt;R&gt;1&lt;/R&gt;&lt;C&gt;1&lt;/C&gt;&lt;D xsi:type="xsd:double"&gt;16.05881&lt;/D&gt;&lt;/FQL&gt;&lt;FQL&gt;&lt;Q&gt;EWN^FG_FCF_YIELD_NTM(0)&lt;/Q&gt;&lt;R&gt;1&lt;/R&gt;&lt;C&gt;1&lt;/C&gt;&lt;D xsi:type="xsd:double"&gt;4.04405281821336&lt;/D&gt;&lt;/FQL&gt;&lt;FQL&gt;&lt;Q&gt;QQQ^FMA_EVAL_EBITDA(NTMA,0,,,"PORTAGG","MEANR")&lt;/Q&gt;&lt;R&gt;1&lt;/R&gt;&lt;C&gt;1&lt;/C&gt;&lt;D xsi:type="xsd:double"&gt;16.4636764669148&lt;/D&gt;&lt;/FQL&gt;&lt;FQL&gt;&lt;Q&gt;EWA^FMA_DIV_YLD(NTMA,NOW,NOW,M,"PORTAGG","MEANR")&lt;/Q&gt;&lt;R&gt;1&lt;/R&gt;&lt;C&gt;1&lt;/C&gt;&lt;D xsi:type="xsd:double"&gt;3.98465368896067&lt;/D&gt;&lt;/FQL&gt;&lt;FQL&gt;&lt;Q&gt;VWO^FMA_COS_DOWN("EPS","1M",+1,0,,,"PORTAGG","MEANR")&lt;/Q&gt;&lt;R&gt;1&lt;/R&gt;&lt;C&gt;1&lt;/C&gt;&lt;D xsi:type="xsd:double"&gt;1198&lt;/D&gt;&lt;/FQL&gt;&lt;FQL&gt;&lt;Q&gt;TRYCH10Y-FDS^FG_YIELD_NAME&lt;/Q&gt;&lt;R&gt;1&lt;/R&gt;&lt;C&gt;1&lt;/C&gt;&lt;D xsi:type="xsd:string"&gt;Treasury - Switzerland Benchmark Bond 10Y&lt;/D&gt;&lt;/FQL&gt;&lt;FQL&gt;&lt;Q&gt;VGK^FMA_DIV_YLD(NTMA,NOW,NOW,M,"PORTAGG","MEANR")&lt;/Q&gt;&lt;R&gt;1&lt;/R&gt;&lt;C&gt;1&lt;/C&gt;&lt;D xsi:type="xsd:double"&gt;3.63223393714279&lt;/D&gt;&lt;/FQL&gt;&lt;FQL&gt;&lt;Q&gt;QQQ^FG_FCF_YIELD_NTM(0)&lt;/Q&gt;&lt;R&gt;1&lt;/R&gt;&lt;C&gt;1&lt;/C&gt;&lt;D xsi:type="xsd:double"&gt;3.61861623015214&lt;/D&gt;&lt;/FQL&gt;&lt;FQL&gt;&lt;Q&gt;EWJ^FMA_PE(NTMA,0,,,"PORTAGG","MEANR")&lt;/Q&gt;&lt;R&gt;1&lt;/R&gt;&lt;C&gt;1&lt;/C&gt;&lt;D xsi:type="xsd:double"&gt;15.6371720229554&lt;/D&gt;&lt;/FQL&gt;&lt;FQL&gt;&lt;Q&gt;EWJ^FG_TOTAL_RETURNC(-10AY,0,AM)&lt;/Q&gt;&lt;R&gt;121&lt;/R&gt;&lt;C&gt;1&lt;/C&gt;&lt;D xsi:type="xsd:double"&gt;-5.4735003&lt;/D&gt;&lt;D xsi:type="xsd:double"&gt;2.7573586&lt;/D&gt;&lt;D xsi:type="xsd:double"&gt;-0.08944869&lt;/D&gt;&lt;D xsi:type="xsd:double"&gt;9.131598&lt;/D&gt;&lt;D xsi:type="xsd:double"&gt;-0.058931112&lt;/D&gt;&lt;D xsi:type="xsd:double"&gt;-0.7438004&lt;/D&gt;&lt;D xsi:type="xsd:double"&gt;-1.6652763&lt;/D&gt;&lt;D xsi:type="xsd:double"&gt;-5.673158&lt;/D&gt;&lt;D xsi:type="xsd:double"&gt;4.443443&lt;/D&gt;&lt;D xsi:type="xsd:double"&gt;-0.4921913&lt;/D&gt;&lt;D xsi:type="xsd:double"&gt;-0.5212903&lt;/D&gt;&lt;D xsi:type="xsd:double"&gt;7.68559&lt;/D&gt;&lt;D xsi:type="xsd:double"&gt;3.8929462&lt;/D&gt;&lt;D xsi:type="xsd:double"&gt;2.8102994&lt;/D&gt;&lt;D xsi:type="xsd:double"&gt;1.0250568&lt;/D&gt;&lt;D xsi:type="xsd:double"&gt;-3.4197688&lt;/D&gt;&lt;D xsi:type="xsd:double"&gt;1.2084365&lt;/D&gt;&lt;D xsi:type="xsd:double"&gt;-7.8825293&lt;/D&gt;&lt;D xsi:type="xsd:double"&gt;-2.8523505&lt;/D&gt;&lt;D xsi:type="xsd:double"&gt;5.6994796&lt;/D&gt;&lt;D xsi:type="xsd:double"&gt;3.1045794&lt;/D&gt;&lt;D xsi:type="xsd:double"&gt;-3.821522&lt;/D&gt;&lt;D xsi:type="xsd:double"&gt;-10.373444&lt;/D&gt;&lt;D xsi:type="xsd:double"&gt;0.27776957&lt;/D&gt;&lt;D xsi:type="xsd:double"&gt;6.186521&lt;/D&gt;&lt;D xsi:type="xsd:double"&gt;5.3912997&lt;/D&gt;&lt;D xsi:type="xsd:double"&gt;-4.12541&lt;/D&gt;&lt;D xsi:type="xsd:double"&gt;1.2908816&lt;/D&gt;&lt;D xsi:type="xsd:double"&gt;1.3929605&lt;/D&gt;&lt;D xsi:type="xsd:double"&gt;3.885138&lt;/D&gt;&lt;D xsi:type="xsd:double"&gt;2.9268265&lt;/D&gt;&lt;D xsi:type="xsd:double"&gt;-0.7109046&lt;/D&gt;&lt;D xsi:type="xsd:double"&gt;-0.97453594&lt;/D&gt;&lt;D xsi:type="xsd:double"&gt;1.0915756&lt;/D&gt;&lt;D xsi:type="xsd:double"&gt;1.4874458&lt;/D&gt;&lt;D xsi:type="xsd:double"&gt;2.238059&lt;/D&gt;&lt;D xsi:type="xsd:double"&gt;-0.34870505&lt;/D&gt;&lt;D xsi:type="xsd:double"&gt;0.03888607&lt;/D&gt;&lt;D xsi:type="xsd:double"&gt;3.0897737&lt;/D&gt;&lt;D xsi:type="xsd:double"&gt;2.4085522&lt;/D&gt;&lt;D xsi:type="xsd:double"&gt;0.7039666&lt;/D&gt;&lt;D xsi:type="xsd:double"&gt;-0.05518794&lt;/D&gt;&lt;D xsi:type="xsd:double"&gt;1.914227&lt;/D&gt;&lt;D xsi:type="xsd:double"&gt;3.8829684&lt;/D&gt;&lt;D xsi:type="xsd:double"&gt;3.4770489&lt;/D&gt;&lt;D xsi:type="xsd:double"&gt;1.0252237&lt;/D&gt;&lt;D xsi:type="xsd:double"&gt;6.864226&lt;/D&gt;&lt;D xsi:type="xsd:double"&gt;-5.23265&lt;/D&gt;&lt;D xsi:type="xsd:double"&gt;-0.6778002&lt;/D&gt;&lt;D xsi:type="xsd:double"&gt;1.0153055&lt;/D&gt;&lt;D xsi:type="xsd:double"&gt;0.6426096&lt;/D&gt;&lt;D xsi:type="xsd:double"&gt;-3.3253849&lt;/D&gt;&lt;D xsi:type="xsd:double"&gt;-0.6827116&lt;/D&gt;&lt;D xsi:type="xsd:double"&gt;-1.3404369&lt;/D&gt;&lt;D xsi:type="xsd:double"&gt;4.581082&lt;/D&gt;&lt;D xsi:type="xsd:double"&gt;-5.6462345&lt;/D&gt;&lt;D xsi:type="xsd:double"&gt;-4.1835904&lt;/D&gt;&lt;D xsi:type="xsd:double"&gt;-7.8018546&lt;/D&gt;&lt;D xsi:type="xsd:double"&gt;9.041489&lt;/D&gt;&lt;D xsi:type="xsd:double"&gt;0.7571578&lt;/D&gt;&lt;D xsi:type="xsd:double"&gt;0.5681753&lt;/D&gt;&lt;D xsi:type="xsd:double"&gt;0.8747935&lt;/D&gt;&lt;D xsi:type="xsd:double"&gt;-2.8545558&lt;/D&gt;&lt;D xsi:type="xsd:double"&gt;2.2028327&lt;/D&gt;&lt;D xsi:type="xsd:double"&gt;0.3856063&lt;/D&gt;&lt;D xsi:type="xsd:double"&gt;-2.1949828&lt;/D&gt;&lt;D xsi:type="xsd:double"&gt;6.5083265&lt;/D&gt;&lt;D xsi:type="xsd:double"&gt;1.457417&lt;/D&gt;&lt;D xsi:type="xsd:double"&gt;3.0287266&lt;/D&gt;&lt;D xsi:type="xsd:double"&gt;1.6805053&lt;/D&gt;&lt;D xsi:type="xsd:double"&gt;-0.6686747&lt;/D&gt;&lt;D xsi:type="xsd:double"&gt;-4.695386&lt;/D&gt;&lt;D xsi:type="xsd:double"&gt;-20.342577&lt;/D&gt;&lt;D xsi:type="xsd:double"&gt;9.886944&lt;/D&gt;&lt;D xsi:type="xsd:double"&gt;6.1125636&lt;/D&gt;&lt;D xsi:type="xsd:double"&gt;7.3749304&lt;/D&gt;&lt;D xsi:type="xsd:double"&gt;0.35694838&lt;/D&gt;&lt;D xsi:type="xsd:double"&gt;2.4542093&lt;/D&gt;&lt;D xsi:type="xsd:double"&gt;1.3365746&lt;/D&gt;&lt;D xsi:type="xsd:double"&gt;1.8156886&lt;/D&gt;&lt;D xsi:type="xsd:double"&gt;8.916557&lt;/D&gt;&lt;D xsi:type="xsd:double"&gt;2.1131277&lt;/D&gt;&lt;D xsi:type="xsd:double"&gt;5.087316&lt;/D&gt;&lt;D xsi:type="xsd:double"&gt;3.0924797&lt;/D&gt;&lt;D xsi:type="xsd:double"&gt;-0.91112256&lt;/D&gt;&lt;D xsi:type="xsd:double"&gt;-3.281933&lt;/D&gt;&lt;D xsi:type="xsd:double"&gt;-0.6435633&lt;/D&gt;&lt;D xsi:type="xsd:double"&gt;0.77849627&lt;/D&gt;&lt;D xsi:type="xsd:double"&gt;-0.63272715&lt;/D&gt;&lt;D xsi:type="xsd:double"&gt;-1.2883067&lt;/D&gt;&lt;D xsi:type="xsd:double"&gt;9.540939&lt;/D&gt;&lt;D xsi:type="xsd:double"&gt;-7.066554&lt;/D&gt;&lt;D xsi:type="xsd:double"&gt;3.0209303&lt;/D&gt;&lt;D xsi:type="xsd:double"&gt;-2.846539&lt;/D&gt;&lt;D xsi:type="xsd:double"&gt;-3.31195&lt;/D&gt;&lt;D xsi:type="xsd:double"&gt;-1.8207014&lt;/D&gt;&lt;D xsi:type="xsd:double"&gt;-2.1687925&lt;/D&gt;&lt;D xsi:type="xsd:double"&gt;-7.196784&lt;/D&gt;&lt;D xsi:type="xsd:double"&gt;-1.1770844&lt;/D&gt;&lt;D xsi:type="xsd:double"&gt;-6.963402&lt;/D&gt;&lt;D xsi:type="xsd:double"&gt;3.6692023&lt;/D&gt;&lt;D xsi:type="xsd:double"&gt;2.0172477&lt;/D&gt;&lt;D xsi:type="xsd:double"&gt;-8.916056&lt;/D&gt;&lt;D xsi:type="xsd:double"&gt;-2.7234972&lt;/D&gt;&lt;D xsi:type="xsd:double"&gt;9.149921&lt;/D&gt;&lt;D xsi:type="xsd:double"&gt;2.2527814&lt;/D&gt;&lt;D xsi:type="xsd:double"&gt;5.392599&lt;/D&gt;&lt;D xsi:type="xsd:double"&gt;-2.6447713&lt;/D&gt;&lt;D xsi:type="xsd:double"&gt;0.9765625&lt;/D&gt;&lt;D xsi:type="xsd:double"&gt;3.7629724&lt;/D&gt;&lt;D xsi:type="xsd:double"&gt;3.3045292&lt;/D&gt;&lt;D xsi:type="xsd:double"&gt;4.0264964&lt;/D&gt;&lt;D xsi:type="xsd:double"&gt;-0.8893132&lt;/D&gt;&lt;D xsi:type="xsd:double"&gt;-4.8710165&lt;/D&gt;&lt;D xsi:type="xsd:double"&gt;3.8066387&lt;/D&gt;&lt;D xsi:type="xsd:double"&gt;-5.6790533&lt;/D&gt;&lt;D xsi:type="xsd:double"&gt;6.829512&lt;/D&gt;&lt;D xsi:type="xsd:double"&gt;3.0915022&lt;/D&gt;&lt;D xsi:type="xsd:double"&gt;4.387772&lt;/D&gt;&lt;D xsi:type="xsd:double"&gt;2.8679848&lt;/D&gt;&lt;D xsi:type="xsd:double"&gt;5.9595823&lt;/D&gt;&lt;/FQL&gt;&lt;FQL&gt;&lt;Q&gt;EWI^FMA_PE(LTMA,-10AY,0,AM,"PORTAGG","MEANR")&lt;/Q&gt;&lt;R&gt;121&lt;/R&gt;&lt;C&gt;1&lt;/C&gt;&lt;D xsi:type="xsd:double"&gt;17.2922490063448&lt;/D&gt;&lt;D xsi:type="xsd:double"&gt;17.1377969274912&lt;/D&gt;&lt;D xsi:type="xsd:double"&gt;16.871517045716&lt;/D&gt;&lt;D xsi:type="xsd:double"&gt;17.2980174984451&lt;/D&gt;&lt;D xsi:type="xsd:double"&gt;17.0039634086964&lt;/D&gt;&lt;D xsi:type="xsd:double"&gt;16.9852515302106&lt;/D&gt;&lt;D xsi:type="xsd:double"&gt;17.9716062095536&lt;/D&gt;&lt;D xsi:type="xsd:double"&gt;16.6422016335087&lt;/D&gt;&lt;D xsi:type="xsd:double"&gt;18.3345088872365&lt;/D&gt;&lt;D xsi:t</t>
        </r>
      </text>
    </comment>
    <comment ref="A13" authorId="0" shapeId="0" xr:uid="{2D0409E4-CE54-4BE6-8E0A-632D330A81C6}">
      <text>
        <r>
          <rPr>
            <b/>
            <sz val="9"/>
            <color indexed="81"/>
            <rFont val="Tahoma"/>
            <charset val="1"/>
          </rPr>
          <t>ype="xsd:double"&gt;18.2603179464262&lt;/D&gt;&lt;D xsi:type="xsd:double"&gt;21.2611879033645&lt;/D&gt;&lt;D xsi:type="xsd:double"&gt;44.8435167587288&lt;/D&gt;&lt;D xsi:type="xsd:double"&gt;43.4498360947974&lt;/D&gt;&lt;D xsi:type="xsd:double"&gt;40.4830946678947&lt;/D&gt;&lt;D xsi:type="xsd:double"&gt;37.820639100446&lt;/D&gt;&lt;D xsi:type="xsd:double"&gt;34.7472817986185&lt;/D&gt;&lt;D xsi:type="xsd:double"&gt;32.1451175764226&lt;/D&gt;&lt;D xsi:type="xsd:double"&gt;28.6580883066836&lt;/D&gt;&lt;D xsi:type="xsd:double"&gt;25.8816280665591&lt;/D&gt;&lt;D xsi:type="xsd:double"&gt;23.6760833482818&lt;/D&gt;&lt;D xsi:type="xsd:double"&gt;21.9913589580404&lt;/D&gt;&lt;D xsi:type="xsd:double"&gt;18.5217700645064&lt;/D&gt;&lt;D xsi:type="xsd:double"&gt;16.0892782664492&lt;/D&gt;&lt;D xsi:type="xsd:double"&gt;14.6997640824609&lt;/D&gt;&lt;D xsi:type="xsd:double"&gt;15.4420034444901&lt;/D&gt;&lt;D xsi:type="xsd:double"&gt;15.3809480966765&lt;/D&gt;&lt;D xsi:type="xsd:double"&gt;15.4512956030101&lt;/D&gt;&lt;D xsi:type="xsd:double"&gt;14.8653807717449&lt;/D&gt;&lt;D xsi:type="xsd:double"&gt;14.6912655160564&lt;/D&gt;&lt;D xsi:type="xsd:double"&gt;14.7928437231344&lt;/D&gt;&lt;D xsi:type="xsd:double"&gt;14.5679587705027&lt;/D&gt;&lt;D xsi:type="xsd:double"&gt;15.22514073566&lt;/D&gt;&lt;D xsi:type="xsd:double"&gt;14.0956436514831&lt;/D&gt;&lt;D xsi:type="xsd:double"&gt;27.5725423254903&lt;/D&gt;&lt;D xsi:type="xsd:double"&gt;27.9068743305576&lt;/D&gt;&lt;D xsi:type="xsd:double"&gt;20.2692336073474&lt;/D&gt;&lt;D xsi:type="xsd:double"&gt;81.1238681842715&lt;/D&gt;&lt;D xsi:type="xsd:double"&gt;73.7187661896302&lt;/D&gt;&lt;D xsi:type="xsd:double"&gt;67.5135855874797&lt;/D&gt;&lt;D xsi:type="xsd:double"&gt;59.6324923568401&lt;/D&gt;&lt;D xsi:type="xsd:double"&gt;52.7484438526133&lt;/D&gt;&lt;D xsi:type="xsd:double"&gt;45.4827757364141&lt;/D&gt;&lt;D xsi:type="xsd:double"&gt;38.4336511689157&lt;/D&gt;&lt;D xsi:type="xsd:double"&gt;31.7387167288945&lt;/D&gt;&lt;D xsi:type="xsd:double"&gt;24.366034785677&lt;/D&gt;&lt;D xsi:type="xsd:double"&gt;17.6436756713723&lt;/D&gt;&lt;D xsi:type="xsd:double"&gt;16.0950662147587&lt;/D&gt;&lt;D xsi:type="xsd:double"&gt;14.2680675123045&lt;/D&gt;&lt;D xsi:type="xsd:double"&gt;14.1579038419713&lt;/D&gt;&lt;D xsi:type="xsd:double"&gt;14.1978897878037&lt;/D&gt;&lt;D xsi:type="xsd:double"&gt;13.8592216811219&lt;/D&gt;&lt;D xsi:type="xsd:double"&gt;13.3527649259753&lt;/D&gt;&lt;D xsi:type="xsd:double"&gt;13.2017105742455&lt;/D&gt;&lt;D xsi:type="xsd:double"&gt;12.7246877253509&lt;/D&gt;&lt;D xsi:type="xsd:double"&gt;12.7122063521543&lt;/D&gt;&lt;D xsi:type="xsd:double"&gt;11.5220764328876&lt;/D&gt;&lt;D xsi:type="xsd:double"&gt;11.0507338329855&lt;/D&gt;&lt;D xsi:type="xsd:double"&gt;10.5664441881321&lt;/D&gt;&lt;D xsi:type="xsd:double"&gt;11.1708503375256&lt;/D&gt;&lt;D xsi:type="xsd:double"&gt;11.1283636897662&lt;/D&gt;&lt;D xsi:type="xsd:double"&gt;11.3370253041477&lt;/D&gt;&lt;D xsi:type="xsd:double"&gt;11.3660816738568&lt;/D&gt;&lt;D xsi:type="xsd:double"&gt;11.1046586614997&lt;/D&gt;&lt;D xsi:type="xsd:double"&gt;11.1748117289151&lt;/D&gt;&lt;D xsi:type="xsd:double"&gt;11.2193153169656&lt;/D&gt;&lt;D xsi:type="xsd:double"&gt;10.9551673236158&lt;/D&gt;&lt;D xsi:type="xsd:double"&gt;11.3610442483097&lt;/D&gt;&lt;D xsi:type="xsd:double"&gt;11.5585667835883&lt;/D&gt;&lt;D xsi:type="xsd:double"&gt;11.8494714781994&lt;/D&gt;&lt;D xsi:type="xsd:double"&gt;12.3487852107801&lt;/D&gt;&lt;D xsi:type="xsd:double"&gt;12.203432247396&lt;/D&gt;&lt;D xsi:type="xsd:double"&gt;12.6890162128706&lt;/D&gt;&lt;D xsi:type="xsd:double"&gt;10.8370363828957&lt;/D&gt;&lt;D xsi:type="xsd:double"&gt;11.6126777616451&lt;/D&gt;&lt;D xsi:type="xsd:double"&gt;13.6747809874218&lt;/D&gt;&lt;D xsi:type="xsd:double"&gt;15.9592863356868&lt;/D&gt;&lt;D xsi:type="xsd:double"&gt;17.823312634552&lt;/D&gt;&lt;D xsi:type="xsd:double"&gt;17.5137873992996&lt;/D&gt;&lt;D xsi:type="xsd:double"&gt;17.8172519325093&lt;/D&gt;&lt;D xsi:type="xsd:double"&gt;18.8334258217427&lt;/D&gt;&lt;D xsi:type="xsd:double"&gt;21.8319234687339&lt;/D&gt;&lt;D xsi:type="xsd:double"&gt;22.2943802538928&lt;/D&gt;&lt;D xsi:type="xsd:double"&gt;20.8054356947907&lt;/D&gt;&lt;D xsi:type="xsd:double"&gt;20.2878552781776&lt;/D&gt;&lt;D xsi:type="xsd:double"&gt;20.0065966533364&lt;/D&gt;&lt;D xsi:type="xsd:double"&gt;19.3219544461179&lt;/D&gt;&lt;D xsi:type="xsd:double"&gt;18.677306611085&lt;/D&gt;&lt;D xsi:type="xsd:double"&gt;18.2747727363501&lt;/D&gt;&lt;D xsi:type="xsd:double"&gt;17.3425435591959&lt;/D&gt;&lt;D xsi:type="xsd:double"&gt;15.9500239046484&lt;/D&gt;&lt;D xsi:type="xsd:double"&gt;14.7637706128032&lt;/D&gt;&lt;D xsi:type="xsd:double"&gt;14.3751723872062&lt;/D&gt;&lt;D xsi:type="xsd:double"&gt;13.5292061777607&lt;/D&gt;&lt;D xsi:type="xsd:double"&gt;12.047690467871&lt;/D&gt;&lt;D xsi:type="xsd:double"&gt;11.9810773374982&lt;/D&gt;&lt;D xsi:type="xsd:double"&gt;11.5506029459094&lt;/D&gt;&lt;D xsi:type="xsd:double"&gt;10.5423482660754&lt;/D&gt;&lt;D xsi:type="xsd:double"&gt;10.482664320551&lt;/D&gt;&lt;D xsi:type="xsd:double"&gt;10.0914469490491&lt;/D&gt;&lt;D xsi:type="xsd:double"&gt;9.51862335492234&lt;/D&gt;&lt;D xsi:type="xsd:double"&gt;9.02262845107499&lt;/D&gt;&lt;D xsi:type="xsd:double"&gt;8.61601136351666&lt;/D&gt;&lt;D xsi:type="xsd:double"&gt;8.35625008388566&lt;/D&gt;&lt;D xsi:type="xsd:double"&gt;7.98616548410463&lt;/D&gt;&lt;D xsi:type="xsd:double"&gt;8.20467963727787&lt;/D&gt;&lt;D xsi:type="xsd:double"&gt;7.55264254093646&lt;/D&gt;&lt;D xsi:type="xsd:double"&gt;7.98336478156709&lt;/D&gt;&lt;D xsi:type="xsd:double"&gt;8.34186944049704&lt;/D&gt;&lt;D xsi:type="xsd:double"&gt;8.250688898181&lt;/D&gt;&lt;D xsi:type="xsd:double"&gt;8.41102421394401&lt;/D&gt;&lt;D xsi:type="xsd:double"&gt;8.29003913252578&lt;/D&gt;&lt;D xsi:type="xsd:double"&gt;8.49968300422035&lt;/D&gt;&lt;D xsi:type="xsd:double"&gt;8.71019321655576&lt;/D&gt;&lt;D xsi:type="xsd:double"&gt;8.15871824720733&lt;/D&gt;&lt;D xsi:type="xsd:double"&gt;8.36393883596265&lt;/D&gt;&lt;D xsi:type="xsd:double"&gt;7.99141944648548&lt;/D&gt;&lt;D xsi:type="xsd:double"&gt;8.20918807211891&lt;/D&gt;&lt;D xsi:type="xsd:double"&gt;8.82229328043956&lt;/D&gt;&lt;D xsi:type="xsd:double"&gt;8.97170985834834&lt;/D&gt;&lt;D xsi:type="xsd:double"&gt;9.17839362252353&lt;/D&gt;&lt;D xsi:type="xsd:double"&gt;9.45352354318026&lt;/D&gt;&lt;/FQL&gt;&lt;FQL&gt;&lt;Q&gt;EWQ^FMA_PCT_ABOVE_MAVG(200,0,,,,"PORTAGG")&lt;/Q&gt;&lt;R&gt;1&lt;/R&gt;&lt;C&gt;1&lt;/C&gt;&lt;D xsi:type="xsd:double"&gt;73.015873015873&lt;/D&gt;&lt;/FQL&gt;&lt;FQL&gt;&lt;Q&gt;EWG^FG_TOTAL_RETURNC(0,-6AM)&lt;/Q&gt;&lt;R&gt;1&lt;/R&gt;&lt;C&gt;1&lt;/C&gt;&lt;D xsi:type="xsd:double"&gt;17.35996&lt;/D&gt;&lt;/FQL&gt;&lt;FQL&gt;&lt;Q&gt;EWA^PERCENT_CHANGE(FMA_EPS(+1,0,,,,"PORTAGG","MEAN"),FMA_EPS(+1,-3AM,,,,"PORTAGG","MEAN"))&lt;/Q&gt;&lt;R&gt;1&lt;/R&gt;&lt;C&gt;1&lt;/C&gt;&lt;D xsi:type="xsd:double"&gt;-1.77056633298385&lt;/D&gt;&lt;/FQL&gt;&lt;FQL&gt;&lt;Q&gt;QQQ^FMA_COS_UP("EPS","1M",+1,0,,,"PORTAGG","MEANR")&lt;/Q&gt;&lt;R&gt;1&lt;/R&gt;&lt;C&gt;1&lt;/C&gt;&lt;D xsi:type="xsd:double"&gt;33&lt;/D&gt;&lt;/FQL&gt;&lt;FQL&gt;&lt;Q&gt;ENZL^FMA_RBICS_REV_CURRENT(30, LOC, "PORTAGG")&lt;/Q&gt;&lt;R&gt;1&lt;/R&gt;&lt;C&gt;1&lt;/C&gt;&lt;D xsi:type="xsd:double"&gt;13.7517044499309&lt;/D&gt;&lt;/FQL&gt;&lt;FQL&gt;&lt;Q&gt;TRYGB10Y-FDS^PCTCHG(FG_YIELD(0,,,,"YTM"),FG_YIELD(-1AM,,,,"YTM"))&lt;/Q&gt;&lt;R&gt;1&lt;/R&gt;&lt;C&gt;1&lt;/C&gt;&lt;D xsi:type="xsd:double"&gt;0.73620147&lt;/D&gt;&lt;/FQL&gt;&lt;FQL&gt;&lt;Q&gt;TRYFR10Y-FDS^FG_YIELD(0,,,,"YTM")&lt;/Q&gt;&lt;R&gt;1&lt;/R&gt;&lt;C&gt;1&lt;/C&gt;&lt;D xsi:type="xsd:double"&gt;2.859&lt;/D&gt;&lt;/FQL&gt;&lt;FQL&gt;&lt;Q&gt;CC_SE^IMF_IFS_RCPI_Q(0)&lt;/Q&gt;&lt;R&gt;1&lt;/R&gt;&lt;C&gt;1&lt;/C&gt;&lt;D xsi:type="xsd:double"&gt;5.550837&lt;/D&gt;&lt;/FQL&gt;&lt;FQL&gt;&lt;Q&gt;VGK^FG_PE_NTM(0,,,90,0)&lt;/Q&gt;&lt;R&gt;1&lt;/R&gt;&lt;C&gt;1&lt;/C&gt;&lt;D xsi:type="xsd:double"&gt;13.6226878178671&lt;/D&gt;&lt;/FQL&gt;&lt;FQL&gt;&lt;Q&gt;QQQ^FMA_DIV_YLD(NTMA,NOW,NOW,M,"PORTAGG","MEANR")&lt;/Q&gt;&lt;R&gt;1&lt;/R&gt;&lt;C&gt;1&lt;/C&gt;&lt;D xsi:type="xsd:double"&gt;0.882719537879806&lt;/D&gt;&lt;/FQL&gt;&lt;FQL&gt;&lt;Q&gt;EWJ^FMA_PE(LTM,0,,,"PORTAGG","MEANR")&lt;/Q&gt;&lt;R&gt;1&lt;/R&gt;&lt;C&gt;1&lt;/C&gt;&lt;D xsi:type="xsd:double"&gt;16.3860644162271&lt;/D&gt;&lt;/FQL&gt;&lt;FQL&gt;&lt;Q&gt;EWA^FMA_PE(NTMA,0,,,"PORTAGG","MEANR")&lt;/Q&gt;&lt;R&gt;1&lt;/R&gt;&lt;C&gt;1&lt;/C&gt;&lt;D xsi:type="xsd:double"&gt;16.4253110011505&lt;/D&gt;&lt;/FQL&gt;&lt;FQL&gt;&lt;Q&gt;USDNZD^FG_PRICE_CHANGE(0,-6AM)&lt;/Q&gt;&lt;R&gt;1&lt;/R&gt;&lt;C&gt;1&lt;/C&gt;&lt;D xsi:type="xsd:double"&gt;-1.8941283&lt;/D&gt;&lt;/FQL&gt;&lt;FQL&gt;&lt;Q&gt;PASP-FDS^FG_PRICE_CHANGE(0,-3AM)&lt;/Q&gt;&lt;R&gt;1&lt;/R&gt;&lt;C&gt;1&lt;/C&gt;&lt;D xsi:type="xsd:double"&gt;-14.1455437448896&lt;/D&gt;&lt;/FQL&gt;&lt;FQL&gt;&lt;Q&gt;W-FDS^FG_PRICE_CHANGE(0,-3AM)&lt;/Q&gt;&lt;R&gt;1&lt;/R&gt;&lt;C&gt;1&lt;/C&gt;&lt;D xsi:type="xsd:double"&gt;-10.734693877551&lt;/D&gt;&lt;/FQL&gt;&lt;FQL&gt;&lt;Q&gt;SPY^FG_PRICE_MAVG(0,,,,200)&lt;/Q&gt;&lt;R&gt;1&lt;/R&gt;&lt;C&gt;1&lt;/C&gt;&lt;D xsi:type="xsd:double"&gt;458.3918&lt;/D&gt;&lt;/FQL&gt;&lt;FQL&gt;&lt;Q&gt;ENZL^FG_PRICE_MAVG(0,,,,200)&lt;/Q&gt;&lt;R&gt;1&lt;/R&gt;&lt;C&gt;1&lt;/C&gt;&lt;D xsi:type="xsd:double"&gt;46.177963&lt;/D&gt;&lt;/FQL&gt;&lt;FQL&gt;&lt;Q&gt;SPY^FG_TOTAL_RETURNC(0,-12AM)&lt;/Q&gt;&lt;R&gt;1&lt;/R&gt;&lt;C&gt;1&lt;/C&gt;&lt;D xsi:type="xsd:double"&gt;32.81368&lt;/D&gt;&lt;/FQL&gt;&lt;FQL&gt;&lt;Q&gt;VWO^FMA_COS_UP("EPS","1M",+1,0,,,"PORTAGG","MEANR")&lt;/Q&gt;&lt;R&gt;1&lt;/R&gt;&lt;C&gt;1&lt;/C&gt;&lt;D xsi:type="xsd:double"&gt;774&lt;/D&gt;&lt;/FQL&gt;&lt;FQL&gt;&lt;Q&gt;QQQ^FMA_PE(NTMA,0,,,"PORTAGG","MEANR")&lt;/Q&gt;&lt;R&gt;1&lt;/R&gt;&lt;C&gt;1&lt;/C&gt;&lt;D xsi:type="xsd:double"&gt;26.3214581194614&lt;/D&gt;&lt;/FQL&gt;&lt;FQL&gt;&lt;Q&gt;EWA^FMA_ROE(NTMA,-20AY,NOW,FY,"PORTAGG","MEANR")&lt;/Q&gt;&lt;R&gt;20&lt;/R&gt;&lt;C&gt;1&lt;/C&gt;&lt;D xsi:type="xsd:double"&gt;15.4970825561621&lt;/D&gt;&lt;D xsi:type="xsd:double"&gt;16.532509518014&lt;/D&gt;&lt;D xsi:type="xsd:double"&gt;17.0193996486167&lt;/D&gt;&lt;D xsi:type="xsd:double"&gt;15.5609914058652&lt;/D&gt;&lt;D xsi:type="xsd:double"&gt;13.5690116283254&lt;/D&gt;&lt;D xsi:type="xsd:double"&gt;12.8492110125335&lt;/D&gt;&lt;D xsi:type="xsd:double"&gt;14.2386354612725&lt;/D&gt;&lt;D xsi:type="xsd:double"&gt;14.168071267681&lt;/D&gt;&lt;D xsi:type="xsd:double"&gt;12.6921652881541&lt;/D&gt;&lt;D xsi:type="xsd:double"&gt;13.1922555858139&lt;/D&gt;&lt;D xsi:type="xsd:double"&gt;12.5644042089263&lt;/D&gt;&lt;D xsi:type="xsd:double"&gt;10.7321365234713&lt;/D&gt;&lt;D xsi:type="xsd:double"&gt;11.5035211675747&lt;/D&gt;&lt;D xsi:type="xsd:double"&gt;11.9072990069878&lt;/D&gt;&lt;D xsi:type="xsd:double"&gt;12.4009311752812&lt;/D&gt;&lt;D xsi:type="xsd:double"&gt;11.7272453218097&lt;/D&gt;&lt;D xsi:type="xsd:double"&gt;11.0508592064609&lt;/D&gt;&lt;D xsi:type="xsd:double"&gt;12.8471719199911&lt;/D&gt;&lt;D xsi:type="xsd:double"&gt;14.6580605840091&lt;/D&gt;&lt;D xsi:type="xsd:double"&gt;13.2261379950135&lt;/D&gt;&lt;/FQL&gt;&lt;FQL&gt;&lt;Q&gt;CAGDPY@CA^EE_ACTUAL_ANNUAL(MED,0)&lt;/Q&gt;&lt;R&gt;1&lt;/R&gt;&lt;C&gt;1&lt;/C&gt;&lt;D xsi:type="xsd:double"&gt;-0.614727995236974&lt;/D&gt;&lt;/FQL&gt;&lt;FQL&gt;&lt;Q&gt;USDNZD^STD(FG_PRICE_CHANGE(0,-1AY,AM))&lt;/Q&gt;&lt;R&gt;1&lt;/R&gt;&lt;C&gt;1&lt;/C&gt;&lt;D xsi:type="xsd:double"&gt;2.48024366121825&lt;/D&gt;&lt;/FQL&gt;&lt;FQL&gt;&lt;Q&gt;EWL^FG_TOTAL_RETURNC(-10AY,0,AM)&lt;/Q&gt;&lt;R&gt;121&lt;/R&gt;&lt;C&gt;1&lt;/C&gt;&lt;D xsi:type="xsd:double"&gt;-0.32728314&lt;/D&gt;&lt;D xsi:type="xsd:double"&gt;3.164184&lt;/D&gt;&lt;D xsi:type="xsd:double"&gt;1.7939806&lt;/D&gt;&lt;D xsi:type="xsd:double"&gt;0.39795637&lt;/D&gt;&lt;D xsi:type="xsd:double"&gt;-2.0463407&lt;/D&gt;&lt;D xsi:type="xsd:double"&gt;-1.0940254&lt;/D&gt;&lt;D xsi:type="xsd:double"&gt;-0.8370757&lt;/D&gt;&lt;D xsi:type="xsd:double"&gt;-5.51703&lt;/D&gt;&lt;D xsi:type="xsd:double"&gt;4.9138546&lt;/D&gt;&lt;D xsi:type="xsd:double"&gt;-2.0985484&lt;/D&gt;&lt;D xsi:type="xsd:double"&gt;1.3668895&lt;/D&gt;&lt;D xsi:type="xsd:double"&gt;2.4517298&lt;/D&gt;&lt;D xsi:type="xsd:double"&gt;1.7050505&lt;/D&gt;&lt;D xsi:type="xsd:double"&gt;2.411759&lt;/D&gt;&lt;D xsi:type="xsd:double"&gt;3.1303883&lt;/D&gt;&lt;D xsi:type="xsd:double"&gt;-3.5505474&lt;/D&gt;&lt;D xsi:type="xsd:double"&gt;1.0137558&lt;/D&gt;&lt;D xsi:type="xsd:double"&gt;-6.321335&lt;/D&gt;&lt;D xsi:type="xsd:double"&gt;-1.5307665&lt;/D&gt;&lt;D xsi:type="xsd:double"&gt;0.12689829&lt;/D&gt;&lt;D xsi:type="xsd:double"&gt;-1.3624847&lt;/D&gt;&lt;D xsi:type="xsd:double"&gt;-1.798904&lt;/D&gt;&lt;D xsi:type="xsd:double"&gt;-7.2293043&lt;/D&gt;&lt;D xsi:type="xsd:double"&gt;0.84626675&lt;/D&gt;&lt;D xsi:type="xsd:double"&gt;3.531468&lt;/D&gt;&lt;D xsi:type="xsd:double"&gt;3.7824988&lt;/D&gt;&lt;D xsi:type="xsd:double"&gt;-2.1802783&lt;/D&gt;&lt;D xsi:type="xsd:double"&gt;1.8296838&lt;/D&gt;&lt;D xsi:type="xsd:double"&gt;-0.35636425&lt;/D&gt;&lt;D xsi:type="xsd:double"&gt;3.1639218&lt;/D&gt;&lt;D xsi:type="xsd:double"&gt;0.22838116&lt;/D&gt;&lt;D xsi:type="xsd:double"&gt;-3.6783814&lt;/D&gt;&lt;D xsi:type="xsd:double"&gt;-3.4809053&lt;/D&gt;&lt;D xsi:type="xsd:double"&gt;2.1995902&lt;/D&gt;&lt;D xsi:type="xsd:double"&gt;3.7367105&lt;/D&gt;&lt;D xsi:type="xsd:double"&gt;2.7428985&lt;/D&gt;&lt;D xsi:type="xsd:double"&gt;2.412355&lt;/D&gt;&lt;D xsi:type="xsd:double"&gt;1.0050297&lt;/D&gt;&lt;D xsi:type="xsd:double"&gt;8.302248&lt;/D&gt;&lt;D xsi:type="xsd:double"&gt;-0.119912624&lt;/D&gt;&lt;D xsi:type="xsd:double"&gt;2.2019982&lt;/D&gt;&lt;D xsi:type="xsd:double"&gt;-2.1258295&lt;/D&gt;&lt;D xsi:type="xsd:double"&gt;1.9371867&lt;/D&gt;&lt;D xsi:type="xsd:double"&gt;0.3455162&lt;/D&gt;&lt;D xsi:type="xsd:double"&gt;-0.08608103&lt;/D&gt;&lt;D xsi:type="xsd:double"&gt;1.0626078&lt;/D&gt;&lt;D xsi:type="xsd:double"&gt;4.51833&lt;/D&gt;&lt;D xsi:type="xsd:double"&gt;-3.9695442&lt;/D&gt;&lt;D xsi:type="xsd:double"&gt;-2.1517515&lt;/D&gt;&lt;D xsi:type="xsd:double"&gt;-0.57870746&lt;/D&gt;&lt;D xsi:type="xsd:double"&gt;0.5529642&lt;/D&gt;&lt;D xsi:type="xsd:double"&gt;-4.6723485&lt;/D&gt;&lt;D xsi:type="xsd:double"&gt;5.726731&lt;/D&gt;&lt;D xsi:type="xsd:double"&gt;1.6190767&lt;/D&gt;&lt;D xsi:type="xsd:double"&gt;2.143681&lt;/D&gt;&lt;D xsi:type="xsd:double"&gt;-6.636417&lt;/D&gt;&lt;D xsi:type="xsd:double"&gt;-0.78979135&lt;/D&gt;&lt;D xsi:type="xsd:double"&gt;-5.93999&lt;/D&gt;&lt;D xsi:type="xsd:double"&gt;8.626307&lt;/D&gt;&lt;D xsi:type="xsd:double"&gt;2.876842&lt;/D&gt;&lt;D xsi:type="xsd:double"&gt;3.4663558&lt;/D&gt;&lt;D xsi:type="xsd:double"&gt;0.78828335&lt;/D&gt;&lt;D xsi:type="xsd:double"&gt;0.8938551&lt;/D&gt;&lt;D xsi:type="xsd:double"&gt;6.010592&lt;/D&gt;&lt;D xsi:type="xsd:double"&gt;0&lt;/D&gt;&lt;D xsi:type="xsd:double"&gt;-0.69296956&lt;/D&gt;&lt;D xsi:type="xsd:double"&gt;0.9930253&lt;/D&gt;&lt;D xsi:type="xsd:double"&gt;0.07971525&lt;/D&gt;&lt;D xsi:type="xsd:double"&gt;2.5225759&lt;/D&gt;&lt;D xsi:type="xsd:double"&gt;4.377103&lt;/D&gt;&lt;D xsi:type="xsd:double"&gt;3.2754302&lt;/D&gt;&lt;D xsi:type="xsd:double"&gt;0.7448435&lt;/D&gt;&lt;D xsi:type="xsd:double"&gt;-25.447172&lt;/D&gt;&lt;D xsi:type="xsd:double"&gt;16.410744&lt;/D&gt;&lt;D xsi:type="xsd:double"&gt;3.2426476&lt;/D&gt;&lt;D xsi:type="xsd:double"&gt;5.9540033&lt;/D&gt;&lt;D xsi:type="xsd:double"&gt;4.85065&lt;/D&gt;&lt;D xsi:type="xsd:double"&gt;1.5583158&lt;/D&gt;&lt;D xsi:type="xsd:double"&gt;0.5034685&lt;/D&gt;&lt;D xsi:type="xsd:double"&gt;-1.8845379&lt;/D&gt;&lt;D xsi:type="xsd:double"&gt;4.2061687&lt;/D&gt;&lt;D xsi:type="xsd:double"&gt;1.9897938&lt;/D&gt;&lt;D xsi:type="xsd:double"&gt;4.6234846&lt;/D&gt;&lt;D xsi:type="xsd:double"&gt;-2.4939835&lt;/D&gt;&lt;D xsi:type="xsd:double"&gt;-0.47116876&lt;/D&gt;&lt;D xsi:type="xsd:double"&gt;5.4328203&lt;/D&gt;&lt;D xsi:type="xsd:double"&gt;2.6726484&lt;/D&gt;&lt;D xsi:type="xsd:double"&gt;4.304695&lt;/D&gt;&lt;D xsi:type="xsd:double"&gt;0.42699575&lt;/D&gt;&lt;D xsi:type="xsd:double"&gt;2.8953195&lt;/D&gt;&lt;D xsi:type="xsd:double"&gt;-5.0964174&lt;/D&gt;&lt;D xsi:type="xsd:double"&gt;2.1355987&lt;/D&gt;&lt;D xsi:type="xsd:double"&gt;2.801466&lt;/D&gt;&lt;D xsi:type="xsd:double"&gt;1.8364906&lt;/D&gt;&lt;D xsi:type="xsd:double"&gt;-3.3546627&lt;/D&gt;&lt;D xsi:type="xsd:double"&gt;-3.089887&lt;/D&gt;&lt;D xsi:type="xsd:double"&gt;0.5797148&lt;/D&gt;&lt;D xsi:type="xsd:double"&gt;-1.2556612&lt;/D&gt;&lt;D xsi:type="xsd:double"&gt;-8.963943&lt;/D&gt;&lt;D xsi:type="xsd:double"&gt;-6.9557133&lt;/D&gt;&lt;D xsi:type="xsd:double"&gt;6.529379&lt;/D&gt;&lt;D xsi:type="xsd:double"&gt;0.966537&lt;/D&gt;&lt;D xsi:type="xsd:double"&gt;-9.199166&lt;/D&gt;&lt;D xsi:type="xsd:double"&gt;-1.8256605&lt;/D&gt;&lt;D xsi:type="xsd:double"&gt;10.16239&lt;/D&gt;&lt;D xsi:type="xsd:double"&gt;0.59438944&lt;/D&gt;&lt;D xsi:type="xsd:double"&gt;6.192386&lt;/D&gt;&lt;D xsi:type="xsd:double"&gt;-0.8902788&lt;/D&gt;&lt;D xsi:type="xsd:double"&gt;-1.9312859&lt;/D&gt;&lt;D xsi:type="xsd:double"&gt;10.14427&lt;/D&gt;&lt;D xsi:type="xsd:double"&gt;0.3118515&lt;/D&gt;&lt;D xsi:type="xsd:double"&gt;-3.3281922&lt;/D&gt;&lt;D xsi:type="xsd:double"&gt;3.9456367&lt;/D&gt;&lt;D xsi:type="xsd:double"&gt;-4.259801&lt;/D&gt;&lt;D xsi:type="xsd:double"&gt;-1.5638828&lt;/D&gt;&lt;D xsi:type="xsd:double"&gt;-5.258441&lt;/D&gt;&lt;D xsi:type="xsd:double"&gt;5.692017&lt;/D&gt;&lt;D xsi:type="xsd:double"&gt;5.8994412&lt;/D&gt;&lt;D xsi:type="xsd:double"&gt;-1.3293982&lt;/D&gt;&lt;D xsi:type="xsd:double"&gt;1.2189984&lt;/D&gt;&lt;D xsi:type="xsd:double"&gt;0.50706863&lt;/D&gt;&lt;/FQL&gt;&lt;FQL&gt;&lt;Q&gt;URTH^P_PRICE(0)/P_PRICE_LOW_PR(0,,,USD,,,"PRICE","INTRA","52W")-1&lt;/Q&gt;&lt;R&gt;1&lt;/R&gt;&lt;C&gt;1&lt;/C&gt;&lt;D xsi:type="xsd:double"&gt;0.2920425&lt;/D&gt;&lt;/FQL&gt;&lt;FQL&gt;&lt;Q&gt;EWI^FG_TOTAL_RETURNC(0,-1AM)&lt;/Q&gt;&lt;R&gt;1&lt;/R&gt;&lt;C&gt;1&lt;/C&gt;&lt;D xsi:type="xsd:double"&gt;6.721735&lt;/D&gt;&lt;/FQL&gt;&lt;FQL&gt;&lt;Q&gt;EWU^FG_TOTAL_RETURNC(0,-6AM)&lt;/Q&gt;&lt;R&gt;1&lt;/R&gt;&lt;C&gt;1&lt;/C&gt;&lt;D xsi:type="xsd:double"&gt;8.143436&lt;/D&gt;&lt;/FQL&gt;&lt;FQL&gt;&lt;Q&gt;EWG^P_PRICE(0)/P_PRICE_HIGH_PR(0,,,USD,,,"PRICE","INTRA","52W")&lt;/Q&gt;&lt;R&gt;1&lt;/R&gt;&lt;C&gt;1&lt;/C&gt;&lt;D xsi:type="xsd:double"&gt;0.99396825&lt;/D&gt;&lt;/FQL&gt;&lt;FQL&gt;&lt;Q&gt;CC_IT^IMF_IFS_RCPI_Q(0)&lt;/Q&gt;&lt;R&gt;1&lt;/R&gt;&lt;C&gt;1&lt;/C&gt;&lt;D xsi:type="xsd:double"&gt;0.98369783&lt;/D&gt;&lt;/FQL&gt;&lt;FQL&gt;&lt;Q&gt;EWN^FMA_DIV_YLD(NTMA,NOW,NOW,M,"PORTAGG","MEANR")&lt;/Q&gt;&lt;R&gt;1&lt;/R&gt;&lt;C&gt;1&lt;/C&gt;&lt;D xsi:type="xsd:double"&gt;2.4848618906768&lt;/D&gt;&lt;/FQL&gt;&lt;FQL&gt;&lt;Q&gt;ENZL^FMA_ROE(NTMA,-20AY,NOW,FY,"PORTAGG","MEANR")&lt;/Q&gt;&lt;R&gt;20&lt;/R&gt;&lt;C&gt;1&lt;/C&gt;&lt;D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xsi:type="xsd:double"&gt;10.8532267295878&lt;/D&gt;&lt;D xsi:type="xsd:double"&gt;10.9048734413645&lt;/D&gt;&lt;D xsi:type="xsd:double"&gt;11.45876758647&lt;/D&gt;&lt;D xsi:type="xsd:double"&gt;11.0832589152415&lt;/D&gt;&lt;D xsi:type="xsd:double"&gt;9.94517431688139&lt;/D&gt;&lt;D xsi:type="xsd:double"&gt;9.90242652659034&lt;/D&gt;&lt;D xsi:type="xsd:double"&gt;9.79986582903071&lt;/D&gt;&lt;D xsi:type="xsd:double"&gt;9.84792896856594&lt;/D&gt;&lt;D xsi:type="xsd:double"&gt;9.52177142619013&lt;/D&gt;&lt;D xsi:type="xsd:double"&gt;9.00388708752031&lt;/D&gt;&lt;D xsi:type="xsd:double"&gt;7.5322638919869&lt;/D&gt;&lt;D xsi:type="xsd:double"&gt;6.44400181202057&lt;/D&gt;&lt;D xsi:type="xsd:double"&gt;7.7689690341127&lt;/D&gt;&lt;D xsi:type="xsd:double"&gt;6.57910753918315&lt;/D&gt;&lt;/FQL&gt;&lt;FQL&gt;&lt;Q&gt;CC_JP^FG_COMPANY_NAME&lt;/Q&gt;&lt;R&gt;1&lt;/R&gt;&lt;C&gt;1&lt;/C&gt;&lt;D xsi:type="xsd:string"&gt;Japan&lt;/D&gt;&lt;/FQL&gt;&lt;FQL&gt;&lt;Q&gt;USDJPY^STD(FG_PRICE_CHANGE(0,-3AY,M))&lt;/Q&gt;&lt;R&gt;1&lt;/R&gt;&lt;C&gt;1&lt;/C&gt;&lt;D xsi:type="xsd:double"&gt;3.05516145651881&lt;/D&gt;&lt;/FQL&gt;&lt;FQL&gt;&lt;Q&gt;EWI^PERCENT_CHANGE(FMA_EPS(+1,0,,,,"PORTAGG","MEAN"),FMA_EPS(+1,-3AM,,,,"PORTAGG","MEAN"))&lt;/Q&gt;&lt;R&gt;1&lt;/R&gt;&lt;C&gt;1&lt;/C&gt;&lt;D xsi:type="xsd:double"&gt;0.329280181242675&lt;/D&gt;&lt;/FQL&gt;&lt;FQL&gt;&lt;Q&gt;ENZL^FG_TOTAL_RETURNC(-10AY,0,AM)&lt;/Q&gt;&lt;R&gt;121&lt;/R&gt;&lt;C&gt;1&lt;/C&gt;&lt;D xsi:type="xsd:double"&gt;8.046902&lt;/D&gt;&lt;D xsi:type="xsd:double"&gt;0.16627312&lt;/D&gt;&lt;D xsi:type="xsd:double"&gt;0.0016570091&lt;/D&gt;&lt;D xsi:type="xsd:double"&gt;1.3480663&lt;/D&gt;&lt;D xsi:type="xsd:double"&gt;-0.6901324&lt;/D&gt;&lt;D xsi:type="xsd:double"&gt;-2.3104668&lt;/D&gt;&lt;D xsi:type="xsd:double"&gt;-3.4984052&lt;/D&gt;&lt;D xsi:type="xsd:double"&gt;0.66378117&lt;/D&gt;&lt;D xsi:type="xsd:double"&gt;3.7027597&lt;/D&gt;&lt;D xsi:type="xsd:double"&gt;-0.43804646&lt;/D&gt;&lt;D xsi:type="xsd:double"&gt;0.6919265&lt;/D&gt;&lt;D xsi:type="xsd:double"&gt;0.21567345&lt;/D&gt;&lt;D xsi:type="xsd:double"&gt;2.527535&lt;/D&gt;&lt;D xsi:type="xsd:double"&gt;-0.024414063&lt;/D&gt;&lt;D xsi:type="xsd:double"&gt;-4.370117&lt;/D&gt;&lt;D xsi:type="xsd:double"&gt;-6.6632566&lt;/D&gt;&lt;D xsi:type="xsd:double"&gt;-2.1547496&lt;/D&gt;&lt;D xsi:type="xsd:double"&gt;-2.3802638&lt;/D&gt;&lt;D xsi:type="xsd:double"&gt;-5.405408&lt;/D&gt;&lt;D xsi:type="xsd:double"&gt;10.3105545&lt;/D&gt;&lt;D xsi:type="xsd:double"&gt;-0.5067587&lt;/D&gt;&lt;D xsi:type="xsd:double"&gt;4.5939445&lt;/D&gt;&lt;D xsi:type="xsd:double"&gt;-4.4907627&lt;/D&gt;&lt;D xsi:type="xsd:double"&gt;3.4028769&lt;/D&gt;&lt;D xsi:type="xsd:double"&gt;10.441101&lt;/D&gt;&lt;D xsi:type="xsd:double"&gt;6.1931133&lt;/D&gt;&lt;D xsi:type="xsd:double"&gt;-1.713872&lt;/D&gt;&lt;D xsi:type="xsd:double"&gt;4.5289397&lt;/D&gt;&lt;D xsi:type="xsd:double"&gt;3.4574866&lt;/D&gt;&lt;D xsi:type="xsd:double"&gt;6.6681743&lt;/D&gt;&lt;D xsi:type="xsd:double"&gt;-0.17009974&lt;/D&gt;&lt;D xsi:type="xsd:double"&gt;-8.221513&lt;/D&gt;&lt;D xsi:type="xsd:double"&gt;-2.6688337&lt;/D&gt;&lt;D xsi:type="xsd:double"&gt;-2.958846&lt;/D&gt;&lt;D xsi:type="xsd:double"&gt;7.4478865&lt;/D&gt;&lt;D xsi:type="xsd:double"&gt;1.1119008&lt;/D&gt;&lt;D xsi:type="xsd:double"&gt;-3.1586409&lt;/D&gt;&lt;D xsi:type="xsd:double"&gt;2.5368452&lt;/D&gt;&lt;D xsi:type="xsd:double"&gt;1.8378973&lt;/D&gt;&lt;D xsi:type="xsd:double"&gt;6.4400554&lt;/D&gt;&lt;D xsi:type="xsd:double"&gt;4.539418&lt;/D&gt;&lt;D xsi:type="xsd:double"&gt;0.6990075&lt;/D&gt;&lt;D xsi:type="xsd:double"&gt;-0.9676039&lt;/D&gt;&lt;D xsi:type="xsd:double"&gt;-1.7204762&lt;/D&gt;&lt;D xsi:type="xsd:double"&gt;-2.7447581&lt;/D&gt;&lt;D xsi:type="xsd:double"&gt;6.4733863&lt;/D&gt;&lt;D xsi:type="xsd:double"&gt;2.7653813&lt;/D&gt;&lt;D xsi:type="xsd:double"&gt;0.20699501&lt;/D&gt;&lt;D xsi:type="xsd:double"&gt;3.5116673&lt;/D&gt;&lt;D xsi:type="xsd:double"&gt;-4.3703914&lt;/D&gt;&lt;D xsi:type="xsd:double"&gt;0.18781424&lt;/D&gt;&lt;D xsi:type="xsd:double"&gt;4.7967196&lt;/D&gt;&lt;D xsi:type="xsd:double"&gt;-2.4454296&lt;/D&gt;&lt;D xsi:type="xsd:double"&gt;0.62149763&lt;/D&gt;&lt;D xsi:type="xsd:double"&gt;1.6471028&lt;/D&gt;&lt;D xsi:type="xsd:double"&gt;-7.3121367&lt;/D&gt;&lt;D xsi:type="xsd:double"&gt;2.5349617&lt;/D&gt;&lt;D xsi:type="xsd:double"&gt;-2.497226&lt;/D&gt;&lt;D xsi:type="xsd:double"&gt;7.2318673&lt;/D&gt;&lt;D xsi:type="xsd:double"&gt;2.6049018&lt;/D&gt;&lt;D xsi:type="xsd:double"&gt;2.4162054&lt;/D&gt;&lt;D xsi:type="xsd:double"&gt;2.310431&lt;/D&gt;&lt;D xsi:type="xsd:double"&gt;-0.13510585&lt;/D&gt;&lt;D xsi:type="xsd:double"&gt;1.2764096&lt;/D&gt;&lt;D xsi:type="xsd:double"&gt;7.255709&lt;/D&gt;&lt;D xsi:type="xsd:double"&gt;-5.7895365&lt;/D&gt;&lt;D xsi:type="xsd:double"&gt;-0.9585917&lt;/D&gt;&lt;D xsi:type="xsd:double"&gt;4.4134736&lt;/D&gt;&lt;D xsi:type="xsd:double"&gt;-0.20392537&lt;/D&gt;&lt;D xsi:type="xsd:double"&gt;7.405591&lt;/D&gt;&lt;D xsi:type="xsd:double"&gt;2.9478908&lt;/D&gt;&lt;D xsi:type="xsd:double"&gt;-1.3524652&lt;/D&gt;&lt;D xsi:type="xsd:double"&gt;-31.648653&lt;/D&gt;&lt;D xsi:type="xsd:double"&gt;19.733501&lt;/D&gt;&lt;D xsi:type="xsd:double"&gt;6.385553&lt;/D&gt;&lt;D xsi:type="xsd:double"&gt;9.264302&lt;/D&gt;&lt;D xsi:type="xsd:double"&gt;8.811903&lt;/D&gt;&lt;D xsi:type="xsd:double"&gt;-0.6259501&lt;/D&gt;&lt;D xsi:type="xsd:double"&gt;-3.0643582&lt;/D&gt;&lt;D xsi:type="xsd:double"&gt;7.641208&lt;/D&gt;&lt;D xsi:type="xsd:double"&gt;5.4153204&lt;/D&gt;&lt;D xsi:type="xsd:double"&gt;1.6558409&lt;/D&gt;&lt;D xsi:type="xsd:double"&gt;4.6280622&lt;/D&gt;&lt;D xsi:type="xsd:double"&gt;-4.3350277&lt;/D&gt;&lt;D xsi:type="xsd:double"&gt;-1.3386607&lt;/D&gt;&lt;D xsi:type="xsd:double"&gt;0&lt;/D&gt;&lt;D xsi:type="xsd:double"&gt;-2.2925794&lt;/D&gt;&lt;D xsi:type="xsd:double"&gt;-2.1551669&lt;/D&gt;&lt;D xsi:type="xsd:double"&gt;1.3909459&lt;/D&gt;&lt;D xsi:type="xsd:double"&gt;-0.6169379&lt;/D&gt;&lt;D xsi:type="xsd:double"&gt;3.3406854&lt;/D&gt;&lt;D xsi:type="xsd:double"&gt;0.8378148&lt;/D&gt;&lt;D xsi:type="xsd:double"&gt;-5.674875&lt;/D&gt;&lt;D xsi:type="xsd:double"&gt;-2.2819102&lt;/D&gt;&lt;D xsi:type="xsd:double"&gt;-5.4049435&lt;/D&gt;&lt;D xsi:type="xsd:double"&gt;-2.208835&lt;/D&gt;&lt;D xsi:type="xsd:double"&gt;5.1148057&lt;/D&gt;&lt;D xsi:type="xsd:double"&gt;-6.7661166&lt;/D&gt;&lt;D xsi:type="xsd:double"&gt;-9.657145&lt;/D&gt;&lt;D xsi:type="xsd:double"&gt;-5.4179726&lt;/D&gt;&lt;D xsi:type="xsd:double"&gt;5.1308155&lt;/D&gt;&lt;D xsi:type="xsd:double"&gt;2.6922584&lt;/D&gt;&lt;D xsi:type="xsd:double"&gt;-7.374138&lt;/D&gt;&lt;D xsi:type="xsd:double"&gt;-6.3502493&lt;/D&gt;&lt;D xsi:type="xsd:double"&gt;11.886287&lt;/D&gt;&lt;D xsi:type="xsd:double"&gt;4.1400433&lt;/D&gt;&lt;D xsi:type="xsd:double"&gt;7.9542994&lt;/D&gt;&lt;D xsi:type="xsd:double"&gt;-5.175066&lt;/D&gt;&lt;D xsi:type="xsd:double"&gt;-2.8200448&lt;/D&gt;&lt;D xsi:type="xsd:double"&gt;2.2964478&lt;/D&gt;&lt;D xsi:type="xsd:double"&gt;3.897953&lt;/D&gt;&lt;D xsi:type="xsd:double"&gt;-3.9091647&lt;/D&gt;&lt;D xsi:type="xsd:double"&gt;1.3936162&lt;/D&gt;&lt;D xsi:type="xsd:double"&gt;-8.430052&lt;/D&gt;&lt;D xsi:type="xsd:double"&gt;-1.7344952&lt;/D&gt;&lt;D xsi:type="xsd:double"&gt;-5.159533&lt;/D&gt;&lt;D xsi:type="xsd:double"&gt;6.6809773&lt;/D&gt;&lt;D xsi:type="xsd:double"&gt;8.976221&lt;/D&gt;&lt;D xsi:type="xsd:double"&gt;-3.247434&lt;/D&gt;&lt;D xsi:type="xsd:double"&gt;-3.3131182&lt;/D&gt;&lt;D xsi:type="xsd:double"&gt;1.0078311&lt;/D&gt;&lt;/FQL&gt;&lt;FQL&gt;&lt;Q&gt;EWL^FG_PRICE_MAVG(0,,,,200)&lt;/Q&gt;&lt;R&gt;1&lt;/R&gt;&lt;C&gt;1&lt;/C&gt;&lt;D xsi:type="xsd:double"&gt;45.89315&lt;/D&gt;&lt;/FQL&gt;&lt;FQL&gt;&lt;Q&gt;EWL^FG_TOTAL_RETURNC(0,-1AM)&lt;/Q&gt;&lt;R&gt;1&lt;/R&gt;&lt;C&gt;1&lt;/C&gt;&lt;D xsi:type="xsd:double"&gt;0.50706863&lt;/D&gt;&lt;/FQL&gt;&lt;FQL&gt;&lt;Q&gt;EWQ^FG_ROE(0)&lt;/Q&gt;&lt;R&gt;1&lt;/R&gt;&lt;C&gt;1&lt;/C&gt;&lt;D xsi:type="xsd:double"&gt;12.5099938672616&lt;/D&gt;&lt;/FQL&gt;&lt;FQL&gt;&lt;Q&gt;REFCATARG-FDS^PROPER_NAME(0,,,"SECURITY","NAME")&lt;/Q&gt;&lt;R&gt;1&lt;/R&gt;&lt;C&gt;1&lt;/C&gt;&lt;D xsi:type="xsd:string"&gt;Canada Target Rate&lt;/D&gt;&lt;/FQL&gt;&lt;FQL&gt;&lt;Q&gt;TRYJP10Y-FDS^FG_YIELD(0,,,,"YTM")&lt;/Q&gt;&lt;R&gt;1&lt;/R&gt;&lt;C&gt;1&lt;/C&gt;&lt;D xsi:type="xsd:double"&gt;0.7349&lt;/D&gt;&lt;/FQL&gt;&lt;FQL&gt;&lt;Q&gt;EWQ^FG_FCF_YIELD_NTM(0)&lt;/Q&gt;&lt;R&gt;1&lt;/R&gt;&lt;C&gt;1&lt;/C&gt;&lt;D xsi:type="xsd:double"&gt;5.5241393562895&lt;/D&gt;&lt;/FQL&gt;&lt;FQL&gt;&lt;Q&gt;EWG^FMA_PE(NTMA,0,,,"PORTAGG","MEANR")&lt;/Q&gt;&lt;R&gt;1&lt;/R&gt;&lt;C&gt;1&lt;/C&gt;&lt;D xsi:type="xsd:double"&gt;12.0704620930793&lt;/D&gt;&lt;/FQL&gt;&lt;FQL&gt;&lt;Q&gt;BRENT-FDS^FG_PRICE(0)&lt;/Q&gt;&lt;R&gt;1&lt;/R&gt;&lt;C&gt;1&lt;/C&gt;&lt;D xsi:type="xsd:double"&gt;85.86&lt;/D&gt;&lt;/FQL&gt;&lt;FQL&gt;&lt;Q&gt;VWO^PERCENT_CHANGE(FMA_EPS(+1,0,,,,"PORTAGG","MEAN"),FMA_EPS(+1,-3AM,,,,"PORTAGG","MEAN"))&lt;/Q&gt;&lt;R&gt;1&lt;/R&gt;&lt;C&gt;1&lt;/C&gt;&lt;D xsi:type="xsd:double"&gt;-16.6996227558443&lt;/D&gt;&lt;/FQL&gt;&lt;FQL&gt;&lt;Q&gt;EWI^FMA_COS_DOWN("EPS","1M",+1,0,,,"PORTAGG","MEANR")&lt;/Q&gt;&lt;R&gt;1&lt;/R&gt;&lt;C&gt;1&lt;/C&gt;&lt;D xsi:type="xsd:double"&gt;8&lt;/D&gt;&lt;/FQL&gt;&lt;FQL&gt;&lt;Q&gt;SPY^FG_ROE(0)&lt;/Q&gt;&lt;R&gt;1&lt;/R&gt;&lt;C&gt;1&lt;/C&gt;&lt;D xsi:type="xsd:double"&gt;18.0396609701034&lt;/D&gt;&lt;/FQL&gt;&lt;FQL&gt;&lt;Q&gt;REFAUCASH-FDS^(SUBARRAY(NOT_NA(NO_REPEAT_F(FG_YIELD(NOW,-10AY,D))),0,1)-SUBARRAY(NOT_NA(NO_REPEAT_F(FG_YIELD(NOW,-10AY,D))),1,1))*100&lt;/Q&gt;&lt;R&gt;1&lt;/R&gt;&lt;C&gt;1&lt;/C&gt;&lt;D xsi:type="xsd:double"&gt;25&lt;/D&gt;&lt;/FQL&gt;&lt;FQL&gt;&lt;Q&gt;CC_FR^IMF_IFS_RCPI_Q(0)&lt;/Q&gt;&lt;R&gt;1&lt;/R&gt;&lt;C&gt;1&lt;/C&gt;&lt;D xsi:type="xsd:double"&gt;3.7187452&lt;/D&gt;&lt;/FQL&gt;&lt;FQL&gt;&lt;Q&gt;EWQ^FMA_DIV_YLD(NTMA,NOW,NOW,M,"PORTAGG","MEANR")&lt;/Q&gt;&lt;R&gt;1&lt;/R&gt;&lt;C&gt;1&lt;/C&gt;&lt;D xsi:type="xsd:double"&gt;3.13363118386142&lt;/D&gt;&lt;/FQL&gt;&lt;FQL&gt;&lt;Q&gt;ENZL^FMA_EVAL_EBIT(LTMA,NOW,NOW,M,"PORTAGG","MEANR")&lt;/Q&gt;&lt;R&gt;1&lt;/R&gt;&lt;C&gt;1&lt;/C&gt;&lt;D xsi:type="xsd:double"&gt;20.3404028987719&lt;/D&gt;&lt;/FQL&gt;&lt;FQL&gt;&lt;Q&gt;VGK^FG_PE(0)&lt;/Q&gt;&lt;R&gt;1&lt;/R&gt;&lt;C&gt;1&lt;/C&gt;&lt;D xsi:type="xsd:double"&gt;12.3181783603183&lt;/D&gt;&lt;/FQL&gt;&lt;FQL&gt;&lt;Q&gt;UUP^FG_TOTAL_RETURNC(0,-6AM)&lt;/Q&gt;&lt;R&gt;1&lt;/R&gt;&lt;C&gt;1&lt;/C&gt;&lt;D xsi:type="xsd:double"&gt;1.7261505&lt;/D&gt;&lt;/FQL&gt;&lt;FQL&gt;&lt;Q&gt;EWI^FMA_DIV_YLD(NTMA,NOW,NOW,M,"PORTAGG","MEANR")&lt;/Q&gt;&lt;R&gt;1&lt;/R&gt;&lt;C&gt;1&lt;/C&gt;&lt;D xsi:type="xsd:double"&gt;5.32485343166789&lt;/D&gt;&lt;/FQL&gt;&lt;FQL&gt;&lt;Q&gt;SPY^FG_PRICE_MAVG(0,,,,60)&lt;/Q&gt;&lt;R&gt;1&lt;/R&gt;&lt;C&gt;1&lt;/C&gt;&lt;D xsi:type="xsd:double"&gt;494.45483&lt;/D&gt;&lt;/FQL&gt;&lt;FQL&gt;&lt;Q&gt;EWG^FMA_DIV_YLD(NTMA,NOW,NOW,M,"PORTAGG","MEANR")&lt;/Q&gt;&lt;R&gt;1&lt;/R&gt;&lt;C&gt;1&lt;/C&gt;&lt;D xsi:type="xsd:double"&gt;3.4332044487201&lt;/D&gt;&lt;/FQL&gt;&lt;FQL&gt;&lt;Q&gt;EWL^FG_TOTAL_RETURNC(0,-12AM)&lt;/Q&gt;&lt;R&gt;1&lt;/R&gt;&lt;C&gt;1&lt;/C&gt;&lt;D xsi:type="xsd:double"&gt;11.376059&lt;/D&gt;&lt;/FQL&gt;&lt;FQL&gt;&lt;Q&gt;EWD^FG_ROE(0)&lt;/Q&gt;&lt;R&gt;1&lt;/R&gt;&lt;C&gt;1&lt;/C&gt;&lt;D xsi:type="xsd:double"&gt;15.9942624856014&lt;/D&gt;&lt;/FQL&gt;&lt;FQL&gt;&lt;Q&gt;EWQ^FMA_EVAL_EBITDA(NTMA,0,,,"PORTAGG","MEANR")&lt;/Q&gt;&lt;R&gt;1&lt;/R&gt;&lt;C&gt;1&lt;/C&gt;&lt;D xsi:type="xsd:double"&gt;9.38504404172151&lt;/D&gt;&lt;/FQL&gt;&lt;FQL&gt;&lt;Q&gt;ENZL^JULIAN(FG_TOTAL_RETURNC(-10AY,0,AM).DATES)&lt;/Q&gt;&lt;R&gt;121&lt;/R&gt;&lt;C&gt;1&lt;/C&gt;&lt;D xsi:type="xsd:long"&gt;41719&lt;/D&gt;&lt;D xsi:type="xsd:long"&gt;41750&lt;/D&gt;&lt;D xsi:type="xsd:long"&gt;41780&lt;/D&gt;&lt;D xsi:type="xsd:long"&gt;41810&lt;/D&gt;&lt;D xsi:type="xsd:long"&gt;41841&lt;/D&gt;&lt;D xsi:type="xsd:long"&gt;41872&lt;/D&gt;&lt;D xsi:type="xsd:long"&gt;41901&lt;/D&gt;&lt;D xsi:type="xsd:long"&gt;41933&lt;/D&gt;&lt;D xsi:type="xsd:long"&gt;41964&lt;/D&gt;&lt;D xsi:type="xsd:long"&gt;41992&lt;/D&gt;&lt;D xsi:type="xsd:long"&gt;42025&lt;/D&gt;&lt;D xsi:type="xsd:long"&gt;42055&lt;/D&gt;&lt;D xsi:type="xsd:long"&gt;42083&lt;/D&gt;&lt;D xsi:type="xsd:long"&gt;42115&lt;/D&gt;&lt;D xsi:type="xsd:long"&gt;42145&lt;/D&gt;&lt;D xsi:type="xsd:long"&gt;42174&lt;/D&gt;&lt;D xsi:type="xsd:long"&gt;42206&lt;/D&gt;&lt;D xsi:type="xsd:long"&gt;42237&lt;/D&gt;&lt;D xsi:type="xsd:long"&gt;42268&lt;/D&gt;&lt;D xsi:type="xsd:long"&gt;42298&lt;/D&gt;&lt;D xsi:type="xsd:long"&gt;42328&lt;/D&gt;&lt;D xsi:type="xsd:long"&gt;42359&lt;/D&gt;&lt;D xsi:type="xsd:long"&gt;42390&lt;/D&gt;&lt;D xsi:type="xsd:long"&gt;42419&lt;/D&gt;&lt;D xsi:type="xsd:long"&gt;42450&lt;/D&gt;&lt;D xsi:type="xsd:long"&gt;42481&lt;/D&gt;&lt;D xsi:type="xsd:long"&gt;42510&lt;/D&gt;&lt;D xsi:type="xsd:long"&gt;42542&lt;/D&gt;&lt;D xsi:type="xsd:long"&gt;42572&lt;/D&gt;&lt;D xsi:type="xsd:long"&gt;42601&lt;/D&gt;&lt;D xsi:type="xsd:long"&gt;42634&lt;/D&gt;&lt;D xsi:type="xsd:long"&gt;42664&lt;/D&gt;&lt;D xsi:type="xsd:long"&gt;42695&lt;/D&gt;&lt;D xsi:type="xsd:long"&gt;42725&lt;/D&gt;&lt;D xsi:type="xsd:long"&gt;42755&lt;/D&gt;&lt;D xsi:type="xsd:long"&gt;42787&lt;/D&gt;&lt;D xsi:type="xsd:long"&gt;42815&lt;/D&gt;&lt;D xsi:type="xsd:long"&gt;42846&lt;/D&gt;&lt;D xsi:type="xsd:long"&gt;42874&lt;/D&gt;&lt;D xsi:type="xsd:long"&gt;42907&lt;/D&gt;&lt;D xsi:type="xsd:long"&gt;42937&lt;/D&gt;&lt;D xsi:type="xsd:long"&gt;42968&lt;/D&gt;&lt;D xsi:type="xsd:long"&gt;42999&lt;/D&gt;&lt;D xsi:type="xsd:long"&gt;43028&lt;/D&gt;&lt;D xsi:type="xsd:long"&gt;43060&lt;/D&gt;&lt;D xsi:type="xsd:long"&gt;43090&lt;/D&gt;&lt;D xsi:type="xsd:long"&gt;43119&lt;/D&gt;&lt;D xsi:type="xsd:long"&gt;43152&lt;/D&gt;&lt;D xsi:type="xsd:long"&gt;43180&lt;/D&gt;&lt;D xsi:type="xsd:long"&gt;43210&lt;/D&gt;&lt;D xsi:type="xsd:long"&gt;43241&lt;/D&gt;&lt;D xsi:type="xsd:long"&gt;43272&lt;/D&gt;&lt;D xsi:type="xsd:long"&gt;43301&lt;/D&gt;&lt;D xsi:type="xsd:long"&gt;43333&lt;/D&gt;&lt;D xsi:type="xsd:long"&gt;43364&lt;/D&gt;&lt;D xsi:type="xsd:long"&gt;43392&lt;/D&gt;&lt;D xsi:type="xsd:long"&gt;43425&lt;/D&gt;&lt;D xsi:type="xsd:long"&gt;43455&lt;/D&gt;&lt;D xsi:type="xsd:long"&gt;43483&lt;/D&gt;&lt;D xsi:type="xsd:long"&gt;43517&lt;/D&gt;&lt;D xsi:type="xsd:long"&gt;43545&lt;/D&gt;&lt;D xsi:type="xsd:long"&gt;43573&lt;/D&gt;&lt;D xsi:type="xsd:long"&gt;43606&lt;/D&gt;&lt;D xsi:type="xsd:long"&gt;43637&lt;/D&gt;&lt;D xsi:type="xsd:long"&gt;43665&lt;/D&gt;&lt;D xsi:type="xsd:long"&gt;43698&lt;/D&gt;&lt;D xsi:type="xsd:long"&gt;43728&lt;/D&gt;&lt;D xsi:type="xsd:long"&gt;43759&lt;/D&gt;&lt;D xsi:type="xsd:long"&gt;43790&lt;/D&gt;&lt;D xsi:type="xsd:long"&gt;43819&lt;/D&gt;&lt;D xsi:type="xsd:long"&gt;43851&lt;/D&gt;&lt;D xsi:type="xsd:long"&gt;43882&lt;/D&gt;&lt;D xsi:type="xsd:long"&gt;43910&lt;/D&gt;&lt;D xsi:type="xsd:long"&gt;43942&lt;/D&gt;&lt;D xsi:type="xsd:long"&gt;43972&lt;/D&gt;&lt;D xsi:type="xsd:long"&gt;44001&lt;/D&gt;&lt;D xsi:type="xsd:long"&gt;44033&lt;/D&gt;&lt;D xsi:type="xsd:long"&gt;44064&lt;/D&gt;&lt;D xsi:type="xsd:long"&gt;44095&lt;/D&gt;&lt;D xsi:type="xsd:long"&gt;44125&lt;/D&gt;&lt;D xsi:type="xsd:long"&gt;44155&lt;/D&gt;&lt;D xsi:type="xsd:long"&gt;44186&lt;/D&gt;&lt;D xsi:type="xsd:long"&gt;44217&lt;/D&gt;&lt;D xsi:type="xsd:long"&gt;44246&lt;/D&gt;&lt;D xsi:type="xsd:long"&gt;44274&lt;/D&gt;&lt;D xsi:type="xsd:long"&gt;44307&lt;/D&gt;&lt;D xsi:type="xsd:long"&gt;44337&lt;/D&gt;&lt;D xsi:type="xsd:long"&gt;44368&lt;/D&gt;&lt;D xsi:type="xsd:long"&gt;44398&lt;/D&gt;&lt;D xsi:type="xsd:long"&gt;44428&lt;/D&gt;&lt;D xsi:type="xsd:long"&gt;44460&lt;/D&gt;&lt;D xsi:type="xsd:long"&gt;44490&lt;/D&gt;&lt;D xsi:type="xsd:long"&gt;44519&lt;/D&gt;&lt;D xsi:type="xsd:long"&gt;44551&lt;/D&gt;&lt;D xsi:type="xsd:long"&gt;44582&lt;/D&gt;&lt;D xsi:type="xsd:long"&gt;44610&lt;/D&gt;&lt;D xsi:type="xsd:long"&gt;44641&lt;/D&gt;&lt;D xsi:type="xsd:long"&gt;44672&lt;/D&gt;&lt;D xsi:type="xsd:long"&gt;44701&lt;/D&gt;&lt;D xsi:type="xsd:long"&gt;44733&lt;/D&gt;&lt;D xsi:type="xsd:long"&gt;44763&lt;/D&gt;&lt;D xsi:type="xsd:long"&gt;44792&lt;/D&gt;&lt;D xsi:type="xsd:long"&gt;44825&lt;/D&gt;&lt;D xsi:type="xsd:long"&gt;44855&lt;/D&gt;&lt;D xsi:type="xsd:long"&gt;44886&lt;/D&gt;&lt;D xsi:type="xsd:long"&gt;44916&lt;/D&gt;&lt;D xsi:type="xsd:long"&gt;44946&lt;/D&gt;&lt;D xsi:type="xsd:long"&gt;44978&lt;/D&gt;&lt;D xsi:type="xsd:long"&gt;45006&lt;/D&gt;&lt;D xsi:type="xsd:long"&gt;45037&lt;/D&gt;&lt;D xsi:type="xsd:long"&gt;45065&lt;/D&gt;&lt;D xsi:type="xsd:long"&gt;45098&lt;/D&gt;&lt;D xsi:type="xsd:long"&gt;45128&lt;/D&gt;&lt;D xsi:type="xsd:long"&gt;45159&lt;/D&gt;&lt;D xsi:type="xsd:long"&gt;45190&lt;/D&gt;&lt;D xsi:type="xsd:long"&gt;45219&lt;/D&gt;&lt;D xsi:type="xsd:long"&gt;45251&lt;/D&gt;&lt;D xsi:type="xsd:long"&gt;45281&lt;/D&gt;&lt;D xsi:type="xsd:long"&gt;45310&lt;/D&gt;&lt;D xsi:type="xsd:long"&gt;45343&lt;/D&gt;&lt;D xsi:type="xsd:long"&gt;45372&lt;/D&gt;&lt;/FQL&gt;&lt;FQL&gt;&lt;Q&gt;COPP-FDS^MAX(FG_PRICE(0,-5AY))&lt;/Q&gt;&lt;R&gt;1&lt;/R&gt;&lt;C&gt;1&lt;/C&gt;&lt;D xsi:type="xsd:double"&gt;4.929&lt;/D&gt;&lt;/FQL&gt;&lt;FQL&gt;&lt;Q&gt;EWL^FG_PRICE_MAVG(0,,,,60)&lt;/Q&gt;&lt;R&gt;1&lt;/R&gt;&lt;C&gt;1&lt;/C&gt;&lt;D xsi:type="xsd:double"&gt;47.42967&lt;/D&gt;&lt;/FQL&gt;&lt;FQL&gt;&lt;Q&gt;EWL^PERCENT_CHANGE(FMA_EPS(+1,0,,,,"PORTAGG","MEAN"),FMA_EPS(+1,-3AM,,,,"PORTAGG","MEAN"))&lt;/Q&gt;&lt;R&gt;1&lt;/R&gt;&lt;C&gt;1&lt;/C&gt;&lt;D xsi:type="xsd:double"&gt;-6.96067188128014&lt;/D&gt;&lt;/FQL&gt;&lt;FQL&gt;&lt;Q&gt;EWU^FG_ROE(0)&lt;/Q&gt;&lt;R&gt;1&lt;/R&gt;&lt;C&gt;1&lt;/C&gt;&lt;D xsi:type="xsd:double"&gt;16.8718364073296&lt;/D&gt;&lt;/FQL&gt;&lt;FQL&gt;&lt;Q&gt;REFAUCASH-FDS^PROPER_NAME(0,,,"SECURITY","NAME")&lt;/Q&gt;&lt;R&gt;1&lt;/R&gt;&lt;C&gt;1&lt;/C&gt;&lt;D xsi:type="xsd:string"&gt;Australia Target Cash Rate&lt;/D&gt;&lt;/FQL&gt;&lt;FQL&gt;&lt;Q&gt;CC_US^IMF_IFS_RCPI_Q(0)&lt;/Q&gt;&lt;R&gt;1&lt;/R&gt;&lt;C&gt;1&lt;/C&gt;&lt;D xsi:type="xsd:double"&gt;3.2433991&lt;/D&gt;&lt;/FQL&gt;&lt;FQL&gt;&lt;Q&gt;EWQ^FMA_PE(NTMA,0,,,"PORTAGG","MEANR")&lt;/Q&gt;&lt;R&gt;1&lt;/R&gt;&lt;C&gt;1&lt;/C&gt;&lt;D xsi:type="xsd:double"&gt;14.6152923130056&lt;/D&gt;&lt;/FQL&gt;&lt;FQL&gt;&lt;Q&gt;ENZL^FMA_EVAL_EBITDA(NTMA,0,,,"PORTAGG","MEANR")&lt;/Q&gt;&lt;R&gt;1&lt;/R&gt;&lt;C&gt;1&lt;/C&gt;&lt;D xsi:type="xsd:double"&gt;12.2013138601719&lt;/D&gt;&lt;/FQL&gt;&lt;FQL&gt;&lt;Q&gt;EWG^FMA_PCT_ABOVE_MAVG(200,0,,,,"PORTAGG")&lt;/Q&gt;&lt;R&gt;1&lt;/R&gt;&lt;C&gt;1&lt;/C&gt;&lt;D xsi:type="xsd:double"&gt;73.6842105263158&lt;/D&gt;&lt;/FQL&gt;&lt;FQL&gt;&lt;Q&gt;CC_CA^IMF_IFS_RCPI_Q(0)&lt;/Q&gt;&lt;R&gt;1&lt;/R&gt;&lt;C&gt;1&lt;/C&gt;&lt;D xsi:type="xsd:double"&gt;3.2111022&lt;/D&gt;&lt;/FQL&gt;&lt;FQL&gt;&lt;Q&gt;DDR3512M-FDS^MAX(FG_PRICE(0,-5AY))&lt;/Q&gt;&lt;R&gt;1&lt;/R&gt;&lt;C&gt;1&lt;/C&gt;&lt;D xsi:type="xsd:double"&gt;3.3053632&lt;/D&gt;&lt;/FQL&gt;&lt;FQL&gt;&lt;Q&gt;EWA^FMA_PCT_ABOVE_MAVG(200,0,,,,"PORTAGG")&lt;/Q&gt;&lt;R&gt;1&lt;/R&gt;&lt;C&gt;1&lt;/C&gt;&lt;D xsi:type="xsd:double"&gt;71.1864406779661&lt;/D&gt;&lt;/FQL&gt;&lt;FQL&gt;&lt;Q&gt;CC_AU^FG_COMPANY_NAME&lt;/Q&gt;&lt;R&gt;1&lt;/R&gt;&lt;C&gt;1&lt;/C&gt;&lt;D xsi:type="xsd:string"&gt;Australia&lt;/D&gt;&lt;/FQL&gt;&lt;FQL&gt;&lt;Q&gt;ENZL^FMA_PCT_ABOVE_MAVG(200,0,,,,"PORTAGG")&lt;/Q&gt;&lt;R&gt;1&lt;/R&gt;&lt;C&gt;1&lt;/C&gt;&lt;D xsi:type="xsd:double"&gt;50&lt;/D&gt;&lt;/FQL&gt;&lt;FQL&gt;&lt;Q&gt;GLD^FG_TOTAL_RETURNC(0,-1AM)&lt;/Q&gt;&lt;R&gt;1&lt;/R&gt;&lt;C&gt;1&lt;/C&gt;&lt;D xsi:type="xsd:double"&gt;7.728827&lt;/D&gt;&lt;/FQL&gt;&lt;FQL&gt;&lt;Q&gt;URTH^FG_TOTAL_RETURNC(0,-3AM)&lt;/Q&gt;&lt;R&gt;1&lt;/R&gt;&lt;C&gt;1&lt;/C&gt;&lt;D xsi:type="xsd:double"&gt;9.46579&lt;/D&gt;&lt;/FQL&gt;&lt;FQL&gt;&lt;Q&gt;EWU^PERCENT_CHANGE(FMA_EPS(+1,0,,,,"PORTAGG","MEAN"),FMA_EPS(+1,-3AM,,,,"PORTAGG","MEAN"))&lt;/Q&gt;&lt;R&gt;1&lt;/R&gt;&lt;C&gt;1&lt;/C&gt;&lt;D xsi:type="xsd:double"&gt;-3.4784596665487&lt;/D&gt;&lt;/FQL&gt;&lt;FQL&gt;&lt;Q&gt;SPY^FG_PRICE_MAVG(0,,,,30)&lt;/Q&gt;&lt;R&gt;1&lt;/R&gt;&lt;C&gt;1&lt;/C&gt;&lt;D xsi:type="xsd:double"&gt;507.99734&lt;/D&gt;&lt;/FQL&gt;&lt;FQL&gt;&lt;Q&gt;USDITL^STD(FG_PRICE_CHANGE(0,-1AY,AM))&lt;/Q&gt;&lt;R&gt;1&lt;/R&gt;&lt;C&gt;1&lt;/C&gt;&lt;D xsi:type="xsd:double"&gt;1.64848043693628&lt;/D&gt;&lt;/FQL&gt;&lt;FQL&gt;&lt;Q&gt;EWN^FG_ROE(0)&lt;/Q&gt;&lt;R&gt;1&lt;/R&gt;&lt;C&gt;1&lt;/C&gt;&lt;D xsi:type="xsd:double"&gt;9.48984051932671&lt;/D&gt;&lt;/FQL&gt;&lt;FQL&gt;&lt;Q&gt;EWI^SIZE(FG_CONSTITUENTS)&lt;/Q&gt;&lt;R&gt;1&lt;/R&gt;&lt;C&gt;1&lt;/C&gt;&lt;D xsi:type="xsd:long"&gt;27&lt;/D&gt;&lt;/FQL&gt;&lt;FQL&gt;&lt;Q&gt;TRYBR10Y-FDS^FG_YIELD(-10AY,0,Y,,"YTM")&lt;/Q&gt;&lt;R&gt;10&lt;/R&gt;&lt;C&gt;1&lt;/C&gt;&lt;D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xsi:type="xsd:double"&gt;10.455909&lt;/D&gt;&lt;/FQL&gt;&lt;FQL&gt;&lt;Q&gt;ENZL^FG_PRICE_MAVG(0,,,,60)&lt;/Q&gt;&lt;R&gt;1&lt;/R&gt;&lt;C&gt;1&lt;/C&gt;&lt;D xsi:type="xsd:double"&gt;46.303833&lt;/D&gt;&lt;/FQL&gt;&lt;FQL&gt;&lt;Q&gt;EWG^FG_TOTAL_RETURNC(0,-3AM)&lt;/Q&gt;&lt;R&gt;1&lt;/R&gt;&lt;C&gt;1&lt;/C&gt;&lt;D xsi:type="xsd:double"&gt;5.991876&lt;/D&gt;&lt;/FQL&gt;&lt;FQL&gt;&lt;Q&gt;EWI^FMA_COS_UP("EPS","1M",+1,0,,,"PORTAGG","MEANR")&lt;/Q&gt;&lt;R&gt;1&lt;/R&gt;&lt;C&gt;1&lt;/C&gt;&lt;D xsi:type="xsd:double"&gt;14&lt;/D&gt;&lt;/FQL&gt;&lt;FQL&gt;&lt;Q&gt;EWL^FG_ROE(0)&lt;/Q&gt;&lt;R&gt;1&lt;/R&gt;&lt;C&gt;1&lt;/C&gt;&lt;D xsi:type="xsd:double"&gt;24.8262963603062&lt;/D&gt;&lt;/FQL&gt;&lt;FQL&gt;&lt;Q&gt;EWQ^FMA_PE(LTM,0,,,"PORTAGG","MEANR")&lt;/Q&gt;&lt;R&gt;1&lt;/R&gt;&lt;C&gt;1&lt;/C&gt;&lt;D xsi:type="xsd:double"&gt;17.0181544074463&lt;/D&gt;&lt;/FQL&gt;&lt;FQL&gt;&lt;Q&gt;ENZL^FG_FCF_YIELD_NTM(0)&lt;/Q&gt;&lt;R&gt;1&lt;/R&gt;&lt;C&gt;1&lt;/C&gt;&lt;D xsi:type="xsd:double"&gt;0.0866220172041076&lt;/D&gt;&lt;/FQL&gt;&lt;FQL&gt;&lt;Q&gt;EWU^FMA_EVAL_EBIT(LTMA,NOW,NOW,M,"PORTAGG","MEANR")&lt;/Q&gt;&lt;R&gt;1&lt;/R&gt;&lt;C&gt;1&lt;/C&gt;&lt;D xsi:type="xsd:double"&gt;10.4226221241625&lt;/D&gt;&lt;/FQL&gt;&lt;FQL&gt;&lt;Q&gt;EWU^FMA_DIV_YLD(NTMA,NOW,NOW,M,"PORTAGG","MEANR")&lt;/Q&gt;&lt;R&gt;1&lt;/R&gt;&lt;C&gt;1&lt;/C&gt;&lt;D xsi:type="xsd:double"&gt;4.20738012417827&lt;/D&gt;&lt;/FQL&gt;&lt;FQL&gt;&lt;Q&gt;EWN^FG_TOTAL_RETURNC(0,-12AM)&lt;/Q&gt;&lt;R&gt;1&lt;/R&gt;&lt;C&gt;1&lt;/C&gt;&lt;D xsi:type="xsd:double"&gt;23.475933&lt;/D&gt;&lt;/FQL&gt;&lt;FQL&gt;&lt;Q&gt;EWC^FG_TOTAL_RETURNC(0,-12AM)&lt;/Q&gt;&lt;R&gt;1&lt;/R&gt;&lt;C&gt;1&lt;/C&gt;&lt;D xsi:type="xsd:double"&gt;18.77557&lt;/D&gt;&lt;/FQL&gt;&lt;FQL&gt;&lt;Q&gt;EWU^FMA_PE(NTMA,0,,,"PORTAGG","MEANR")&lt;/Q&gt;&lt;R&gt;1&lt;/R&gt;&lt;C&gt;1&lt;/C&gt;&lt;D xsi:type="xsd:double"&gt;11.2494469954474&lt;/D&gt;&lt;/FQL&gt;&lt;FQL&gt;&lt;Q&gt;TRYJP10Y-FDS^PCTCHG(FG_YIELD(0,,,,"YTM"),FG_YIELD(-1AM,,,,"YTM"))&lt;/Q&gt;&lt;R&gt;1&lt;/R&gt;&lt;C&gt;1&lt;/C&gt;&lt;D xsi:type="xsd:double"&gt;1.2258935&lt;/D&gt;&lt;/FQL&gt;&lt;FQL&gt;&lt;Q&gt;CAGDPY@IT^EE_ACTUAL_ANNUAL(MED,+1)&lt;/Q&gt;&lt;R&gt;1&lt;/R&gt;&lt;C&gt;1&lt;/C&gt;&lt;D xsi:type="xsd:double"&gt;0.85&lt;/D&gt;&lt;/FQL&gt;&lt;FQL&gt;&lt;Q&gt;EWI^FMA_EVAL_EBITDA(NTMA,0,,,"PORTAGG","MEANR")&lt;/Q&gt;&lt;R&gt;1&lt;/R&gt;&lt;C&gt;1&lt;/C&gt;&lt;D xsi:type="xsd:double"&gt;7.43065415984221&lt;/D&gt;&lt;/FQL&gt;&lt;FQL&gt;&lt;Q&gt;PLATI-FDS^MAX(FG_PRICE(0,-5AY))&lt;/Q&gt;&lt;R&gt;1&lt;/R&gt;&lt;C&gt;1&lt;/C&gt;&lt;D xsi:type="xsd:double"&gt;1272.59&lt;/D&gt;&lt;/FQL&gt;&lt;FQL&gt;&lt;Q&gt;EWN^FMA_PE(NTMA,0,,,"PORTAGG","MEANR")&lt;/Q&gt;&lt;R&gt;1&lt;/R&gt;&lt;C&gt;1&lt;/C&gt;&lt;D xsi:type="xsd:double"&gt;16.0186150181719&lt;/D&gt;&lt;/FQL&gt;&lt;FQL&gt;&lt;Q&gt;USDITL^STD(FG_PRICE_CHANGE(0,-3AY,M))&lt;/Q&gt;&lt;R&gt;1&lt;/R&gt;&lt;C&gt;1&lt;/C&gt;&lt;D xsi:type="xsd:double"&gt;2.27878559120409&lt;/D&gt;&lt;/FQL&gt;&lt;FQL&gt;&lt;Q&gt;VGK^FMA_COS_DOWN("EPS","1M",+1,0,,,"PORTAGG","MEANR")&lt;/Q&gt;&lt;R&gt;1&lt;/R&gt;&lt;C&gt;1&lt;/C&gt;&lt;D xsi:type="xsd:double"&gt;546&lt;/D&gt;&lt;/FQL&gt;&lt;FQL&gt;&lt;Q&gt;EWI^FMA_DIV_YLD(NTMA,-10AY,0,AM,"PORTAGG","MEANR")&lt;/Q&gt;&lt;R&gt;121&lt;/R&gt;&lt;C&gt;1&lt;/C&gt;&lt;D xsi:type="xsd:double"&gt;3.43324785410699&lt;/D&gt;&lt;D xsi:type="xsd:double"&gt;3.42867849373665&lt;/D&gt;&lt;D xsi:type="xsd:double"&gt;3.60291381532912&lt;/D&gt;&lt;D xsi:type="xsd:double"&gt;3.40511777605435&lt;/D&gt;&lt;D xsi:type="xsd:double"&gt;3.54236787126486&lt;/D&gt;&lt;D xsi:type="xsd:double"&gt;3.6509729400533&lt;/D&gt;&lt;D xsi:type="xsd:double"&gt;3.5500979658325&lt;/D&gt;&lt;D xsi:type="xsd:double"&gt;4.01381318151463&lt;/D&gt;&lt;D xsi:type="xsd:double"&gt;3.85010389528602&lt;/D&gt;&lt;D xsi:type="xsd:double"&gt;4.0599271851668&lt;/D&gt;&lt;D xsi:type="xsd:double"&gt;3.91341611082224&lt;/D&gt;&lt;D xsi:type="xsd:double"&gt;3.49670359845252&lt;/D&gt;&lt;D xsi:type="xsd:double"&gt;3.10432585262074&lt;/D&gt;&lt;D xsi:type="xsd:double"&gt;3.14332257437835&lt;/D&gt;&lt;D xsi:type="xsd:double"&gt;3.13799842066124&lt;/D&gt;&lt;D xsi:type="xsd:double"&gt;3.34044048343096&lt;/D&gt;&lt;D xsi:type="xsd:double"&gt;3.16229695847999&lt;/D&gt;&lt;D xsi:type="xsd:double"&gt;3.39851660392416&lt;/D&gt;&lt;D xsi:type="xsd:double"&gt;3.43693647415685&lt;/D&gt;&lt;D xsi:type="xsd:double"&gt;3.58633775115366&lt;/D&gt;&lt;D xsi:type="xsd:double"&gt;3.63258855641483&lt;/D&gt;&lt;D xsi:type="xsd:double"&gt;3.87529951748977&lt;/D&gt;&lt;D xsi:type="xsd:double"&gt;4.41243479008105&lt;/D&gt;&lt;D xsi:type="xsd:double"&gt;4.71852754381658&lt;/D&gt;&lt;D xsi:type="xsd:double"&gt;4.23031865313178&lt;/D&gt;&lt;D xsi:type="xsd:double"&gt;4.27944351407899&lt;/D&gt;&lt;D xsi:type="xsd:double"&gt;4.52920715687063&lt;/D&gt;&lt;D xsi:type="xsd:double"&gt;4.71219477816924&lt;/D&gt;&lt;D xsi:type="xsd:double"&gt;4.74301799757567&lt;/D&gt;&lt;D xsi:type="xsd:double"&gt;4.87853697021189&lt;/D&gt;&lt;D xsi:type="xsd:double"&gt;4.97837895288174&lt;/D&gt;&lt;D xsi:type="xsd:double"</t>
        </r>
      </text>
    </comment>
    <comment ref="A14" authorId="0" shapeId="0" xr:uid="{697D4C5F-D5B8-484F-B216-EFCBD2399849}">
      <text>
        <r>
          <rPr>
            <b/>
            <sz val="9"/>
            <color indexed="81"/>
            <rFont val="Tahoma"/>
            <charset val="1"/>
          </rPr>
          <t>&gt;4.78672542112014&lt;/D&gt;&lt;D xsi:type="xsd:double"&gt;4.8849300956209&lt;/D&gt;&lt;D xsi:type="xsd:double"&gt;4.28339085612905&lt;/D&gt;&lt;D xsi:type="xsd:double"&gt;4.30977014940966&lt;/D&gt;&lt;D xsi:type="xsd:double"&gt;4.4314482263472&lt;/D&gt;&lt;D xsi:type="xsd:double"&gt;4.01093193344722&lt;/D&gt;&lt;D xsi:type="xsd:double"&gt;4.07307281644726&lt;/D&gt;&lt;D xsi:type="xsd:double"&gt;3.76622501860903&lt;/D&gt;&lt;D xsi:type="xsd:double"&gt;3.78059234647177&lt;/D&gt;&lt;D xsi:type="xsd:double"&gt;3.80310760004875&lt;/D&gt;&lt;D xsi:type="xsd:double"&gt;3.77246286917437&lt;/D&gt;&lt;D xsi:type="xsd:double"&gt;3.69277373400185&lt;/D&gt;&lt;D xsi:type="xsd:double"&gt;3.83362747327975&lt;/D&gt;&lt;D xsi:type="xsd:double"&gt;3.89267841874735&lt;/D&gt;&lt;D xsi:type="xsd:double"&gt;3.90818929124916&lt;/D&gt;&lt;D xsi:type="xsd:double"&gt;3.7203720386062&lt;/D&gt;&lt;D xsi:type="xsd:double"&gt;3.95737049017277&lt;/D&gt;&lt;D xsi:type="xsd:double"&gt;4.02833200479603&lt;/D&gt;&lt;D xsi:type="xsd:double"&gt;3.89533415311419&lt;/D&gt;&lt;D xsi:type="xsd:double"&gt;4.09470268954962&lt;/D&gt;&lt;D xsi:type="xsd:double"&gt;4.47104926488701&lt;/D&gt;&lt;D xsi:type="xsd:double"&gt;4.45600351132&lt;/D&gt;&lt;D xsi:type="xsd:double"&gt;4.62441345870191&lt;/D&gt;&lt;D xsi:type="xsd:double"&gt;4.51950342756652&lt;/D&gt;&lt;D xsi:type="xsd:double"&gt;5.0843456906451&lt;/D&gt;&lt;D xsi:type="xsd:double"&gt;5.20530735260826&lt;/D&gt;&lt;D xsi:type="xsd:double"&gt;5.39738084223837&lt;/D&gt;&lt;D xsi:type="xsd:double"&gt;5.07212143979012&lt;/D&gt;&lt;D xsi:type="xsd:double"&gt;4.91433101548388&lt;/D&gt;&lt;D xsi:type="xsd:double"&gt;4.66814709599497&lt;/D&gt;&lt;D xsi:type="xsd:double"&gt;4.60895623624655&lt;/D&gt;&lt;D xsi:type="xsd:double"&gt;4.90637586913584&lt;/D&gt;&lt;D xsi:type="xsd:double"&gt;4.78640494717272&lt;/D&gt;&lt;D xsi:type="xsd:double"&gt;4.76715450636307&lt;/D&gt;&lt;D xsi:type="xsd:double"&gt;4.98648841828808&lt;/D&gt;&lt;D xsi:type="xsd:double"&gt;4.72233319918419&lt;/D&gt;&lt;D xsi:type="xsd:double"&gt;4.6775892390457&lt;/D&gt;&lt;D xsi:type="xsd:double"&gt;4.58942668086379&lt;/D&gt;&lt;D xsi:type="xsd:double"&gt;4.3954153227492&lt;/D&gt;&lt;D xsi:type="xsd:double"&gt;4.45993225837051&lt;/D&gt;&lt;D xsi:type="xsd:double"&gt;4.47502496779332&lt;/D&gt;&lt;D xsi:type="xsd:double"&gt;6.74798596369345&lt;/D&gt;&lt;D xsi:type="xsd:double"&gt;5.9742970351768&lt;/D&gt;&lt;D xsi:type="xsd:double"&gt;5.04231249307284&lt;/D&gt;&lt;D xsi:type="xsd:double"&gt;4.2574712140504&lt;/D&gt;&lt;D xsi:type="xsd:double"&gt;4.15881294709843&lt;/D&gt;&lt;D xsi:type="xsd:double"&gt;4.00362524036283&lt;/D&gt;&lt;D xsi:type="xsd:double"&gt;4.2564986115787&lt;/D&gt;&lt;D xsi:type="xsd:double"&gt;4.23033133271384&lt;/D&gt;&lt;D xsi:type="xsd:double"&gt;3.93467199308814&lt;/D&gt;&lt;D xsi:type="xsd:double"&gt;4.06730488430358&lt;/D&gt;&lt;D xsi:type="xsd:double"&gt;4.00505025396856&lt;/D&gt;&lt;D xsi:type="xsd:double"&gt;4.04696383478286&lt;/D&gt;&lt;D xsi:type="xsd:double"&gt;4.04216637835852&lt;/D&gt;&lt;D xsi:type="xsd:double"&gt;4.16879374338176&lt;/D&gt;&lt;D xsi:type="xsd:double"&gt;4.15366320886539&lt;/D&gt;&lt;D xsi:type="xsd:double"&gt;4.08940921038553&lt;/D&gt;&lt;D xsi:type="xsd:double"&gt;4.31076175313574&lt;/D&gt;&lt;D xsi:type="xsd:double"&gt;4.38824167430398&lt;/D&gt;&lt;D xsi:type="xsd:double"&gt;4.61178587912052&lt;/D&gt;&lt;D xsi:type="xsd:double"&gt;4.38791818283093&lt;/D&gt;&lt;D xsi:type="xsd:double"&gt;4.37874939712838&lt;/D&gt;&lt;D xsi:type="xsd:double"&gt;4.69181207509811&lt;/D&gt;&lt;D xsi:type="xsd:double"&gt;4.70647427123216&lt;/D&gt;&lt;D xsi:type="xsd:double"&gt;4.87962721588193&lt;/D&gt;&lt;D xsi:type="xsd:double"&gt;5.21125910261504&lt;/D&gt;&lt;D xsi:type="xsd:double"&gt;5.07144889190789&lt;/D&gt;&lt;D xsi:type="xsd:double"&gt;5.1889827154196&lt;/D&gt;&lt;D xsi:type="xsd:double"&gt;5.76059363055709&lt;/D&gt;&lt;D xsi:type="xsd:double"&gt;6.0185931048728&lt;/D&gt;&lt;D xsi:type="xsd:double"&gt;5.64977958550117&lt;/D&gt;&lt;D xsi:type="xsd:double"&gt;5.68467466951012&lt;/D&gt;&lt;D xsi:type="xsd:double"&gt;6.00453404510024&lt;/D&gt;&lt;D xsi:type="xsd:double"&gt;5.51843349080965&lt;/D&gt;&lt;D xsi:type="xsd:double"&gt;5.83534080564625&lt;/D&gt;&lt;D xsi:type="xsd:double"&gt;5.48430925383499&lt;/D&gt;&lt;D xsi:type="xsd:double"&gt;5.46088345434964&lt;/D&gt;&lt;D xsi:type="xsd:double"&gt;5.53950479752024&lt;/D&gt;&lt;D xsi:type="xsd:double"&gt;5.31556047976343&lt;/D&gt;&lt;D xsi:type="xsd:double"&gt;5.52644051964715&lt;/D&gt;&lt;D xsi:type="xsd:double"&gt;5.39395635632434&lt;/D&gt;&lt;D xsi:type="xsd:double"&gt;5.21068288834228&lt;/D&gt;&lt;D xsi:type="xsd:double"&gt;5.63039570921773&lt;/D&gt;&lt;D xsi:type="xsd:double"&gt;5.42508263067365&lt;/D&gt;&lt;D xsi:type="xsd:double"&gt;5.73924529524308&lt;/D&gt;&lt;D xsi:type="xsd:double"&gt;5.54935016857322&lt;/D&gt;&lt;D xsi:type="xsd:double"&gt;5.4845839095673&lt;/D&gt;&lt;D xsi:type="xsd:double"&gt;5.45869044055583&lt;/D&gt;&lt;D xsi:type="xsd:double"&gt;5.38090096941979&lt;/D&gt;&lt;D xsi:type="xsd:double"&gt;5.11910569414866&lt;/D&gt;&lt;/FQL&gt;&lt;FQL&gt;&lt;Q&gt;COPP-FDS^FG_PRICE(0)/MAX(FG_PRICE(0,-1AY))&lt;/Q&gt;&lt;R&gt;1&lt;/R&gt;&lt;C&gt;1&lt;/C&gt;&lt;D xsi:type="xsd:double"&gt;0.976000964785335&lt;/D&gt;&lt;/FQL&gt;&lt;FQL&gt;&lt;Q&gt;EWI^FMA_PCT_ABOVE_MAVG(200,0,,,,"PORTAGG")&lt;/Q&gt;&lt;R&gt;1&lt;/R&gt;&lt;C&gt;1&lt;/C&gt;&lt;D xsi:type="xsd:double"&gt;72&lt;/D&gt;&lt;/FQL&gt;&lt;FQL&gt;&lt;Q&gt;EWU^SIZE(FG_CONSTITUENTS)&lt;/Q&gt;&lt;R&gt;1&lt;/R&gt;&lt;C&gt;1&lt;/C&gt;&lt;D xsi:type="xsd:long"&gt;85&lt;/D&gt;&lt;/FQL&gt;&lt;FQL&gt;&lt;Q&gt;EWJ^FG_ROE(0)&lt;/Q&gt;&lt;R&gt;1&lt;/R&gt;&lt;C&gt;1&lt;/C&gt;&lt;D xsi:type="xsd:double"&gt;9.82410459469341&lt;/D&gt;&lt;/FQL&gt;&lt;FQL&gt;&lt;Q&gt;REFNZOCR-FDS^(SUBARRAY(NOT_NA(NO_REPEAT_F(FG_YIELD(NOW,-10AY,D))),0,1)-SUBARRAY(NOT_NA(NO_REPEAT_F(FG_YIELD(NOW,-10AY,D))),1,1))*100&lt;/Q&gt;&lt;R&gt;1&lt;/R&gt;&lt;C&gt;1&lt;/C&gt;&lt;D xsi:type="xsd:double"&gt;25&lt;/D&gt;&lt;/FQL&gt;&lt;FQL&gt;&lt;Q&gt;CC_GB^IMF_IFS_RCPI_Q(0)&lt;/Q&gt;&lt;R&gt;1&lt;/R&gt;&lt;C&gt;1&lt;/C&gt;&lt;D xsi:type="xsd:double"&gt;4.3536315&lt;/D&gt;&lt;/FQL&gt;&lt;FQL&gt;&lt;Q&gt;EWQ^JULIAN(FMA_DIV_YLD(NTMA,NOW,NOW,M,"PORTAGG","MEANR").DATES)&lt;/Q&gt;&lt;R&gt;1&lt;/R&gt;&lt;C&gt;1&lt;/C&gt;&lt;D xsi:type="xsd:long"&gt;45351&lt;/D&gt;&lt;/FQL&gt;&lt;FQL&gt;&lt;Q&gt;ENZL^FMA_DIV_YLD(NTMA,NOW,NOW,M,"PORTAGG","MEANR")&lt;/Q&gt;&lt;R&gt;1&lt;/R&gt;&lt;C&gt;1&lt;/C&gt;&lt;D xsi:type="xsd:double"&gt;2.89713443638978&lt;/D&gt;&lt;/FQL&gt;&lt;FQL&gt;&lt;Q&gt;EWG^PERCENT_CHANGE(FMA_EPS(+1,0,,,,"PORTAGG","MEAN"),FMA_EPS(+1,-3AM,,,,"PORTAGG","MEAN"))&lt;/Q&gt;&lt;R&gt;1&lt;/R&gt;&lt;C&gt;1&lt;/C&gt;&lt;D xsi:type="xsd:double"&gt;-5.46254595971089&lt;/D&gt;&lt;/FQL&gt;&lt;FQL&gt;&lt;Q&gt;TLT^FG_TOTAL_RETURNC(0,-6AM)&lt;/Q&gt;&lt;R&gt;1&lt;/R&gt;&lt;C&gt;1&lt;/C&gt;&lt;D xsi:type="xsd:double"&gt;4.6120644&lt;/D&gt;&lt;/FQL&gt;&lt;FQL&gt;&lt;Q&gt;FXI^FG_TOTAL_RETURNC(0,-12AM)&lt;/Q&gt;&lt;R&gt;1&lt;/R&gt;&lt;C&gt;1&lt;/C&gt;&lt;D xsi:type="xsd:double"&gt;-11.382109&lt;/D&gt;&lt;/FQL&gt;&lt;FQL&gt;&lt;Q&gt;EWI^FG_FCF_YIELD_NTM(0)&lt;/Q&gt;&lt;R&gt;1&lt;/R&gt;&lt;C&gt;1&lt;/C&gt;&lt;D xsi:type="xsd:double"&gt;6.21791282743706&lt;/D&gt;&lt;/FQL&gt;&lt;FQL&gt;&lt;Q&gt;VGK^FMA_COS_UP("EPS","1M",+1,0,,,"PORTAGG","MEANR")&lt;/Q&gt;&lt;R&gt;1&lt;/R&gt;&lt;C&gt;1&lt;/C&gt;&lt;D xsi:type="xsd:double"&gt;432&lt;/D&gt;&lt;/FQL&gt;&lt;FQL&gt;&lt;Q&gt;EWN^JULIAN(FMA_DIV_YLD(NTMA,NOW,NOW,M,"PORTAGG","MEANR").DATES)&lt;/Q&gt;&lt;R&gt;1&lt;/R&gt;&lt;C&gt;1&lt;/C&gt;&lt;D xsi:type="xsd:long"&gt;45351&lt;/D&gt;&lt;/FQL&gt;&lt;FQL&gt;&lt;Q&gt;REFCATARG-FDS^(SUBARRAY(NOT_NA(NO_REPEAT_F(FG_YIELD(NOW,-10AY,D))),0,1)-SUBARRAY(NOT_NA(NO_REPEAT_F(FG_YIELD(NOW,-10AY,D))),1,1))*100&lt;/Q&gt;&lt;R&gt;1&lt;/R&gt;&lt;C&gt;1&lt;/C&gt;&lt;D xsi:type="xsd:double"&gt;25&lt;/D&gt;&lt;/FQL&gt;&lt;FQL&gt;&lt;Q&gt;TRYVN10Y-FDS^FG_YIELD(-10AY,0,Y,,"YTM")&lt;/Q&gt;&lt;R&gt;10&lt;/R&gt;&lt;C&gt;1&lt;/C&gt;&lt;D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xsi:type="xsd:double"&gt;2.9473283&lt;/D&gt;&lt;/FQL&gt;&lt;FQL&gt;&lt;Q&gt;ENZL^FG_PRICE_MAVG(0,,,,30)&lt;/Q&gt;&lt;R&gt;1&lt;/R&gt;&lt;C&gt;1&lt;/C&gt;&lt;D xsi:type="xsd:double"&gt;45.4425&lt;/D&gt;&lt;/FQL&gt;&lt;FQL&gt;&lt;Q&gt;EWG^FG_TOTAL_RETURNC(0,-1AM)&lt;/Q&gt;&lt;R&gt;1&lt;/R&gt;&lt;C&gt;1&lt;/C&gt;&lt;D xsi:type="xsd:double"&gt;5.385399&lt;/D&gt;&lt;/FQL&gt;&lt;FQL&gt;&lt;Q&gt;REFNZOCR-FDS^FG_YIELD(NOW,,,0)&lt;/Q&gt;&lt;R&gt;1&lt;/R&gt;&lt;C&gt;1&lt;/C&gt;&lt;D xsi:type="xsd:double"&gt;5.5&lt;/D&gt;&lt;/FQL&gt;&lt;FQL&gt;&lt;Q&gt;QQQ^FMA_PE(LTM,0,,,"PORTAGG","MEANR")&lt;/Q&gt;&lt;R&gt;1&lt;/R&gt;&lt;C&gt;1&lt;/C&gt;&lt;D xsi:type="xsd:double"&gt;34.578969755343&lt;/D&gt;&lt;/FQL&gt;&lt;FQL&gt;&lt;Q&gt;ENZL^FMA_PE(NTMA,0,,,"PORTAGG","MEANR")&lt;/Q&gt;&lt;R&gt;1&lt;/R&gt;&lt;C&gt;1&lt;/C&gt;&lt;D xsi:type="xsd:double"&gt;24.7288747400243&lt;/D&gt;&lt;/FQL&gt;&lt;FQL&gt;&lt;Q&gt;CC_JP^IMF_IFS_RCPI_Q(0)&lt;/Q&gt;&lt;R&gt;1&lt;/R&gt;&lt;C&gt;1&lt;/C&gt;&lt;D xsi:type="xsd:double"&gt;2.9194753&lt;/D&gt;&lt;/FQL&gt;&lt;FQL&gt;&lt;Q&gt;EWD^P_PRICE(0)/P_PRICE_HIGH_PR(0,,,USD,,,"PRICE","INTRA","52W")&lt;/Q&gt;&lt;R&gt;1&lt;/R&gt;&lt;C&gt;1&lt;/C&gt;&lt;D xsi:type="xsd:double"&gt;0.98845047&lt;/D&gt;&lt;/FQL&gt;&lt;FQL&gt;&lt;Q&gt;EWU^FG_FCF_YIELD_NTM(0)&lt;/Q&gt;&lt;R&gt;1&lt;/R&gt;&lt;C&gt;1&lt;/C&gt;&lt;D xsi:type="xsd:double"&gt;6.36977338910678&lt;/D&gt;&lt;/FQL&gt;&lt;FQL&gt;&lt;Q&gt;TLT^FG_TOTAL_RETURNC(0,-3AM)&lt;/Q&gt;&lt;R&gt;1&lt;/R&gt;&lt;C&gt;1&lt;/C&gt;&lt;D xsi:type="xsd:double"&gt;-5.3111258&lt;/D&gt;&lt;/FQL&gt;&lt;FQL&gt;&lt;Q&gt;TLT^FG_TOTAL_RETURNC(0,-1AM)&lt;/Q&gt;&lt;R&gt;1&lt;/R&gt;&lt;C&gt;1&lt;/C&gt;&lt;D xsi:type="xsd:double"&gt;1.3028026&lt;/D&gt;&lt;/FQL&gt;&lt;FQL&gt;&lt;Q&gt;EWG^SIZE(FG_CONSTITUENTS)&lt;/Q&gt;&lt;R&gt;1&lt;/R&gt;&lt;C&gt;1&lt;/C&gt;&lt;D xsi:type="xsd:long"&gt;57&lt;/D&gt;&lt;/FQL&gt;&lt;FQL&gt;&lt;Q&gt;UUP^P_PRICE(0)/P_PRICE_HIGH_PR(0,,,USD,,,"PRICE","INTRA","52W")&lt;/Q&gt;&lt;R&gt;1&lt;/R&gt;&lt;C&gt;1&lt;/C&gt;&lt;D xsi:type="xsd:double"&gt;0.9338637&lt;/D&gt;&lt;/FQL&gt;&lt;FQL&gt;&lt;Q&gt;UUP^FG_TOTAL_RETURNC(0,-3AM)&lt;/Q&gt;&lt;R&gt;1&lt;/R&gt;&lt;C&gt;1&lt;/C&gt;&lt;D xsi:type="xsd:double"&gt;3.71871&lt;/D&gt;&lt;/FQL&gt;&lt;FQL&gt;&lt;Q&gt;EWU^FMA_EPS(NTMA,-20AY,0,CY,,"PORTAGG","MEANR")&lt;/Q&gt;&lt;R&gt;20&lt;/R&gt;&lt;C&gt;1&lt;/C&gt;&lt;D xsi:type="xsd:double"&gt;2.78829402631307&lt;/D&gt;&lt;D xsi:type="xsd:double"&gt;2.94932484667975&lt;/D&gt;&lt;D xsi:type="xsd:double"&gt;3.75488864741091&lt;/D&gt;&lt;D xsi:type="xsd:double"&gt;4.07523919059458&lt;/D&gt;&lt;D xsi:type="xsd:double"&gt;2.818707383858&lt;/D&gt;&lt;D xsi:type="xsd:double"&gt;2.6972177795125&lt;/D&gt;&lt;D xsi:type="xsd:double"&gt;3.36495665882676&lt;/D&gt;&lt;D xsi:type="xsd:double"&gt;3.43468170545609&lt;/D&gt;&lt;D xsi:type="xsd:double"&gt;3.30605625416888&lt;/D&gt;&lt;D xsi:type="xsd:double"&gt;3.23218168522276&lt;/D&gt;&lt;D xsi:type="xsd:double"&gt;2.60589751741525&lt;/D&gt;&lt;D xsi:type="xsd:double"&gt;2.12294202915382&lt;/D&gt;&lt;D xsi:type="xsd:double"&gt;2.123898319152&lt;/D&gt;&lt;D xsi:type="xsd:double"&gt;2.42405089418043&lt;/D&gt;&lt;D xsi:type="xsd:double"&gt;2.57732227429949&lt;/D&gt;&lt;D xsi:type="xsd:double"&gt;2.53485794961448&lt;/D&gt;&lt;D xsi:type="xsd:double"&gt;2.03463841368045&lt;/D&gt;&lt;D xsi:type="xsd:double"&gt;2.71427224666172&lt;/D&gt;&lt;D xsi:type="xsd:double"&gt;3.12760120843659&lt;/D&gt;&lt;D xsi:type="xsd:double"&gt;3.00523278574567&lt;/D&gt;&lt;/FQL&gt;&lt;FQL&gt;&lt;Q&gt;EWD^FG_TOTAL_RETURNC(0,-12AM)&lt;/Q&gt;&lt;R&gt;1&lt;/R&gt;&lt;C&gt;1&lt;/C&gt;&lt;D xsi:type="xsd:double"&gt;22.403145&lt;/D&gt;&lt;/FQL&gt;&lt;FQL&gt;&lt;Q&gt;EWU^FMA_COS_DOWN("EPS","1M",+1,0,,,"PORTAGG","MEANR")&lt;/Q&gt;&lt;R&gt;1&lt;/R&gt;&lt;C&gt;1&lt;/C&gt;&lt;D xsi:type="xsd:double"&gt;42&lt;/D&gt;&lt;/FQL&gt;&lt;FQL&gt;&lt;Q&gt;CC_CH^IMF_IFS_RCPI_Q(0)&lt;/Q&gt;&lt;R&gt;1&lt;/R&gt;&lt;C&gt;1&lt;/C&gt;&lt;D xsi:type="xsd:double"&gt;1.6172575&lt;/D&gt;&lt;/FQL&gt;&lt;FQL&gt;&lt;Q&gt;QQQ^JULIAN(FMA_DIV_YLD(NTMA,NOW,NOW,M,"PORTAGG","MEANR").DATES)&lt;/Q&gt;&lt;R&gt;1&lt;/R&gt;&lt;C&gt;1&lt;/C&gt;&lt;D xsi:type="xsd:long"&gt;45351&lt;/D&gt;&lt;/FQL&gt;&lt;FQL&gt;&lt;Q&gt;ENZL^FMA_PE(LTM,0,,,"PORTAGG","MEANR")&lt;/Q&gt;&lt;R&gt;1&lt;/R&gt;&lt;C&gt;1&lt;/C&gt;&lt;D xsi:type="xsd:double"&gt;29.2477735958567&lt;/D&gt;&lt;/FQL&gt;&lt;FQL&gt;&lt;Q&gt;REFNZOCR-FDS^PROPER_NAME(0,,,"SECURITY","NAME")&lt;/Q&gt;&lt;R&gt;1&lt;/R&gt;&lt;C&gt;1&lt;/C&gt;&lt;D xsi:type="xsd:string"&gt;New Zealand Official Cash Rate&lt;/D&gt;&lt;/FQL&gt;&lt;FQL&gt;&lt;Q&gt;EWU^FMA_EVAL_EBITDA(NTMA,0,,,"PORTAGG","MEANR")&lt;/Q&gt;&lt;R&gt;1&lt;/R&gt;&lt;C&gt;1&lt;/C&gt;&lt;D xsi:type="xsd:double"&gt;7.37424070244517&lt;/D&gt;&lt;/FQL&gt;&lt;FQL&gt;&lt;Q&gt;EWL^FMA_COS_UP("EPS","1M",+1,0,,,"PORTAGG","MEANR")&lt;/Q&gt;&lt;R&gt;1&lt;/R&gt;&lt;C&gt;1&lt;/C&gt;&lt;D xsi:type="xsd:double"&gt;15&lt;/D&gt;&lt;/FQL&gt;&lt;FQL&gt;&lt;Q&gt;TRYCH10Y-FDS^PCTCHG(FG_YIELD(0,,,,"YTM"),FG_YIELD(-1AM,,,,"YTM"))&lt;/Q&gt;&lt;R&gt;1&lt;/R&gt;&lt;C&gt;1&lt;/C&gt;&lt;D xsi:type="xsd:double"&gt;-24.65596&lt;/D&gt;&lt;/FQL&gt;&lt;FQL&gt;&lt;Q&gt;EWU^FMA_PE(LTMA,-10AY,0,AM,"PORTAGG","MEANR")&lt;/Q&gt;&lt;R&gt;121&lt;/R&gt;&lt;C&gt;1&lt;/C&gt;&lt;D xsi:type="xsd:double"&gt;14.2699232227628&lt;/D&gt;&lt;D xsi:type="xsd:double"&gt;14.2833209833486&lt;/D&gt;&lt;D xsi:type="xsd:double"&gt;14.388811469666&lt;/D&gt;&lt;D xsi:type="xsd:double"&gt;14.4030494404575&lt;/D&gt;&lt;D xsi:type="xsd:double"&gt;14.3183181174234&lt;/D&gt;&lt;D xsi:type="xsd:double"&gt;14.2414919820199&lt;/D&gt;&lt;D xsi:type="xsd:double"&gt;14.2481092468444&lt;/D&gt;&lt;D xsi:type="xsd:double"&gt;13.5246065410511&lt;/D&gt;&lt;D xsi:type="xsd:double"&gt;14.0621161887228&lt;/D&gt;&lt;D xsi:type="xsd:double"&gt;13.7647218075741&lt;/D&gt;&lt;D xsi:type="xsd:double"&gt;14.0324867471459&lt;/D&gt;&lt;D xsi:type="xsd:double"&gt;14.7850675997271&lt;/D&gt;&lt;D xsi:type="xsd:double"&gt;15.2963906059173&lt;/D&gt;&lt;D xsi:type="xsd:double"&gt;15.5659672886925&lt;/D&gt;&lt;D xsi:type="xsd:double"&gt;15.7938477606941&lt;/D&gt;&lt;D xsi:type="xsd:double"&gt;15.640266193325&lt;/D&gt;&lt;D xsi:type="xsd:double"&gt;15.7968412641651&lt;/D&gt;&lt;D xsi:type="xsd:double"&gt;15.0825483082746&lt;/D&gt;&lt;D xsi:type="xsd:double"&gt;15.0731648460099&lt;/D&gt;&lt;D xsi:type="xsd:double"&gt;15.6904801501217&lt;/D&gt;&lt;D xsi:type="xsd:double"&gt;15.9193262308823&lt;/D&gt;&lt;D xsi:type="xsd:double"&gt;15.183373584555&lt;/D&gt;&lt;D xsi:type="xsd:double"&gt;14.4527691121823&lt;/D&gt;&lt;D xsi:type="xsd:double"&gt;14.8601274256764&lt;/D&gt;&lt;D xsi:type="xsd:double"&gt;15.7264683262006&lt;/D&gt;&lt;D xsi:type="xsd:double"&gt;16.0258837686862&lt;/D&gt;&lt;D xsi:type="xsd:double"&gt;15.8819323448025&lt;/D&gt;&lt;D xsi:type="xsd:double"&gt;16.1450891465846&lt;/D&gt;&lt;D xsi:type="xsd:double"&gt;16.5243487854319&lt;/D&gt;&lt;D xsi:type="xsd:double"&gt;16.921971703119&lt;/D&gt;&lt;D xsi:type="xsd:double"&gt;16.8843701508846&lt;/D&gt;&lt;D xsi:type="xsd:double"&gt;16.8933811123995&lt;/D&gt;&lt;D xsi:type="xsd:double"&gt;16.3681333918382&lt;/D&gt;&lt;D xsi:type="xsd:double"&gt;16.976231064995&lt;/D&gt;&lt;D xsi:type="xsd:double"&gt;17.0452062986645&lt;/D&gt;&lt;D xsi:type="xsd:double"&gt;17.198900251065&lt;/D&gt;&lt;D xsi:type="xsd:double"&gt;17.2247324516114&lt;/D&gt;&lt;D xsi:type="xsd:double"&gt;16.8648592560914&lt;/D&gt;&lt;D xsi:type="xsd:double"&gt;16.8685333334177&lt;/D&gt;&lt;D xsi:type="xsd:double"&gt;16.5071308127224&lt;/D&gt;&lt;D xsi:type="xsd:double"&gt;16.5060556827643&lt;/D&gt;&lt;D xsi:type="xsd:double"&gt;16.035741514827&lt;/D&gt;&lt;D xsi:type="xsd:double"&gt;15.824864671187&lt;/D&gt;&lt;D xsi:type="xsd:double"&gt;15.7460774217326&lt;/D&gt;&lt;D xsi:type="xsd:double"&gt;15.2555183149629&lt;/D&gt;&lt;D xsi:type="xsd:double"&gt;15.3735201980011&lt;/D&gt;&lt;D xsi:type="xsd:double"&gt;15.6400878940307&lt;/D&gt;&lt;D xsi:type="xsd:double"&gt;14.6166016606304&lt;/D&gt;&lt;D xsi:type="xsd:double"&gt;13.901066481637&lt;/D&gt;&lt;D xsi:type="xsd:double"&gt;14.003907992887&lt;/D&gt;&lt;D xsi:type="xsd:double"&gt;14.1650153332986&lt;/D&gt;&lt;D xsi:type="xsd:double"&gt;13.828459808332&lt;/D&gt;&lt;D xsi:type="xsd:double"&gt;13.8049141461879&lt;/D&gt;&lt;D xsi:type="xsd:double"&gt;13.6470104843322&lt;/D&gt;&lt;D xsi:type="xsd:double"&gt;13.6282517354131&lt;/D&gt;&lt;D xsi:type="xsd:double"&gt;12.9267011028718&lt;/D&gt;&lt;D xsi:type="xsd:double"&gt;12.7058277710016&lt;/D&gt;&lt;D xsi:type="xsd:double"&gt;11.9906287576816&lt;/D&gt;&lt;D xsi:type="xsd:double"&gt;12.4611106427725&lt;/D&gt;&lt;D xsi:type="xsd:double"&gt;13.0266009185568&lt;/D&gt;&lt;D xsi:type="xsd:double"&gt;12.987133091152&lt;/D&gt;&lt;D xsi:type="xsd:double"&gt;13.02155751431&lt;/D&gt;&lt;D xsi:type="xsd:double"&gt;12.9119353657794&lt;/D&gt;&lt;D xsi:type="xsd:double"&gt;13.0156240319932&lt;/D&gt;&lt;D xsi:type="xsd:double"&gt;13.1316287830605&lt;/D&gt;&lt;D xsi:type="xsd:double"&gt;12.7846884938972&lt;/D&gt;&lt;D xsi:type="xsd:double"&gt;13.1140073616252&lt;/D&gt;&lt;D xsi:type="xsd:double"&gt;13.1379710411633&lt;/D&gt;&lt;D xsi:type="xsd:double"&gt;13.2993102734628&lt;/D&gt;&lt;D xsi:type="xsd:double"&gt;14.0732282475819&lt;/D&gt;&lt;D xsi:type="xsd:double"&gt;14.2473143170491&lt;/D&gt;&lt;D xsi:type="xsd:double"&gt;13.9430074933538&lt;/D&gt;&lt;D xsi:type="xsd:double"&gt;11.9446441361683&lt;/D&gt;&lt;D xsi:type="xsd:double"&gt;12.9997368073691&lt;/D&gt;&lt;D xsi:type="xsd:double"&gt;14.2863036630346&lt;/D&gt;&lt;D xsi:type="xsd:double"&gt;15.1517499915493&lt;/D&gt;&lt;D xsi:type="xsd:double"&gt;15.7969031699308&lt;/D&gt;&lt;D xsi:type="xsd:double"&gt;16.2256480524817&lt;/D&gt;&lt;D xsi:type="xsd:double"&gt;16.4300292981322&lt;/D&gt;&lt;D xsi:type="xsd:double"&gt;16.7955793739981&lt;/D&gt;&lt;D xsi:type="xsd:double"&gt;18.4887121144813&lt;/D&gt;&lt;D xsi:type="xsd:double"&gt;19.1433761215218&lt;/D&gt;&lt;D xsi:type="xsd:double"&gt;20.1303898226739&lt;/D&gt;&lt;D xsi:type="xsd:double"&gt;19.5422144898892&lt;/D&gt;&lt;D xsi:type="xsd:double"&gt;18.5111741059031&lt;/D&gt;&lt;D xsi:type="xsd:double"&gt;17.8775963630925&lt;/D&gt;&lt;D xsi:type="xsd:double"&gt;17.3058429389823&lt;/D&gt;&lt;D xsi:type="xsd:double"&gt;16.671076943941&lt;/D&gt;&lt;D xsi:type="xsd:double"&gt;15.7390277332877&lt;/D&gt;&lt;D xsi:type="xsd:double"&gt;14.8867784515691&lt;/D&gt;&lt;D xsi:type="xsd:double"&gt;14.0626850288043&lt;/D&gt;&lt;D xsi:type="xsd:double"&gt;13.7585812102508&lt;/D&gt;&lt;D xsi:type="xsd:double"&gt;13.007379608172&lt;/D&gt;&lt;D xsi:type="xsd:double"&gt;12.2970799338696&lt;/D&gt;&lt;D xsi:type="xsd:double"&gt;12.5981269703659&lt;/D&gt;&lt;D xsi:type="xsd:double"&gt;12.6717691032586&lt;/D&gt;&lt;D xsi:type="xsd:double"&gt;12.4638614803423&lt;/D&gt;&lt;D xsi:type="xsd:double"&gt;12.2205618540007&lt;/D&gt;&lt;D xsi:type="xsd:double"&gt;11.7162820563367&lt;/D&gt;&lt;D xsi:type="xsd:double"&gt;11.2817019349014&lt;/D&gt;&lt;D xsi:type="xsd:double"&gt;10.9623231101553&lt;/D&gt;&lt;D xsi:type="xsd:double"&gt;10.7065616381169&lt;/D&gt;&lt;D xsi:type="xsd:double"&gt;9.953471522078&lt;/D&gt;&lt;D xsi:type="xsd:double"&gt;9.39905628033877&lt;/D&gt;&lt;D xsi:type="xsd:double"&gt;9.63428631538643&lt;/D&gt;&lt;D xsi:type="xsd:double"&gt;9.7152591414686&lt;/D&gt;&lt;D xsi:type="xsd:double"&gt;10.205065963585&lt;/D&gt;&lt;D xsi:type="xsd:double"&gt;10.4288491829256&lt;/D&gt;&lt;D xsi:type="xsd:double"&gt;10.1830989865402&lt;/D&gt;&lt;D xsi:type="xsd:double"&gt;10.4203535826868&lt;/D&gt;&lt;D xsi:type="xsd:double"&gt;10.3472443038836&lt;/D&gt;&lt;D xsi:type="xsd:double"&gt;10.3348882411099&lt;/D&gt;&lt;D xsi:type="xsd:double"&gt;10.5727313332613&lt;/D&gt;&lt;D xsi:type="xsd:double"&gt;10.3202108919414&lt;/D&gt;&lt;D xsi:type="xsd:double"&gt;10.6813178954995&lt;/D&gt;&lt;D xsi:type="xsd:double"&gt;10.3672499564389&lt;/D&gt;&lt;D xsi:type="xsd:double"&gt;10.7358182777769&lt;/D&gt;&lt;D xsi:type="xsd:double"&gt;11.1859289872827&lt;/D&gt;&lt;D xsi:type="xsd:double"&gt;10.9723282872387&lt;/D&gt;&lt;D xsi:type="xsd:double"&gt;11.4872198677348&lt;/D&gt;&lt;D xsi:type="xsd:double"&gt;11.4532600335288&lt;/D&gt;&lt;/FQL&gt;&lt;FQL&gt;&lt;Q&gt;EWU^FMA_PE(LTM,0,,,"PORTAGG","MEANR")&lt;/Q&gt;&lt;R&gt;1&lt;/R&gt;&lt;C&gt;1&lt;/C&gt;&lt;D xsi:type="xsd:double"&gt;10.5826970733082&lt;/D&gt;&lt;/FQL&gt;&lt;FQL&gt;&lt;Q&gt;TRYDE10Y-FDS^PCTCHG(FG_YIELD(0,,,,"YTM"),FG_YIELD(-3AM,,,,"YTM"))&lt;/Q&gt;&lt;R&gt;1&lt;/R&gt;&lt;C&gt;1&lt;/C&gt;&lt;D xsi:type="xsd:double"&gt;22.577368&lt;/D&gt;&lt;/FQL&gt;&lt;FQL&gt;&lt;Q&gt;EWN^FMA_PE(LTMA,-10AY,0,AM,"PORTAGG","MEANR")&lt;/Q&gt;&lt;R&gt;121&lt;/R&gt;&lt;C&gt;1&lt;/C&gt;&lt;D xsi:type="xsd:double"&gt;17.1818308807792&lt;/D&gt;&lt;D xsi:type="xsd:double"&gt;16.9654769013633&lt;/D&gt;&lt;D xsi:type="xsd:double"&gt;16.7868528687784&lt;/D&gt;&lt;D xsi:type="xsd:double"&gt;16.8408312215947&lt;/D&gt;&lt;D xsi:type="xsd:double"&gt;16.4593591373487&lt;/D&gt;&lt;D xsi:type="xsd:double"&gt;16.4731058677686&lt;/D&gt;&lt;D xsi:type="xsd:double"&gt;16.9123784655553&lt;/D&gt;&lt;D xsi:type="xsd:double"&gt;15.9748568263242&lt;/D&gt;&lt;D xsi:type="xsd:double"&gt;17.4715111028698&lt;/D&gt;&lt;D xsi:type="xsd:double"&gt;17.3590566291863&lt;/D&gt;&lt;D xsi:type="xsd:double"&gt;18.3050262091855&lt;/D&gt;&lt;D xsi:type="xsd:double"&gt;19.584008142256&lt;/D&gt;&lt;D xsi:type="xsd:double"&gt;20.0848867167422&lt;/D&gt;&lt;D xsi:type="xsd:double"&gt;19.8705120308958&lt;/D&gt;&lt;D xsi:type="xsd:double"&gt;19.626639450031&lt;/D&gt;&lt;D xsi:type="xsd:double"&gt;18.98907583947&lt;/D&gt;&lt;D xsi:type="xsd:double"&gt;19.2058670550724&lt;/D&gt;&lt;D xsi:type="xsd:double"&gt;17.5481571611308&lt;/D&gt;&lt;D xsi:type="xsd:double"&gt;17.0561552860145&lt;/D&gt;&lt;D xsi:type="xsd:double"&gt;17.1849261679769&lt;/D&gt;&lt;D xsi:type="xsd:double"&gt;18.1275193783847&lt;/D&gt;&lt;D xsi:type="xsd:double"&gt;16.7559804189623&lt;/D&gt;&lt;D xsi:type="xsd:double"&gt;15.5725963881873&lt;/D&gt;&lt;D xsi:type="xsd:double"&gt;16.0113035816168&lt;/D&gt;&lt;D xsi:type="xsd:double"&gt;16.4157280706104&lt;/D&gt;&lt;D xsi:type="xsd:double"&gt;16.3825692606233&lt;/D&gt;&lt;D xsi:type="xsd:double"&gt;16.1541283203753&lt;/D&gt;&lt;D xsi:type="xsd:double"&gt;15.998429941777&lt;/D&gt;&lt;D xsi:type="xsd:double"&gt;16.0878413667238&lt;/D&gt;&lt;D xsi:type="xsd:double"&gt;16.0569402728645&lt;/D&gt;&lt;D xsi:type="xsd:double"&gt;16.0269072235955&lt;/D&gt;&lt;D xsi:type="xsd:double"&gt;16.0136134366619&lt;/D&gt;&lt;D xsi:type="xsd:double"&gt;15.5892702564975&lt;/D&gt;&lt;D xsi:type="xsd:double"&gt;16.2750745405187&lt;/D&gt;&lt;D xsi:type="xsd:double"&gt;16.3081985563969&lt;/D&gt;&lt;D xsi:type="xsd:double"&gt;16.5377989193115&lt;/D&gt;&lt;D xsi:type="xsd:double"&gt;16.4950752684064&lt;/D&gt;&lt;D xsi:type="xsd:double"&gt;16.5682531792339&lt;/D&gt;&lt;D xsi:type="xsd:double"&gt;16.6915786424867&lt;/D&gt;&lt;D xsi:type="xsd:double"&gt;16.6653449178058&lt;/D&gt;&lt;D xsi:type="xsd:double"&gt;16.6358583319115&lt;/D&gt;&lt;D xsi:type="xsd:double"&gt;16.5657614449963&lt;/D&gt;&lt;D xsi:type="xsd:double"&gt;16.8121361894608&lt;/D&gt;&lt;D xsi:type="xsd:double"&gt;17.2264333759233&lt;/D&gt;&lt;D xsi:type="xsd:double"&gt;17.3136872947291&lt;/D&gt;&lt;D xsi:type="xsd:double"&gt;17.3429179551087&lt;/D&gt;&lt;D xsi:type="xsd:double"&gt;17.5685594248004&lt;/D&gt;&lt;D xsi:type="xsd:double"&gt;16.607270642898&lt;/D&gt;&lt;D xsi:type="xsd:double"&gt;16.6428761592258&lt;/D&gt;&lt;D xsi:type="xsd:double"&gt;16.5462702272462&lt;/D&gt;&lt;D xsi:type="xsd:double"&gt;16.6857199607424&lt;/D&gt;&lt;D xsi:type="xsd:double"&gt;16.5802608144705&lt;/D&gt;&lt;D xsi:type="xsd:double"&gt;16.8185489286458&lt;/D&gt;&lt;D xsi:type="xsd:double"&gt;16.553798183138&lt;/D&gt;&lt;D xsi:type="xsd:double"&gt;16.4566534785286&lt;/D&gt;&lt;D xsi:type="xsd:double"&gt;15.6406209447738&lt;/D&gt;&lt;D xsi:type="xsd:double"&gt;15.3097680644435&lt;/D&gt;&lt;D xsi:type="xsd:double"&gt;14.215783463118&lt;/D&gt;&lt;D xsi:type="xsd:double"&gt;14.9261238535329&lt;/D&gt;&lt;D xsi:type="xsd:double"&gt;16.0893605427932&lt;/D&gt;&lt;D xsi:type="xsd:double"&gt;16.1836064443905&lt;/D&gt;&lt;D xsi:type="xsd:double"&gt;16.3279970255819&lt;/D&gt;&lt;D xsi:type="xsd:double"&gt;16.1610477072597&lt;/D&gt;&lt;D xsi:type="xsd:double"&gt;16.3584421527124&lt;/D&gt;&lt;D xsi:type="xsd:double"&gt;16.5549481547219&lt;/D&gt;&lt;D xsi:type="xsd:double"&gt;16.4026986666787&lt;/D&gt;&lt;D xsi:type="xsd:double"&gt;17.1056623818539&lt;/D&gt;&lt;D xsi:type="xsd:double"&gt;17.2708647676061&lt;/D&gt;&lt;D xsi:type="xsd:double"&gt;17.7853072976358&lt;/D&gt;&lt;D xsi:type="xsd:double"&gt;18.6934986138852&lt;/D&gt;&lt;D xsi:type="xsd:double"&gt;18.6790130199869&lt;/D&gt;&lt;D xsi:type="xsd:double"&gt;19.6334352798092&lt;/D&gt;&lt;D xsi:type="xsd:double"&gt;16.5878244387963&lt;/D&gt;&lt;D xsi:type="xsd:double"&gt;17.3997117132338&lt;/D&gt;&lt;D xsi:type="xsd:double"&gt;18.2563361146977&lt;/D&gt;&lt;D xsi:type="xsd:double"&gt;19.5012021577167&lt;/D&gt;&lt;D xsi:type="xsd:double"&gt;20.501242865436&lt;/D&gt;&lt;D xsi:type="xsd:double"&gt;20.8908628228787&lt;/D&gt;&lt;D xsi:type="xsd:double"&gt;21.1923441562876&lt;/D&gt;&lt;D xsi:type="xsd:double"&gt;22.4126319560187&lt;/D&gt;&lt;D xsi:type="xsd:double"&gt;24.8216131654215&lt;/D&gt;&lt;D xsi:type="xsd:double"&gt;26.3060020754825&lt;/D&gt;&lt;D xsi:type="xsd:double"&gt;28.508712029685&lt;/D&gt;&lt;D xsi:type="xsd:double"&gt;30.1029488642152&lt;/D&gt;&lt;D xsi:type="xsd:double"&gt;28.6564556448954&lt;/D&gt;&lt;D xsi:type="xsd:double"&gt;28.1513794239261&lt;/D&gt;&lt;D xsi:type="xsd:double"&gt;27.2351597144581&lt;/D&gt;&lt;D xsi:type="xsd:double"&gt;26.6993260419388&lt;/D&gt;&lt;D xsi:type="xsd:double"&gt;26.0664083365716&lt;/D&gt;&lt;D xsi:type="xsd:double"&gt;25.8536845152907&lt;/D&gt;&lt;D xsi:type="xsd:double"&gt;25.1897811468205&lt;/D&gt;&lt;D xsi:type="xsd:double"&gt;24.6872461682171&lt;/D&gt;&lt;D xsi:type="xsd:double"&gt;24.3320449228566&lt;/D&gt;&lt;D xsi:type="xsd:double"&gt;22.1996046030231&lt;/D&gt;&lt;D xsi:type="xsd:double"&gt;20.9823815561822&lt;/D&gt;&lt;D xsi:type="xsd:double"&gt;18.9280761877395&lt;/D&gt;&lt;D xsi:type="xsd:double"&gt;18.4548900822912&lt;/D&gt;&lt;D xsi:type="xsd:double"&gt;18.5603351030814&lt;/D&gt;&lt;D xsi:type="xsd:double"&gt;18.1671946325936&lt;/D&gt;&lt;D xsi:type="xsd:double"&gt;17.8476660942005&lt;/D&gt;&lt;D xsi:type="xsd:double"&gt;19.2126122429915&lt;/D&gt;&lt;D xsi:type="xsd:double"&gt;19.4098674091634&lt;/D&gt;&lt;D xsi:type="xsd:double"&gt;17.9699735619594&lt;/D&gt;&lt;D xsi:type="xsd:double"&gt;17.4719361788709&lt;/D&gt;&lt;D xsi:type="xsd:double"&gt;18.3768508178119&lt;/D&gt;&lt;D xsi:type="xsd:double"&gt;18.1653619278632&lt;/D&gt;&lt;D xsi:type="xsd:double"&gt;19.2787489865522&lt;/D&gt;&lt;D xsi:type="xsd:double"&gt;21.0197140039976&lt;/D&gt;&lt;D xsi:type="xsd:double"&gt;20.3316598931324&lt;/D&gt;&lt;D xsi:type="xsd:double"&gt;20.0067767521486&lt;/D&gt;&lt;D xsi:type="xsd:double"&gt;19.6481964928719&lt;/D&gt;&lt;D xsi:type="xsd:double"&gt;19.1510645682867&lt;/D&gt;&lt;D xsi:type="xsd:double"&gt;19.0301014204321&lt;/D&gt;&lt;D xsi:type="xsd:double"&gt;17.8225497539994&lt;/D&gt;&lt;D xsi:type="xsd:double"&gt;16.9567149647843&lt;/D&gt;&lt;D xsi:type="xsd:double"&gt;15.8095244504438&lt;/D&gt;&lt;D xsi:type="xsd:double"&gt;16.4475310779631&lt;/D&gt;&lt;D xsi:type="xsd:double"&gt;16.8127160707115&lt;/D&gt;&lt;D xsi:type="xsd:double"&gt;16.4397959209179&lt;/D&gt;&lt;D xsi:type="xsd:double"&gt;17.5652054200574&lt;/D&gt;&lt;D xsi:type="xsd:double"&gt;18.4450620572771&lt;/D&gt;&lt;/FQL&gt;&lt;FQL&gt;&lt;Q&gt;ENZL^JULIAN(FMA_DIV_YLD(NTMA,NOW,NOW,M,"PORTAGG","MEANR").DATES)&lt;/Q&gt;&lt;R&gt;1&lt;/R&gt;&lt;C&gt;1&lt;/C&gt;&lt;D xsi:type="xsd:long"&gt;45351&lt;/D&gt;&lt;/FQL&gt;&lt;FQL&gt;&lt;Q&gt;ENZL^JULIAN(FMA_DIV_YLD(LTMA,-10AY,0,AM,"PORTAGG","MEANR").DATES)&lt;/Q&gt;&lt;R&gt;121&lt;/R&gt;&lt;C&gt;1&lt;/C&gt;&lt;D xsi:type="xsd:long"&gt;41719&lt;/D&gt;&lt;D xsi:type="xsd:long"&gt;41750&lt;/D&gt;&lt;D xsi:type="xsd:long"&gt;41780&lt;/D&gt;&lt;D xsi:type="xsd:long"&gt;41810&lt;/D&gt;&lt;D xsi:type="xsd:long"&gt;41841&lt;/D&gt;&lt;D xsi:type="xsd:long"&gt;41872&lt;/D&gt;&lt;D xsi:type="xsd:long"&gt;41901&lt;/D&gt;&lt;D xsi:type="xsd:long"&gt;41933&lt;/D&gt;&lt;D xsi:type="xsd:long"&gt;41964&lt;/D&gt;&lt;D xsi:type="xsd:long"&gt;41992&lt;/D&gt;&lt;D xsi:type="xsd:long"&gt;42025&lt;/D&gt;&lt;D xsi:type="xsd:long"&gt;42055&lt;/D&gt;&lt;D xsi:type="xsd:long"&gt;42083&lt;/D&gt;&lt;D xsi:type="xsd:long"&gt;42115&lt;/D&gt;&lt;D xsi:type="xsd:long"&gt;42145&lt;/D&gt;&lt;D xsi:type="xsd:long"&gt;42174&lt;/D&gt;&lt;D xsi:type="xsd:long"&gt;42206&lt;/D&gt;&lt;D xsi:type="xsd:long"&gt;42237&lt;/D&gt;&lt;D xsi:type="xsd:long"&gt;42268&lt;/D&gt;&lt;D xsi:type="xsd:long"&gt;42298&lt;/D&gt;&lt;D xsi:type="xsd:long"&gt;42328&lt;/D&gt;&lt;D xsi:type="xsd:long"&gt;42359&lt;/D&gt;&lt;D xsi:type="xsd:long"&gt;42390&lt;/D&gt;&lt;D xsi:type="xsd:long"&gt;42419&lt;/D&gt;&lt;D xsi:type="xsd:long"&gt;42450&lt;/D&gt;&lt;D xsi:type="xsd:long"&gt;42481&lt;/D&gt;&lt;D xsi:type="xsd:long"&gt;42510&lt;/D&gt;&lt;D xsi:type="xsd:long"&gt;42542&lt;/D&gt;&lt;D xsi:type="xsd:long"&gt;42572&lt;/D&gt;&lt;D xsi:type="xsd:long"&gt;42601&lt;/D&gt;&lt;D xsi:type="xsd:long"&gt;42634&lt;/D&gt;&lt;D xsi:type="xsd:long"&gt;42664&lt;/D&gt;&lt;D xsi:type="xsd:long"&gt;42695&lt;/D&gt;&lt;D xsi:type="xsd:long"&gt;42725&lt;/D&gt;&lt;D xsi:type="xsd:long"&gt;42755&lt;/D&gt;&lt;D xsi:type="xsd:long"&gt;42787&lt;/D&gt;&lt;D xsi:type="xsd:long"&gt;42815&lt;/D&gt;&lt;D xsi:type="xsd:long"&gt;42846&lt;/D&gt;&lt;D xsi:type="xsd:long"&gt;42874&lt;/D&gt;&lt;D xsi:type="xsd:long"&gt;42907&lt;/D&gt;&lt;D xsi:type="xsd:long"&gt;42937&lt;/D&gt;&lt;D xsi:type="xsd:long"&gt;42968&lt;/D&gt;&lt;D xsi:type="xsd:long"&gt;42999&lt;/D&gt;&lt;D xsi:type="xsd:long"&gt;43028&lt;/D&gt;&lt;D xsi:type="xsd:long"&gt;43060&lt;/D&gt;&lt;D xsi:type="xsd:long"&gt;43090&lt;/D&gt;&lt;D xsi:type="xsd:long"&gt;43119&lt;/D&gt;&lt;D xsi:type="xsd:long"&gt;43152&lt;/D&gt;&lt;D xsi:type="xsd:long"&gt;43180&lt;/D&gt;&lt;D xsi:type="xsd:long"&gt;43210&lt;/D&gt;&lt;D xsi:type="xsd:long"&gt;43241&lt;/D&gt;&lt;D xsi:type="xsd:long"&gt;43272&lt;/D&gt;&lt;D xsi:type="xsd:long"&gt;43301&lt;/D&gt;&lt;D xsi:type="xsd:long"&gt;43333&lt;/D&gt;&lt;D xsi:type="xsd:long"&gt;43364&lt;/D&gt;&lt;D xsi:type="xsd:long"&gt;43392&lt;/D&gt;&lt;D xsi:type="xsd:long"&gt;43425&lt;/D&gt;&lt;D xsi:type="xsd:long"&gt;43455&lt;/D&gt;&lt;D xsi:type="xsd:long"&gt;43483&lt;/D&gt;&lt;D xsi:type="xsd:long"&gt;43517&lt;/D&gt;&lt;D xsi:type="xsd:long"&gt;43545&lt;/D&gt;&lt;D xsi:type="xsd:long"&gt;43573&lt;/D&gt;&lt;D xsi:type="xsd:long"&gt;43606&lt;/D&gt;&lt;D xsi:type="xsd:long"&gt;43637&lt;/D&gt;&lt;D xsi:type="xsd:long"&gt;43665&lt;/D&gt;&lt;D xsi:type="xsd:long"&gt;43698&lt;/D&gt;&lt;D xsi:type="xsd:long"&gt;43728&lt;/D&gt;&lt;D xsi:type="xsd:long"&gt;43759&lt;/D&gt;&lt;D xsi:type="xsd:long"&gt;43790&lt;/D&gt;&lt;D xsi:type="xsd:long"&gt;43819&lt;/D&gt;&lt;D xsi:type="xsd:long"&gt;43851&lt;/D&gt;&lt;D xsi:type="xsd:long"&gt;43882&lt;/D&gt;&lt;D xsi:type="xsd:long"&gt;43910&lt;/D&gt;&lt;D xsi:type="xsd:long"&gt;43942&lt;/D&gt;&lt;D xsi:type="xsd:long"&gt;43972&lt;/D&gt;&lt;D xsi:type="xsd:long"&gt;44001&lt;/D&gt;&lt;D xsi:type="xsd:long"&gt;44033&lt;/D&gt;&lt;D xsi:type="xsd:long"&gt;44064&lt;/D&gt;&lt;D xsi:type="xsd:long"&gt;44095&lt;/D&gt;&lt;D xsi:type="xsd:long"&gt;44125&lt;/D&gt;&lt;D xsi:type="xsd:long"&gt;44155&lt;/D&gt;&lt;D xsi:type="xsd:long"&gt;44186&lt;/D&gt;&lt;D xsi:type="xsd:long"&gt;44217&lt;/D&gt;&lt;D xsi:type="xsd:long"&gt;44246&lt;/D&gt;&lt;D xsi:type="xsd:long"&gt;44274&lt;/D&gt;&lt;D xsi:type="xsd:long"&gt;44307&lt;/D&gt;&lt;D xsi:type="xsd:long"&gt;44337&lt;/D&gt;&lt;D xsi:type="xsd:long"&gt;44368&lt;/D&gt;&lt;D xsi:type="xsd:long"&gt;44398&lt;/D&gt;&lt;D xsi:type="xsd:long"&gt;44428&lt;/D&gt;&lt;D xsi:type="xsd:long"&gt;44460&lt;/D&gt;&lt;D xsi:type="xsd:long"&gt;44490&lt;/D&gt;&lt;D xsi:type="xsd:long"&gt;44519&lt;/D&gt;&lt;D xsi:type="xsd:long"&gt;44551&lt;/D&gt;&lt;D xsi:type="xsd:long"&gt;44582&lt;/D&gt;&lt;D xsi:type="xsd:long"&gt;44610&lt;/D&gt;&lt;D xsi:type="xsd:long"&gt;44641&lt;/D&gt;&lt;D xsi:type="xsd:long"&gt;44672&lt;/D&gt;&lt;D xsi:type="xsd:long"&gt;44701&lt;/D&gt;&lt;D xsi:type="xsd:long"&gt;44733&lt;/D&gt;&lt;D xsi:type="xsd:long"&gt;44763&lt;/D&gt;&lt;D xsi:type="xsd:long"&gt;44792&lt;/D&gt;&lt;D xsi:type="xsd:long"&gt;44825&lt;/D&gt;&lt;D xsi:type="xsd:long"&gt;44855&lt;/D&gt;&lt;D xsi:type="xsd:long"&gt;44886&lt;/D&gt;&lt;D xsi:type="xsd:long"&gt;44916&lt;/D&gt;&lt;D xsi:type="xsd:long"&gt;44946&lt;/D&gt;&lt;D xsi:type="xsd:long"&gt;44978&lt;/D&gt;&lt;D xsi:type="xsd:long"&gt;45006&lt;/D&gt;&lt;D xsi:type="xsd:long"&gt;45037&lt;/D&gt;&lt;D xsi:type="xsd:long"&gt;45065&lt;/D&gt;&lt;D xsi:type="xsd:long"&gt;45098&lt;/D&gt;&lt;D xsi:type="xsd:long"&gt;45128&lt;/D&gt;&lt;D xsi:type="xsd:long"&gt;45159&lt;/D&gt;&lt;D xsi:type="xsd:long"&gt;45190&lt;/D&gt;&lt;D xsi:type="xsd:long"&gt;45219&lt;/D&gt;&lt;D xsi:type="xsd:long"&gt;45251&lt;/D&gt;&lt;D xsi:type="xsd:long"&gt;45281&lt;/D&gt;&lt;D xsi:type="xsd:long"&gt;45310&lt;/D&gt;&lt;D xsi:type="xsd:long"&gt;45343&lt;/D&gt;&lt;D xsi:type="xsd:long"&gt;45369&lt;/D&gt;&lt;/FQL&gt;&lt;FQL&gt;&lt;Q&gt;NI-FDS^FG_PRICE(0)&lt;/Q&gt;&lt;R&gt;1&lt;/R&gt;&lt;C&gt;1&lt;/C&gt;&lt;D xsi:type="xsd:double"&gt;17430&lt;/D&gt;&lt;/FQL&gt;&lt;FQL&gt;&lt;Q&gt;TRYGB10Y-FDS^FG_YIELD(0,,,,"YTM")&lt;/Q&gt;&lt;R&gt;1&lt;/R&gt;&lt;C&gt;1&lt;/C&gt;&lt;D xsi:type="xsd:double"&gt;4.105&lt;/D&gt;&lt;/FQL&gt;&lt;FQL&gt;&lt;Q&gt;W-FDS^FG_PRICE_MAVG(0,,,,30)&lt;/Q&gt;&lt;R&gt;1&lt;/R&gt;&lt;C&gt;1&lt;/C&gt;&lt;D xsi:type="xsd:double"&gt;5.602&lt;/D&gt;&lt;/FQL&gt;&lt;FQL&gt;&lt;Q&gt;USDJPY^STD(FG_PRICE_CHANGE(0,-1AY,AM))&lt;/Q&gt;&lt;R&gt;1&lt;/R&gt;&lt;C&gt;1&lt;/C&gt;&lt;D xsi:type="xsd:double"&gt;2.2477412086405&lt;/D&gt;&lt;/FQL&gt;&lt;FQL&gt;&lt;Q&gt;EWD^P_PRICE(0)/P_PRICE_LOW_PR(0,,,USD,,,"PRICE","INTRA","52W")-1&lt;/Q&gt;&lt;R&gt;1&lt;/R&gt;&lt;C&gt;1&lt;/C&gt;&lt;D xsi:type="xsd:double"&gt;0.3387649&lt;/D&gt;&lt;/FQL&gt;&lt;FQL&gt;&lt;Q&gt;EWU^FMA_COS_UP("EPS","1M",+1,0,,,"PORTAGG","MEANR")&lt;/Q&gt;&lt;R&gt;1&lt;/R&gt;&lt;C&gt;1&lt;/C&gt;&lt;D xsi:type="xsd:double"&gt;33&lt;/D&gt;&lt;/FQL&gt;&lt;FQL&gt;&lt;Q&gt;TRYJP10Y-FDS^PCTCHG(FG_YIELD(0,,,,"YTM"),FG_YIELD(-3AM,,,,"YTM"))&lt;/Q&gt;&lt;R&gt;1&lt;/R&gt;&lt;C&gt;1&lt;/C&gt;&lt;D xsi:type="xsd:double"&gt;29.315502&lt;/D&gt;&lt;/FQL&gt;&lt;FQL&gt;&lt;Q&gt;SPY^P_PRICE(0)/P_PRICE_LOW_PR(0,,,USD,,,"PRICE","INTRA","52W")-1&lt;/Q&gt;&lt;R&gt;1&lt;/R&gt;&lt;C&gt;1&lt;/C&gt;&lt;D xsi:type="xsd:double"&gt;0.3410375&lt;/D&gt;&lt;/FQL&gt;&lt;FQL&gt;&lt;Q&gt;EWG^FMA_EVAL_EBITDA(NTMA,0,,,"PORTAGG","MEANR")&lt;/Q&gt;&lt;R&gt;1&lt;/R&gt;&lt;C&gt;1&lt;/C&gt;&lt;D xsi:type="xsd:double"&gt;8.39204307468498&lt;/D&gt;&lt;/FQL&gt;&lt;FQL&gt;&lt;Q&gt;EWG^FG_FCF_YIELD_NTM(0)&lt;/Q&gt;&lt;R&gt;1&lt;/R&gt;&lt;C&gt;1&lt;/C&gt;&lt;D xsi:type="xsd:double"&gt;6.12112413335654&lt;/D&gt;&lt;/FQL&gt;&lt;FQL&gt;&lt;Q&gt;EWU^FG_TOTAL_RETURNC(0,-1AM)&lt;/Q&gt;&lt;R&gt;1&lt;/R&gt;&lt;C&gt;1&lt;/C&gt;&lt;D xsi:type="xsd:double"&gt;3.7672281&lt;/D&gt;&lt;/FQL&gt;&lt;FQL&gt;&lt;Q&gt;URTH^PERCENT_CHANGE(FMA_EPS(+1,0,,,,"PORTAGG","MEAN"),FMA_EPS(+1,-3AM,,,,"PORTAGG","MEAN"))&lt;/Q&gt;&lt;R&gt;1&lt;/R&gt;&lt;C&gt;1&lt;/C&gt;&lt;D xsi:type="xsd:double"&gt;-1.51048274853295&lt;/D&gt;&lt;/FQL&gt;&lt;FQL&gt;&lt;Q&gt;EWQ^FMA_EVAL_EBIT(LTMA,NOW,NOW,M,"PORTAGG","MEANR")&lt;/Q&gt;&lt;R&gt;1&lt;/R&gt;&lt;C&gt;1&lt;/C&gt;&lt;D xsi:type="xsd:double"&gt;13.2389374779686&lt;/D&gt;&lt;/FQL&gt;&lt;FQL&gt;&lt;Q&gt;EWL^FG_TOTAL_RETURNC(0,-3AM)&lt;/Q&gt;&lt;R&gt;1&lt;/R&gt;&lt;C&gt;1&lt;/C&gt;&lt;D xsi:type="xsd:double"&gt;0.37982464&lt;/D&gt;&lt;/FQL&gt;&lt;FQL&gt;&lt;Q&gt;EWQ^FMA_PE(LTMA,-10AY,0,AM,"PORTAGG","MEANR")&lt;/Q&gt;&lt;R&gt;121&lt;/R&gt;&lt;C&gt;1&lt;/C&gt;&lt;D xsi:type="xsd:double"&gt;15.9060113081562&lt;/D&gt;&lt;D xsi:type="xsd:double"&gt;15.8098105250149&lt;/D&gt;&lt;D xsi:type="xsd:double"&gt;15.7838347375011&lt;/D&gt;&lt;D xsi:type="xsd:double"&gt;15.8445302298669&lt;/D&gt;&lt;D xsi:type="xsd:double"&gt;15.3873137593292&lt;/D&gt;&lt;D xsi:type="xsd:double"&gt;15.2702784486524&lt;/D&gt;&lt;D xsi:type="xsd:double"&gt;15.5388407061324&lt;/D&gt;&lt;D xsi:type="xsd:double"&gt;14.5708463279629&lt;/D&gt;&lt;D xsi:type="xsd:double"&gt;15.2886691033137&lt;/D&gt;&lt;D xsi:type="xsd:double"&gt;14.9688479290109&lt;/D&gt;&lt;D xsi:type="xsd:double"&gt;15.7607916276536&lt;/D&gt;&lt;D xsi:type="xsd:double"&gt;17.0913388270942&lt;/D&gt;&lt;D xsi:type="xsd:double"&gt;17.6056211367998&lt;/D&gt;&lt;D xsi:type="xsd:double"&gt;17.6375489102628&lt;/D&gt;&lt;D xsi:type="xsd:double"&gt;17.5889847368572&lt;/D&gt;&lt;D xsi:type="xsd:double"&gt;17.0578982009253&lt;/D&gt;&lt;D xsi:type="xsd:double"&gt;17.3935827012444&lt;/D&gt;&lt;D xsi:type="xsd:double"&gt;16.1766589408084&lt;/D&gt;&lt;D xsi:type="xsd:double"&gt;15.8696665993876&lt;/D&gt;&lt;D xsi:type="xsd:double"&gt;15.9386982713752&lt;/D&gt;&lt;D xsi:type="xsd:double"&gt;16.3536887511465&lt;/D&gt;&lt;D xsi:type="xsd:double"&gt;15.2368929213889&lt;/D&gt;&lt;D xsi:type="xsd:double"&gt;13.9892335399471&lt;/D&gt;&lt;D xsi:type="xsd:double"&gt;14.7200914714945&lt;/D&gt;&lt;D xsi:type="xsd:double"&gt;15.1731631424566&lt;/D&gt;&lt;D xsi:type="xsd:double"&gt;15.3187983501598&lt;/D&gt;&lt;D xsi:type="xsd:double"&gt;15.0884699575263&lt;/D&gt;&lt;D xsi:type="xsd:double"&gt;15.0269566927516&lt;/D&gt;&lt;D xsi:type="xsd:double"&gt;15.0025167197773&lt;/D&gt;&lt;D xsi:type="xsd:double"&gt;14.8710241305852&lt;/D&gt;&lt;D xsi:type="xsd:double"&gt;14.8061907804481&lt;/D&gt;&lt;D xsi:type="xsd:double"&gt;15.0726012245269&lt;/D&gt;&lt;D xsi:type="xsd:double"&gt;14.8455476892406&lt;/D&gt;&lt;D xsi:type="xsd:double"&gt;15.6489638787243&lt;/D&gt;&lt;D xsi:type="xsd:double"&gt;15.7915177856933&lt;/D&gt;&lt;D xsi:type="xsd:double"&gt;15.541426286427&lt;/D&gt;&lt;D xsi:type="xsd:double"&gt;15.6023963519013&lt;/D&gt;&lt;D xsi:type="xsd:double"&gt;15.5827654365435&lt;/D&gt;&lt;D xsi:type="xsd:double"&gt;15.7955706349427&lt;/D&gt;&lt;D xsi:type="xsd:double"&gt;15.7270487548548&lt;/D&gt;&lt;D xsi:type="xsd:double"&gt;15.5900005055858&lt;/D&gt;&lt;D xsi:type="xsd:double"&gt;15.440127477889&lt;/D&gt;&lt;D xsi:type="xsd:double"&gt;15.8097693357603&lt;/D&gt;&lt;D xsi:type="xsd:double"&gt;16.0672231629376&lt;/D&gt;&lt;D xsi:type="xsd:double"&gt;15.9701008197542&lt;/D&gt;&lt;D xsi:type="xsd:double"&gt;16.1544724111787&lt;/D&gt;&lt;D xsi:type="xsd:double"&gt;16.6255303624506&lt;/D&gt;&lt;D xsi:type="xsd:double"&gt;15.7546711874617&lt;/D&gt;&lt;D xsi:type="xsd:double"&gt;15.5294965915158&lt;/D&gt;&lt;D xsi:type="xsd:double"&gt;15.5686951000693&lt;/D&gt;&lt;D xsi:type="xsd:double"&gt;15.6615565839468&lt;/D&gt;&lt;D xsi:type="xsd:double"&gt;15.1794050861033&lt;/D&gt;&lt;D xsi:type="xsd:double"&gt;15.2386637535748&lt;/D&gt;&lt;D xsi:type="xsd:double"&gt;15.050488625375&lt;/D&gt;&lt;D xsi:type="xsd:double"&gt;15.1459028549283&lt;/D&gt;&lt;D xsi:type="xsd:double"&gt;14.2063661974912&lt;/D&gt;&lt;D xsi:type="xsd:double"&gt;13.7648067052676&lt;/D&gt;&lt;D xsi:type="xsd:double"&gt;12.9039449751081&lt;/D&gt;&lt;D xsi:type="xsd:double"&gt;13.422658098728&lt;/D&gt;&lt;D xsi:type="xsd:double"&gt;14.4005830960671&lt;/D&gt;&lt;D xsi:type="xsd:double"&gt;14.5862789156379&lt;/D&gt;&lt;D xsi:type="xsd:double"&gt;14.6761979587099&lt;/D&gt;&lt;D xsi:type="xsd:double"&gt;14.5102237176989&lt;/D&gt;&lt;D xsi:type="xsd:double"&gt;14.6569649849835&lt;/D&gt;&lt;D xsi:type="xsd:double"&gt;14.8112597315735&lt;/D&gt;&lt;D xsi:type="xsd:double"&gt;14.7016013890627&lt;/D&gt;&lt;D xsi:type="xsd:double"&gt;15.2071436543483&lt;/D&gt;&lt;D xsi:type="xsd:double"&gt;15.3572697702524&lt;/D&gt;&lt;D xsi:type="xsd:double"&gt;15.9894412759811&lt;/D&gt;&lt;D xsi:type="xsd:double"&gt;16.5087362909565&lt;/D&gt;&lt;D xsi:type="xsd:double"&gt;16.6763226070015&lt;/D&gt;&lt;D xsi:type="xsd:double"&gt;16.5709114894877&lt;/D&gt;&lt;D xsi:type="xsd:double"&gt;14.0467729256136&lt;/D&gt;&lt;D xsi:type="xsd:double"&gt;15.2329868793151&lt;/D&gt;&lt;D xsi:type="xsd:double"&gt;16.2433458225298&lt;/D&gt;&lt;D xsi:type="xsd:double"&gt;18.1894574957338&lt;/D&gt;&lt;D xsi:type="xsd:double"&gt;20.3474891098597&lt;/D&gt;&lt;D xsi:type="xsd:double"&gt;21.9642276667049&lt;/D&gt;&lt;D xsi:type="xsd:double"&gt;22.600790541676&lt;/D&gt;&lt;D xsi:type="xsd:double"&gt;24.1363240647644&lt;/D&gt;&lt;D xsi:type="xsd:double"&gt;27.4235673867492&lt;/D&gt;&lt;D xsi:type="xsd:double"&gt;27.6962851827948&lt;/D&gt;&lt;D xsi:type="xsd:double"&gt;28.7283488090752&lt;/D&gt;&lt;D xsi:type="xsd:double"&gt;28.0011990813493&lt;/D&gt;&lt;D xsi:type="xsd:double"&gt;26.6113551434263&lt;/D&gt;&lt;D xsi:type="xsd:double"&gt;25.7295544664447&lt;/D&gt;&lt;D xsi:type="xsd:double"&gt;24.8031742362798&lt;/D&gt;&lt;D xsi:type="xsd:double"&gt;24.101913230724&lt;/D&gt;&lt;D xsi:type="xsd:double"&gt;22.7069568267392&lt;/D&gt;&lt;D xsi:type="xsd:double"&gt;21.2961861061037&lt;/D&gt;&lt;D xsi:type="xsd:double"&gt;20.1495805628026&lt;/D&gt;&lt;D xsi:type="xsd:double"&gt;19.0080214188959&lt;/D&gt;&lt;D xsi:type="xsd:double"&gt;18.4045798946043&lt;/D&gt;&lt;D xsi:type="xsd:double"&gt;17.0823612202776&lt;/D&gt;&lt;D xsi:type="xsd:double"&gt;16.7186236943251&lt;/D&gt;&lt;D xsi:type="xsd:double"&gt;16.104396683685&lt;/D&gt;&lt;D xsi:type="xsd:double"&gt;15.3393421373632&lt;/D&gt;&lt;D xsi:type="xsd:double"&gt;15.1054311345897&lt;/D&gt;&lt;D xsi:type="xsd:double"&gt;14.3573730782993&lt;/D&gt;&lt;D xsi:type="xsd:double"&gt;13.7298162653163&lt;/D&gt;&lt;D xsi:type="xsd:double"&gt;13.4388208705796&lt;/D&gt;&lt;D xsi:type="xsd:double"&gt;13.0585470825046&lt;/D&gt;&lt;D xsi:type="xsd:double"&gt;12.05151090307&lt;/D&gt;&lt;D xsi:type="xsd:double"&gt;11.5846850184844&lt;/D&gt;&lt;D xsi:type="xsd:double"&gt;12.0819170697603&lt;/D&gt;&lt;D xsi:type="xsd:double"&gt;11.776441507763&lt;/D&gt;&lt;D xsi:type="xsd:double"&gt;12.6476484620259&lt;/D&gt;&lt;D xsi:type="xsd:double"&gt;12.9691209412146&lt;/D&gt;&lt;D xsi:type="xsd:double"&gt;12.8884024898813&lt;/D&gt;&lt;D xsi:type="xsd:double"&gt;13.2335953599743&lt;/D&gt;&lt;D xsi:type="xsd:double"&gt;13.2209034075879&lt;/D&gt;&lt;D xsi:type="xsd:double"&gt;13.1807448204072&lt;/D&gt;&lt;D xsi:type="xsd:double"&gt;13.4436430969213&lt;/D&gt;&lt;D xsi:type="xsd:double"&gt;13.1391889573357&lt;/D&gt;&lt;D xsi:type="xsd:double"&gt;13.1232524504571&lt;/D&gt;&lt;D xsi:type="xsd:double"&gt;12.5013856302734&lt;/D&gt;&lt;D xsi:type="xsd:double"&gt;13.2538027177898&lt;/D&gt;&lt;D xsi:type="xsd:double"&gt;14.0610826466158&lt;/D&gt;&lt;D xsi:type="xsd:double"&gt;13.9177521097754&lt;/D&gt;&lt;D xsi:type="xsd:double"&gt;15.2564053979123&lt;/D&gt;&lt;D xsi:type="xsd:double"&gt;15.5169805208676&lt;/D&gt;&lt;/FQL&gt;&lt;FQL&gt;&lt;Q&gt;EWG^PERCENT_CHANGE(FMA_EPS(+1,0,,,,"PORTAGG","MEAN"),FMA_EPS(+1,-1AM,,,,"PORTAGG","MEAN"))&lt;/Q&gt;&lt;R&gt;1&lt;/R&gt;&lt;C&gt;1&lt;/C&gt;&lt;D xsi:type="xsd:double"&gt;-0.434908568295316&lt;/D&gt;&lt;/FQL&gt;&lt;FQL&gt;&lt;Q&gt;EWL^SIZE(FG_CONSTITUENTS)&lt;/Q&gt;&lt;R&gt;1&lt;/R&gt;&lt;C&gt;1&lt;/C&gt;&lt;D xsi:type="xsd:long"&gt;46&lt;/D&gt;&lt;/FQL&gt;&lt;FQL&gt;&lt;Q&gt;CC_DE^IMF_IFS_RCPI_Q(0)&lt;/Q&gt;&lt;R&gt;1&lt;/R&gt;&lt;C&gt;1&lt;/C&gt;&lt;D xsi:type="xsd:double"&gt;3.5546436&lt;/D&gt;&lt;/FQL&gt;&lt;FQL&gt;&lt;Q&gt;TLT^P_PRICE(0)/P_PRICE_HIGH_PR(0,,,USD,,,"PRICE","INTRA","52W")&lt;/Q&gt;&lt;R&gt;1&lt;/R&gt;&lt;C&gt;1&lt;/C</t>
        </r>
      </text>
    </comment>
    <comment ref="A15" authorId="0" shapeId="0" xr:uid="{7B1F5FF6-65FF-4B5D-B16A-D9EF618C22B8}">
      <text>
        <r>
          <rPr>
            <b/>
            <sz val="9"/>
            <color indexed="81"/>
            <rFont val="Tahoma"/>
            <charset val="1"/>
          </rPr>
          <t>&gt;&lt;D xsi:type="xsd:double"&gt;0.8550564&lt;/D&gt;&lt;/FQL&gt;&lt;FQL&gt;&lt;Q&gt;PLATI-FDS^FG_PRICE(0)/MAX(FG_PRICE(0,-1AY))&lt;/Q&gt;&lt;R&gt;1&lt;/R&gt;&lt;C&gt;1&lt;/C&gt;&lt;D xsi:type="xsd:double"&gt;0.814977973568282&lt;/D&gt;&lt;/FQL&gt;&lt;FQL&gt;&lt;Q&gt;EWC^FG_TOTAL_RETURNC(-10AY,0,AM)&lt;/Q&gt;&lt;R&gt;121&lt;/R&gt;&lt;C&gt;1&lt;/C&gt;&lt;D xsi:type="xsd:double"&gt;0.344944&lt;/D&gt;&lt;D xsi:type="xsd:double"&gt;2.8875947&lt;/D&gt;&lt;D xsi:type="xsd:double"&gt;2.2385597&lt;/D&gt;&lt;D xsi:type="xsd:double"&gt;4.705882&lt;/D&gt;&lt;D xsi:type="xsd:double"&gt;1.9366026&lt;/D&gt;&lt;D xsi:type="xsd:double"&gt;0.24676323&lt;/D&gt;&lt;D xsi:type="xsd:double"&gt;-1.2923002&lt;/D&gt;&lt;D xsi:type="xsd:double"&gt;-7.1072397&lt;/D&gt;&lt;D xsi:type="xsd:double"&gt;4.1275263&lt;/D&gt;&lt;D xsi:type="xsd:double"&gt;-6.689042&lt;/D&gt;&lt;D xsi:type="xsd:double"&gt;-5.392152&lt;/D&gt;&lt;D xsi:type="xsd:double"&gt;2.5536537&lt;/D&gt;&lt;D xsi:type="xsd:double"&gt;-0.9382844&lt;/D&gt;&lt;D xsi:type="xsd:double"&gt;5.20947&lt;/D&gt;&lt;D xsi:type="xsd:double"&gt;-0.6578922&lt;/D&gt;&lt;D xsi:type="xsd:double"&gt;-4.2523565&lt;/D&gt;&lt;D xsi:type="xsd:double"&gt;-6.45684&lt;/D&gt;&lt;D xsi:type="xsd:double"&gt;-7.8039227&lt;/D&gt;&lt;D xsi:type="xsd:double"&gt;1.914072&lt;/D&gt;&lt;D xsi:type="xsd:double"&gt;0.29215813&lt;/D&gt;&lt;D xsi:type="xsd:double"&gt;-3.2875597&lt;/D&gt;&lt;D xsi:type="xsd:double"&gt;-6.9720564&lt;/D&gt;&lt;D xsi:type="xsd:double"&gt;-9.751522&lt;/D&gt;&lt;D xsi:type="xsd:double"&gt;10.649347&lt;/D&gt;&lt;D xsi:type="xsd:double"&gt;11.314559&lt;/D&gt;&lt;D xsi:type="xsd:double"&gt;5.145514&lt;/D&gt;&lt;D xsi:type="xsd:double"&gt;-3.0886471&lt;/D&gt;&lt;D xsi:type="xsd:double"&gt;3.2284856&lt;/D&gt;&lt;D xsi:type="xsd:double"&gt;1.6023874&lt;/D&gt;&lt;D xsi:type="xsd:double"&gt;2.9037476&lt;/D&gt;&lt;D xsi:type="xsd:double"&gt;-1.2756109&lt;/D&gt;&lt;D xsi:type="xsd:double"&gt;0.62646866&lt;/D&gt;&lt;D xsi:type="xsd:double"&gt;1.0894895&lt;/D&gt;&lt;D xsi:type="xsd:double"&gt;2.243197&lt;/D&gt;&lt;D xsi:type="xsd:double"&gt;2.0152092&lt;/D&gt;&lt;D xsi:type="xsd:double"&gt;3.7271738&lt;/D&gt;&lt;D xsi:type="xsd:double"&gt;-5.461735&lt;/D&gt;&lt;D xsi:type="xsd:double"&gt;0.98822117&lt;/D&gt;&lt;D xsi:type="xsd:double"&gt;-1.0914505&lt;/D&gt;&lt;D xsi:type="xsd:double"&gt;-0.32622814&lt;/D&gt;&lt;D xsi:type="xsd:double"&gt;7.0053935&lt;/D&gt;&lt;D xsi:type="xsd:double"&gt;-1.7625868&lt;/D&gt;&lt;D xsi:type="xsd:double"&gt;5.5657268&lt;/D&gt;&lt;D xsi:type="xsd:double"&gt;0.9365201&lt;/D&gt;&lt;D xsi:type="xsd:double"&gt;0.27490854&lt;/D&gt;&lt;D xsi:type="xsd:double"&gt;1.1766195&lt;/D&gt;&lt;D xsi:type="xsd:double"&gt;3.396225&lt;/D&gt;&lt;D xsi:type="xsd:double"&gt;-6.5693436&lt;/D&gt;&lt;D xsi:type="xsd:double"&gt;-0.49715638&lt;/D&gt;&lt;D xsi:type="xsd:double"&gt;0.07138252&lt;/D&gt;&lt;D xsi:type="xsd:double"&gt;4.885876&lt;/D&gt;&lt;D xsi:type="xsd:double"&gt;-3.2158673&lt;/D&gt;&lt;D xsi:type="xsd:double"&gt;2.33711&lt;/D&gt;&lt;D xsi:type="xsd:double"&gt;-0.06920695&lt;/D&gt;&lt;D xsi:type="xsd:double"&gt;0.58864355&lt;/D&gt;&lt;D xsi:type="xsd:double"&gt;-6.402749&lt;/D&gt;&lt;D xsi:type="xsd:double"&gt;-2.4641395&lt;/D&gt;&lt;D xsi:type="xsd:double"&gt;-10.172314&lt;/D&gt;&lt;D xsi:type="xsd:double"&gt;12.761414&lt;/D&gt;&lt;D xsi:type="xsd:double"&gt;5.0340652&lt;/D&gt;&lt;D xsi:type="xsd:double"&gt;0.39639473&lt;/D&gt;&lt;D xsi:type="xsd:double"&gt;2.8715014&lt;/D&gt;&lt;D xsi:type="xsd:double"&gt;-1.4305651&lt;/D&gt;&lt;D xsi:type="xsd:double"&gt;2.1230817&lt;/D&gt;&lt;D xsi:type="xsd:double"&gt;0.839448&lt;/D&gt;&lt;D xsi:type="xsd:double"&gt;-3.0176938&lt;/D&gt;&lt;D xsi:type="xsd:double"&gt;4.2918444&lt;/D&gt;&lt;D xsi:type="xsd:double"&gt;-1.2345672&lt;/D&gt;&lt;D xsi:type="xsd:double"&gt;2.5347233&lt;/D&gt;&lt;D xsi:type="xsd:double"&gt;1.6780019&lt;/D&gt;&lt;D xsi:type="xsd:double"&gt;3.2399654&lt;/D&gt;&lt;D xsi:type="xsd:double"&gt;0.13076067&lt;/D&gt;&lt;D xsi:type="xsd:double"&gt;-38.752853&lt;/D&gt;&lt;D xsi:type="xsd:double"&gt;19.882727&lt;/D&gt;&lt;D xsi:type="xsd:double"&gt;8.448195&lt;/D&gt;&lt;D xsi:type="xsd:double"&gt;6.3902736&lt;/D&gt;&lt;D xsi:type="xsd:double"&gt;5.7999253&lt;/D&gt;&lt;D xsi:type="xsd:double"&gt;4.5621753&lt;/D&gt;&lt;D xsi:type="xsd:double"&gt;-4.2575655&lt;/D&gt;&lt;D xsi:type="xsd:double"&gt;2.6093364&lt;/D&gt;&lt;D xsi:type="xsd:double"&gt;6.088829&lt;/D&gt;&lt;D xsi:type="xsd:double"&gt;5.1142693&lt;/D&gt;&lt;D xsi:type="xsd:double"&gt;4.2601705&lt;/D&gt;&lt;D xsi:type="xsd:double"&gt;3.0567646&lt;/D&gt;&lt;D xsi:type="xsd:double"&gt;4.1162252&lt;/D&gt;&lt;D xsi:type="xsd:double"&gt;1.8895268&lt;/D&gt;&lt;D xsi:type="xsd:double"&gt;6.3908696&lt;/D&gt;&lt;D xsi:type="xsd:double"&gt;0.8583665&lt;/D&gt;&lt;D xsi:type="xsd:double"&gt;-1.6853988&lt;/D&gt;&lt;D xsi:type="xsd:double"&gt;-0.7346928&lt;/D&gt;&lt;D xsi:type="xsd:double"&gt;-0.87718964&lt;/D&gt;&lt;D xsi:type="xsd:double"&gt;9.236729&lt;/D&gt;&lt;D xsi:type="xsd:double"&gt;-0.6329119&lt;/D&gt;&lt;D xsi:type="xsd:double"&gt;-4.25421&lt;/D&gt;&lt;D xsi:type="xsd:double"&gt;1.3477087&lt;/D&gt;&lt;D xsi:type="xsd:double"&gt;0.3989458&lt;/D&gt;&lt;D xsi:type="xsd:double"&gt;6.516552&lt;/D&gt;&lt;D xsi:type="xsd:double"&gt;-1.8900752&lt;/D&gt;&lt;D xsi:type="xsd:double"&gt;-8.21293&lt;/D&gt;&lt;D xsi:type="xsd:double"&gt;-4.7634363&lt;/D&gt;&lt;D xsi:type="xsd:double"&gt;-0.788784&lt;/D&gt;&lt;D xsi:type="xsd:double"&gt;4.6230793&lt;/D&gt;&lt;D xsi:type="xsd:double"&gt;-7.796228&lt;/D&gt;&lt;D xsi:type="xsd:double"&gt;-2.4420023&lt;/D&gt;&lt;D xsi:type="xsd:double"&gt;7.5093865&lt;/D&gt;&lt;D xsi:type="xsd:double"&gt;-2.8834343&lt;/D&gt;&lt;D xsi:type="xsd:double"&gt;6.7193627&lt;/D&gt;&lt;D xsi:type="xsd:double"&gt;-2.108258&lt;/D&gt;&lt;D xsi:type="xsd:double"&gt;-4.1618166&lt;/D&gt;&lt;D xsi:type="xsd:double"&gt;6.9541454&lt;/D&gt;&lt;D xsi:type="xsd:double"&gt;-1.2492955&lt;/D&gt;&lt;D xsi:type="xsd:double"&gt;-0.23568273&lt;/D&gt;&lt;D xsi:type="xsd:double"&gt;4.2212486&lt;/D&gt;&lt;D xsi:type="xsd:double"&gt;-5.9217873&lt;/D&gt;&lt;D xsi:type="xsd:double"&gt;0.979805&lt;/D&gt;&lt;D xsi:type="xsd:double"&gt;-4.4986725&lt;/D&gt;&lt;D xsi:type="xsd:double"&gt;5.9113383&lt;/D&gt;&lt;D xsi:type="xsd:double"&gt;6.5485&lt;/D&gt;&lt;D xsi:type="xsd:double"&gt;-0.19358397&lt;/D&gt;&lt;D xsi:type="xsd:double"&gt;1.1083484&lt;/D&gt;&lt;D xsi:type="xsd:double"&gt;4.6862125&lt;/D&gt;&lt;/FQL&gt;&lt;FQL&gt;&lt;Q&gt;TRYCH10Y-FDS^FG_YIELD(0,,,,"YTM")&lt;/Q&gt;&lt;R&gt;1&lt;/R&gt;&lt;C&gt;1&lt;/C&gt;&lt;D xsi:type="xsd:double"&gt;0.657&lt;/D&gt;&lt;/FQL&gt;&lt;FQL&gt;&lt;Q&gt;USDJPY^FG_PRICE_CHANGE(0,-6AM)&lt;/Q&gt;&lt;R&gt;1&lt;/R&gt;&lt;C&gt;1&lt;/C&gt;&lt;D xsi:type="xsd:double"&gt;2.7904034&lt;/D&gt;&lt;/FQL&gt;&lt;FQL&gt;&lt;Q&gt;URTH^FG_TOTAL_RETURNC(0,-6AM)&lt;/Q&gt;&lt;R&gt;1&lt;/R&gt;&lt;C&gt;1&lt;/C&gt;&lt;D xsi:type="xsd:double"&gt;20.201408&lt;/D&gt;&lt;/FQL&gt;&lt;FQL&gt;&lt;Q&gt;EWN^FMA_PE(LTM,0,,,"PORTAGG","MEANR")&lt;/Q&gt;&lt;R&gt;1&lt;/R&gt;&lt;C&gt;1&lt;/C&gt;&lt;D xsi:type="xsd:double"&gt;23.5663315984088&lt;/D&gt;&lt;/FQL&gt;&lt;FQL&gt;&lt;Q&gt;EWL^FG_TOTAL_RETURNC(0,-6AM)&lt;/Q&gt;&lt;R&gt;1&lt;/R&gt;&lt;C&gt;1&lt;/C&gt;&lt;D xsi:type="xsd:double"&gt;6.4443946&lt;/D&gt;&lt;/FQL&gt;&lt;FQL&gt;&lt;Q&gt;URTH^PERCENT_CHANGE(FMA_EPS(+1,0,,,,"PORTAGG","MEAN"),FMA_EPS(+1,-1AM,,,,"PORTAGG","MEAN"))&lt;/Q&gt;&lt;R&gt;1&lt;/R&gt;&lt;C&gt;1&lt;/C&gt;&lt;D xsi:type="xsd:double"&gt;0.142848363974887&lt;/D&gt;&lt;/FQL&gt;&lt;FQL&gt;&lt;Q&gt;EWA^JULIAN(FMA_DIV_YLD(NTMA,NOW,NOW,M,"PORTAGG","MEANR").DATES)&lt;/Q&gt;&lt;R&gt;1&lt;/R&gt;&lt;C&gt;1&lt;/C&gt;&lt;D xsi:type="xsd:long"&gt;45351&lt;/D&gt;&lt;/FQL&gt;&lt;FQL&gt;&lt;Q&gt;TRYTW10Y-FDS^FG_YIELD(-10AY,0,Y,,"YTM")&lt;/Q&gt;&lt;R&gt;10&lt;/R&gt;&lt;C&gt;1&lt;/C&gt;&lt;D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xsi:type="xsd:double"&gt;1.211&lt;/D&gt;&lt;/FQL&gt;&lt;FQL&gt;&lt;Q&gt;SPY^FMA_PE(LTMA,-10AY,0,AM,"PORTAGG","MEANR")&lt;/Q&gt;&lt;R&gt;121&lt;/R&gt;&lt;C&gt;1&lt;/C&gt;&lt;D xsi:type="xsd:double"&gt;16.3332181117049&lt;/D&gt;&lt;D xsi:type="xsd:double"&gt;16.2752839964841&lt;/D&gt;&lt;D xsi:type="xsd:double"&gt;16.1990295661506&lt;/D&gt;&lt;D xsi:type="xsd:double"&gt;16.4028395388227&lt;/D&gt;&lt;D xsi:type="xsd:double"&gt;16.4072291968288&lt;/D&gt;&lt;D xsi:type="xsd:double"&gt;16.4599513807028&lt;/D&gt;&lt;D xsi:type="xsd:double"&gt;16.6058578041484&lt;/D&gt;&lt;D xsi:type="xsd:double"&gt;16.2342511594978&lt;/D&gt;&lt;D xsi:type="xsd:double"&gt;17.0730053542918&lt;/D&gt;&lt;D xsi:type="xsd:double"&gt;17.3579591946434&lt;/D&gt;&lt;D xsi:type="xsd:double"&gt;17.0626443357983&lt;/D&gt;&lt;D xsi:type="xsd:double"&gt;17.6429237289594&lt;/D&gt;&lt;D xsi:type="xsd:double"&gt;17.5858031042949&lt;/D&gt;&lt;D xsi:type="xsd:double"&gt;17.5591127952663&lt;/D&gt;&lt;D xsi:type="xsd:double"&gt;17.5975606916361&lt;/D&gt;&lt;D xsi:type="xsd:double"&gt;17.5156174589587&lt;/D&gt;&lt;D xsi:type="xsd:double"&gt;17.5977605998733&lt;/D&gt;&lt;D xsi:type="xsd:double"&gt;16.8354731646229&lt;/D&gt;&lt;D xsi:type="xsd:double"&gt;16.7423188933481&lt;/D&gt;&lt;D xsi:type="xsd:double"&gt;17.0885971282663&lt;/D&gt;&lt;D xsi:type="xsd:double"&gt;17.4911271545451&lt;/D&gt;&lt;D xsi:type="xsd:double"&gt;16.9401863252454&lt;/D&gt;&lt;D xsi:type="xsd:double"&gt;15.6911034762622&lt;/D&gt;&lt;D xsi:type="xsd:double"&gt;16.2966838906097&lt;/D&gt;&lt;D xsi:type="xsd:double"&gt;16.18819342752&lt;/D&gt;&lt;D xsi:type="xsd:double"&gt;16.4452153070474&lt;/D&gt;&lt;D xsi:type="xsd:double"&gt;16.565182572191&lt;/D&gt;&lt;D xsi:type="xsd:double"&gt;16.8151741835239&lt;/D&gt;&lt;D xsi:type="xsd:double"&gt;17.2896224849393&lt;/D&gt;&lt;D xsi:type="xsd:double"&gt;17.5551761242907&lt;/D&gt;&lt;D xsi:type="xsd:double"&gt;17.6670656304825&lt;/D&gt;&lt;D xsi:type="xsd:double"&gt;17.6343437190018&lt;/D&gt;&lt;D xsi:type="xsd:double"&gt;18.200926088202&lt;/D&gt;&lt;D xsi:type="xsd:double"&gt;18.948772704301&lt;/D&gt;&lt;D xsi:type="xsd:double"&gt;18.9415395929387&lt;/D&gt;&lt;D xsi:type="xsd:double"&gt;19.5448527198271&lt;/D&gt;&lt;D xsi:type="xsd:double"&gt;19.3644651264214&lt;/D&gt;&lt;D xsi:type="xsd:double"&gt;19.1994278616709&lt;/D&gt;&lt;D xsi:type="xsd:double"&gt;19.1201745629167&lt;/D&gt;&lt;D xsi:type="xsd:double"&gt;19.1624801421107&lt;/D&gt;&lt;D xsi:type="xsd:double"&gt;19.2438984719265&lt;/D&gt;&lt;D xsi:type="xsd:double"&gt;18.8961069369424&lt;/D&gt;&lt;D xsi:type="xsd:double"&gt;19.2232686245715&lt;/D&gt;&lt;D xsi:type="xsd:double"&gt;19.7137874704413&lt;/D&gt;&lt;D xsi:type="xsd:double"&gt;19.7029698558363&lt;/D&gt;&lt;D xsi:type="xsd:double"&gt;20.3111992429769&lt;/D&gt;&lt;D xsi:type="xsd:double"&gt;21.0904832041873&lt;/D&gt;&lt;D xsi:type="xsd:double"&gt;19.7567245650876&lt;/D&gt;&lt;D xsi:type="xsd:double"&gt;19.6208390512632&lt;/D&gt;&lt;D xsi:type="xsd:double"&gt;19.2645987196442&lt;/D&gt;&lt;D xsi:type="xsd:double"&gt;19.0201415468036&lt;/D&gt;&lt;D xsi:type="xsd:double"&gt;18.7853146738113&lt;/D&gt;&lt;D xsi:type="xsd:double"&gt;18.674750798458&lt;/D&gt;&lt;D xsi:type="xsd:double"&gt;18.6140684186265&lt;/D&gt;&lt;D xsi:type="xsd:double"&gt;18.6887395038247&lt;/D&gt;&lt;D xsi:type="xsd:double"&gt;17.7528810739178&lt;/D&gt;&lt;D xsi:type="xsd:double"&gt;16.7383365597724&lt;/D&gt;&lt;D xsi:type="xsd:double"&gt;15.0645704519365&lt;/D&gt;&lt;D xsi:type="xsd:double"&gt;16.5224888589966&lt;/D&gt;&lt;D xsi:type="xsd:double"&gt;17.0670218322642&lt;/D&gt;&lt;D xsi:type="xsd:double"&gt;17.1698729919531&lt;/D&gt;&lt;D xsi:type="xsd:double"&gt;17.2409942985689&lt;/D&gt;&lt;D xsi:type="xsd:double"&gt;17.1502994067948&lt;/D&gt;&lt;D xsi:type="xsd:double"&gt;17.4041278988124&lt;/D&gt;&lt;D xsi:type="xsd:double"&gt;17.6123651208213&lt;/D&gt;&lt;D xsi:type="xsd:double"&gt;17.5107629026678&lt;/D&gt;&lt;D xsi:type="xsd:double"&gt;17.8618580445052&lt;/D&gt;&lt;D xsi:type="xsd:double"&gt;18.1466151059943&lt;/D&gt;&lt;D xsi:type="xsd:double"&gt;18.8400365918526&lt;/D&gt;&lt;D xsi:type="xsd:double"&gt;19.6974863863848&lt;/D&gt;&lt;D xsi:type="xsd:double"&gt;20.3573913387478&lt;/D&gt;&lt;D xsi:type="xsd:double"&gt;20.2408415805857&lt;/D&gt;&lt;D xsi:type="xsd:double"&gt;17.1533383093871&lt;/D&gt;&lt;D xsi:type="xsd:double"&gt;18.5917697803884&lt;/D&gt;&lt;D xsi:type="xsd:double"&gt;19.9937731340265&lt;/D&gt;&lt;D xsi:type="xsd:double"&gt;20.9670025857204&lt;/D&gt;&lt;D xsi:type="xsd:double"&gt;22.2244205474867&lt;/D&gt;&lt;D xsi:type="xsd:double"&gt;22.976985954264&lt;/D&gt;&lt;D xsi:type="xsd:double"&gt;22.9545432910785&lt;/D&gt;&lt;D xsi:type="xsd:double"&gt;24.160483269028&lt;/D&gt;&lt;D xsi:type="xsd:double"&gt;24.73581287235&lt;/D&gt;&lt;D xsi:type="xsd:double"&gt;26.7477730269563&lt;/D&gt;&lt;D xsi:type="xsd:double"&gt;27.5823084094018&lt;/D&gt;&lt;D xsi:type="xsd:double"&gt;27.1050543452608&lt;/D&gt;&lt;D xsi:type="xsd:double"&gt;26.0789342840654&lt;/D&gt;&lt;D xsi:type="xsd:double"&gt;25.9127809069414&lt;/D&gt;&lt;D xsi:type="xsd:double"&gt;25.1401300577244&lt;/D&gt;&lt;D xsi:type="xsd:double"&gt;24.7878599193886&lt;/D&gt;&lt;D xsi:type="xsd:double"&gt;24.5058840020264&lt;/D&gt;&lt;D xsi:type="xsd:double"&gt;23.9077107885581&lt;/D&gt;&lt;D xsi:type="xsd:double"&gt;23.199698197587&lt;/D&gt;&lt;D xsi:type="xsd:double"&gt;23.3500889923299&lt;/D&gt;&lt;D xsi:type="xsd:double"&gt;23.3653663745995&lt;/D&gt;&lt;D xsi:type="xsd:double"&gt;22.7919355086614&lt;/D&gt;&lt;D xsi:type="xsd:double"&gt;21.2655123976&lt;/D&gt;&lt;D xsi:type="xsd:double"&gt;20.6739851735004&lt;/D&gt;&lt;D xsi:type="xsd:double"&gt;20.6815094412756&lt;/D&gt;&lt;D xsi:type="xsd:double"&gt;20.4022565090099&lt;/D&gt;&lt;D xsi:type="xsd:double"&gt;19.4579528620817&lt;/D&gt;&lt;D xsi:type="xsd:double"&gt;18.7952928366485&lt;/D&gt;&lt;D xsi:type="xsd:double"&gt;19.0311758887719&lt;/D&gt;&lt;D xsi:type="xsd:double"&gt;19.524358225746&lt;/D&gt;&lt;D xsi:type="xsd:double"&gt;18.0125917629186&lt;/D&gt;&lt;D xsi:type="xsd:double"&gt;17.6753575066699&lt;/D&gt;&lt;D xsi:type="xsd:double"&gt;18.2115012245523&lt;/D&gt;&lt;D xsi:type="xsd:double"&gt;17.6915397896497&lt;/D&gt;&lt;D xsi:type="xsd:double"&gt;18.038201718176&lt;/D&gt;&lt;D xsi:type="xsd:double"&gt;18.1471879420938&lt;/D&gt;&lt;D xsi:type="xsd:double"&gt;18.0755901154564&lt;/D&gt;&lt;D xsi:type="xsd:double"&gt;18.3055301792717&lt;/D&gt;&lt;D xsi:type="xsd:double"&gt;18.4261548189411&lt;/D&gt;&lt;D xsi:type="xsd:double"&gt;18.8783362362801&lt;/D&gt;&lt;D xsi:type="xsd:double"&gt;19.5704184225046&lt;/D&gt;&lt;D xsi:type="xsd:double"&gt;19.2166225973093&lt;/D&gt;&lt;D xsi:type="xsd:double"&gt;19.1569568858119&lt;/D&gt;&lt;D xsi:type="xsd:double"&gt;18.9753888878289&lt;/D&gt;&lt;D xsi:type="xsd:double"&gt;20.2975992875825&lt;/D&gt;&lt;D xsi:type="xsd:double"&gt;21.5361465759972&lt;/D&gt;&lt;D xsi:type="xsd:double"&gt;22.0996971380218&lt;/D&gt;&lt;D xsi:type="xsd:double"&gt;22.3181837711001&lt;/D&gt;&lt;D xsi:type="xsd:double"&gt;22.7761030713401&lt;/D&gt;&lt;/FQL&gt;&lt;FQL&gt;&lt;Q&gt;EWD^FG_TOTAL_RETURNC(0,-6AM)&lt;/Q&gt;&lt;R&gt;1&lt;/R&gt;&lt;C&gt;1&lt;/C&gt;&lt;D xsi:type="xsd:double"&gt;29.561222&lt;/D&gt;&lt;/FQL&gt;&lt;FQL&gt;&lt;Q&gt;EWA^PERCENT_CHANGE(FMA_EPS(+1,0,,,,"PORTAGG","MEAN"),FMA_EPS(+1,-1AM,,,,"PORTAGG","MEAN"))&lt;/Q&gt;&lt;R&gt;1&lt;/R&gt;&lt;C&gt;1&lt;/C&gt;&lt;D xsi:type="xsd:double"&gt;1.85107513991691&lt;/D&gt;&lt;/FQL&gt;&lt;FQL&gt;&lt;Q&gt;USDEUR^FG_PRICE_CHANGE(0,-1AY)&lt;/Q&gt;&lt;R&gt;1&lt;/R&gt;&lt;C&gt;1&lt;/C&gt;&lt;D xsi:type="xsd:double"&gt;-0.833261&lt;/D&gt;&lt;/FQL&gt;&lt;FQL&gt;&lt;Q&gt;VGK^JULIAN(FMA_DIV_YLD(NTMA,NOW,NOW,M,"PORTAGG","MEANR").DATES)&lt;/Q&gt;&lt;R&gt;1&lt;/R&gt;&lt;C&gt;1&lt;/C&gt;&lt;D xsi:type="xsd:long"&gt;45322&lt;/D&gt;&lt;/FQL&gt;&lt;FQL&gt;&lt;Q&gt;ENZL^PERCENT_CHANGE(FMA_EPS(+1,0,,,,"PORTAGG","MEAN"),FMA_EPS(+1,-1AM,,,,"PORTAGG","MEAN"))&lt;/Q&gt;&lt;R&gt;1&lt;/R&gt;&lt;C&gt;1&lt;/C&gt;&lt;D xsi:type="xsd:double"&gt;-11.6405994719938&lt;/D&gt;&lt;/FQL&gt;&lt;FQL&gt;&lt;Q&gt;REFFFUND-FDS^(SUBARRAY(NOT_NA(NO_REPEAT_F(FG_YIELD(NOW,-10AY,D))),0,1)-SUBARRAY(NOT_NA(NO_REPEAT_F(FG_YIELD(NOW,-10AY,D))),1,1))*100&lt;/Q&gt;&lt;R&gt;1&lt;/R&gt;&lt;C&gt;1&lt;/C&gt;&lt;D xsi:type="xsd:double"&gt;25&lt;/D&gt;&lt;/FQL&gt;&lt;FQL&gt;&lt;Q&gt;QQQ^FG_PRICE_MAVG(0,,,,200)&lt;/Q&gt;&lt;R&gt;1&lt;/R&gt;&lt;C&gt;1&lt;/C&gt;&lt;D xsi:type="xsd:double"&gt;388.62375&lt;/D&gt;&lt;/FQL&gt;&lt;FQL&gt;&lt;Q&gt;EWA^FMA_PE(LTM,0,,,"PORTAGG","MEANR")&lt;/Q&gt;&lt;R&gt;1&lt;/R&gt;&lt;C&gt;1&lt;/C&gt;&lt;D xsi:type="xsd:double"&gt;17.9877338882236&lt;/D&gt;&lt;/FQL&gt;&lt;FQL&gt;&lt;Q&gt;EWU^FG_PRICE(0)&lt;/Q&gt;&lt;R&gt;1&lt;/R&gt;&lt;C&gt;1&lt;/C&gt;&lt;D xsi:type="xsd:double"&gt;33.88&lt;/D&gt;&lt;/FQL&gt;&lt;FQL&gt;&lt;Q&gt;USDEUR^FG_PRICE_CHANGE(0,-3AM)&lt;/Q&gt;&lt;R&gt;1&lt;/R&gt;&lt;C&gt;1&lt;/C&gt;&lt;D xsi:type="xsd:double"&gt;1.1877298&lt;/D&gt;&lt;/FQL&gt;&lt;FQL&gt;&lt;Q&gt;UUP^FG_TOTAL_RETURNC(0,-1AM)&lt;/Q&gt;&lt;R&gt;1&lt;/R&gt;&lt;C&gt;1&lt;/C&gt;&lt;D xsi:type="xsd:double"&gt;0.53533316&lt;/D&gt;&lt;/FQL&gt;&lt;FQL&gt;&lt;Q&gt;EWG^FMA_EVAL_EBIT(LTMA,NOW,NOW,M,"PORTAGG","MEANR")&lt;/Q&gt;&lt;R&gt;1&lt;/R&gt;&lt;C&gt;1&lt;/C&gt;&lt;D xsi:type="xsd:double"&gt;13.2685689592599&lt;/D&gt;&lt;/FQL&gt;&lt;FQL&gt;&lt;Q&gt;BRENT-FDS^MAX(FG_PRICE(0,-5AY))&lt;/Q&gt;&lt;R&gt;1&lt;/R&gt;&lt;C&gt;1&lt;/C&gt;&lt;D xsi:type="xsd:double"&gt;140.85&lt;/D&gt;&lt;/FQL&gt;&lt;FQL&gt;&lt;Q&gt;REFCATARG-FDS^FG_YIELD(NOW,,,0)&lt;/Q&gt;&lt;R&gt;1&lt;/R&gt;&lt;C&gt;1&lt;/C&gt;&lt;D xsi:type="xsd:double"&gt;5&lt;/D&gt;&lt;/FQL&gt;&lt;FQL&gt;&lt;Q&gt;TRYZA10Y-FDS^JULIAN(FG_YIELD(-10AY,0,CY,,"YTM").DATES)&lt;/Q&gt;&lt;R&gt;10&lt;/R&gt;&lt;C&gt;1&lt;/C&gt;&lt;D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xsi:type="xsd:long"&gt;45289&lt;/D&gt;&lt;/FQL&gt;&lt;FQL&gt;&lt;Q&gt;USDEUR^FG_PRICE_CHANGE(0,-1AM)&lt;/Q&gt;&lt;R&gt;1&lt;/R&gt;&lt;C&gt;1&lt;/C&gt;&lt;D xsi:type="xsd:double"&gt;-0.51100254&lt;/D&gt;&lt;/FQL&gt;&lt;FQL&gt;&lt;Q&gt;CAGDPY@IT^EE_ACTUAL_ANNUAL(MED,0)&lt;/Q&gt;&lt;R&gt;1&lt;/R&gt;&lt;C&gt;1&lt;/C&gt;&lt;D xsi:type="xsd:double"&gt;0.16351971143806&lt;/D&gt;&lt;/FQL&gt;&lt;FQL&gt;&lt;Q&gt;USDEUR^FG_PRICE(0)&lt;/Q&gt;&lt;R&gt;1&lt;/R&gt;&lt;C&gt;1&lt;/C&gt;&lt;D xsi:type="xsd:double"&gt;0.9207255&lt;/D&gt;&lt;/FQL&gt;&lt;FQL&gt;&lt;Q&gt;PASP-FDS^FG_PRICE_CHANGE(0,-1AM)&lt;/Q&gt;&lt;R&gt;1&lt;/R&gt;&lt;C&gt;1&lt;/C&gt;&lt;D xsi:type="xsd:double"&gt;6.70731707317074&lt;/D&gt;&lt;/FQL&gt;&lt;FQL&gt;&lt;Q&gt;FXI^P_PRICE(0)/P_PRICE_HIGH_PR(0,,,USD,,,"PRICE","INTRA","52W")&lt;/Q&gt;&lt;R&gt;1&lt;/R&gt;&lt;C&gt;1&lt;/C&gt;&lt;D xsi:type="xsd:double"&gt;0.7865095&lt;/D&gt;&lt;/FQL&gt;&lt;FQL&gt;&lt;Q&gt;ENZL^FG_TOTAL_RETURNC(0,-12AM)&lt;/Q&gt;&lt;R&gt;1&lt;/R&gt;&lt;C&gt;1&lt;/C&gt;&lt;D xsi:type="xsd:double"&gt;-2.924031&lt;/D&gt;&lt;/FQL&gt;&lt;FQL&gt;&lt;Q&gt;EWI^FMA_EVAL_EBIT(LTMA,NOW,NOW,M,"PORTAGG","MEANR")&lt;/Q&gt;&lt;R&gt;1&lt;/R&gt;&lt;C&gt;1&lt;/C&gt;&lt;D xsi:type="xsd:double"&gt;11.2684586911266&lt;/D&gt;&lt;/FQL&gt;&lt;FQL&gt;&lt;Q&gt;EWJ^JULIAN(FMA_DIV_YLD(NTMA,NOW,NOW,M,"PORTAGG","MEANR").DATES)&lt;/Q&gt;&lt;R&gt;1&lt;/R&gt;&lt;C&gt;1&lt;/C&gt;&lt;D xsi:type="xsd:long"&gt;45351&lt;/D&gt;&lt;/FQL&gt;&lt;FQL&gt;&lt;Q&gt;VGK^SIZE(FG_CONSTITUENTS)&lt;/Q&gt;&lt;R&gt;1&lt;/R&gt;&lt;C&gt;1&lt;/C&gt;&lt;D xsi:type="xsd:long"&gt;1296&lt;/D&gt;&lt;/FQL&gt;&lt;FQL&gt;&lt;Q&gt;EWQ^FMA_EPS(NTMA,-20AY,0,CY,,"PORTAGG","MEANR")&lt;/Q&gt;&lt;R&gt;20&lt;/R&gt;&lt;C&gt;1&lt;/C&gt;&lt;D xsi:type="xsd:double"&gt;2.02293794620879&lt;/D&gt;&lt;D xsi:type="xsd:double"&gt;2.09338204215347&lt;/D&gt;&lt;D xsi:type="xsd:double"&gt;2.69740018358616&lt;/D&gt;&lt;D xsi:type="xsd:double"&gt;3.1669085058651&lt;/D&gt;&lt;D xsi:type="xsd:double"&gt;2.36664992614361&lt;/D&gt;&lt;D xsi:type="xsd:double"&gt;2.07401175960449&lt;/D&gt;&lt;D xsi:type="xsd:double"&gt;2.36258917800502&lt;/D&gt;&lt;D xsi:type="xsd:double"&gt;2.15605314606315&lt;/D&gt;&lt;D xsi:type="xsd:double"&gt;2.15764377090538&lt;/D&gt;&lt;D xsi:type="xsd:double"&gt;2.15768724966229&lt;/D&gt;&lt;D xsi:type="xsd:double"&gt;1.78907537429816&lt;/D&gt;&lt;D xsi:type="xsd:double"&gt;1.66363137331966&lt;/D&gt;&lt;D xsi:type="xsd:double"&gt;1.69319582409989&lt;/D&gt;&lt;D xsi:type="xsd:double"&gt;2.10907755629154&lt;/D&gt;&lt;D xsi:type="xsd:double"&gt;2.23155948612122&lt;/D&gt;&lt;D xsi:type="xsd:double"&gt;2.19705971714274&lt;/D&gt;&lt;D xsi:type="xsd:double"&gt;1.85113612011142&lt;/D&gt;&lt;D xsi:type="xsd:double"&gt;2.46081798651847&lt;/D&gt;&lt;D xsi:type="xsd:double"&gt;2.80265475944353&lt;/D&gt;&lt;D xsi:type="xsd:double"&gt;2.92072613428035&lt;/D&gt;&lt;/FQL&gt;&lt;FQL&gt;&lt;Q&gt;ENZL^P_PRICE(0)/P_PRICE_HIGH_PR(0,,,USD,,,"PRICE","INTRA","52W")&lt;/Q&gt;&lt;R&gt;1&lt;/R&gt;&lt;C&gt;1&lt;/C&gt;&lt;D xsi:type="xsd:double"&gt;0.8791423&lt;/D&gt;&lt;/FQL&gt;&lt;FQL&gt;&lt;Q&gt;TRYDE10Y-FDS^PCTCHG(FG_YIELD(0,,,,"YTM"),FG_YIELD(-1AM,,,,"YTM"))&lt;/Q&gt;&lt;R&gt;1&lt;/R&gt;&lt;C&gt;1&lt;/C&gt;&lt;D xsi:type="xsd:double"&gt;0.082844034&lt;/D&gt;&lt;/FQL&gt;&lt;FQL&gt;&lt;Q&gt;GLD^P_PRICE(0)/P_PRICE_HIGH_PR(0,,,USD,,,"PRICE","INTRA","52W")&lt;/Q&gt;&lt;R&gt;1&lt;/R&gt;&lt;C&gt;1&lt;/C&gt;&lt;D xsi:type="xsd:double"&gt;0.99043745&lt;/D&gt;&lt;/FQL&gt;&lt;FQL&gt;&lt;Q&gt;SPY^FMA_EPS(NTMA,-20AY,0,CY,,"PORTAGG","MEANR")&lt;/Q&gt;&lt;R&gt;20&lt;/R&gt;&lt;C&gt;1&lt;/C&gt;&lt;D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xsi:type="xsd:double"&gt;17.7294354291135&lt;/D&gt;&lt;D xsi:type="xsd:double"&gt;16.6617703355475&lt;/D&gt;&lt;D xsi:type="xsd:double"&gt;22.2767073894672&lt;/D&gt;&lt;D xsi:type="xsd:double"&gt;22.9690023603335&lt;/D&gt;&lt;D xsi:type="xsd:double"&gt;24.3482730638147&lt;/D&gt;&lt;/FQL&gt;&lt;FQL&gt;&lt;Q&gt;PASP-FDS^FG_PRICE_MAVG(0,,,,30)&lt;/Q&gt;&lt;R&gt;1&lt;/R&gt;&lt;C&gt;1&lt;/C&gt;&lt;D xsi:type="xsd:double"&gt;989.2&lt;/D&gt;&lt;/FQL&gt;&lt;FQL&gt;&lt;Q&gt;ENZL^FG_TOTAL_RETURNC(0,-6AM)&lt;/Q&gt;&lt;R&gt;1&lt;/R&gt;&lt;C&gt;1&lt;/C&gt;&lt;D xsi:type="xsd:double"&gt;4.1831493&lt;/D&gt;&lt;/FQL&gt;&lt;FQL&gt;&lt;Q&gt;EWJ^FMA_EPS(NTMA,-20AY,0,CY,,"PORTAGG","MEANR")&lt;/Q&gt;&lt;R&gt;20&lt;/R&gt;&lt;C&gt;1&lt;/C&gt;&lt;D xsi:type="xsd:double"&gt;2.83572005832403&lt;/D&gt;&lt;D xsi:type="xsd:double"&gt;2.84830335934349&lt;/D&gt;&lt;D xsi:type="xsd:double"&gt;3.29156932486821&lt;/D&gt;&lt;D xsi:type="xsd:double"&gt;3.66778515674736&lt;/D&gt;&lt;D xsi:type="xsd:double"&gt;2.74393009109397&lt;/D&gt;&lt;D xsi:type="xsd:double"&gt;1.93733358061505&lt;/D&gt;&lt;D xsi:type="xsd:double"&gt;3.17729322550467&lt;/D&gt;&lt;D xsi:type="xsd:double"&gt;3.09458124193192&lt;/D&gt;&lt;D xsi:type="xsd:double"&gt;2.8747287105461&lt;/D&gt;&lt;D xsi:type="xsd:double"&gt;3.27496071085416&lt;/D&gt;&lt;D xsi:type="xsd:double"&gt;3.14456301788536&lt;/D&gt;&lt;D xsi:type="xsd:double"&gt;3.44827515089069&lt;/D&gt;&lt;D xsi:type="xsd:double"&gt;3.33160709427031&lt;/D&gt;&lt;D xsi:type="xsd:double"&gt;4.07233312791291&lt;/D&gt;&lt;D xsi:type="xsd:double"&gt;4.56488250158257&lt;/D&gt;&lt;D xsi:type="xsd:double"&gt;4.07638219874125&lt;/D&gt;&lt;D xsi:type="xsd:double"&gt;3.67789534776584&lt;/D&gt;&lt;D xsi:type="xsd:double"&gt;4.61613845138492&lt;/D&gt;&lt;D xsi:type="xsd:double"&gt;4.46089531352278&lt;/D&gt;&lt;D xsi:type="xsd:double"&gt;4.56547544298887&lt;/D&gt;&lt;/FQL&gt;&lt;FQL&gt;&lt;Q&gt;EWI^FG_ROE(0)&lt;/Q&gt;&lt;R&gt;1&lt;/R&gt;&lt;C&gt;1&lt;/C&gt;&lt;D xsi:type="xsd:double"&gt;13.3038801537616&lt;/D&gt;&lt;/FQL&gt;&lt;FQL&gt;&lt;Q&gt;URTH^FG_TOTAL_RETURNC(0,-1AM)&lt;/Q&gt;&lt;R&gt;1&lt;/R&gt;&lt;C&gt;1&lt;/C&gt;&lt;D xsi:type="xsd:double"&gt;5.0617337&lt;/D&gt;&lt;/FQL&gt;&lt;FQL&gt;&lt;Q&gt;EWL^P_PRICE(0)/P_PRICE_LOW_PR(0,,,USD,,,"PRICE","INTRA","52W")-1&lt;/Q&gt;&lt;R&gt;1&lt;/R&gt;&lt;C&gt;1&lt;/C&gt;&lt;D xsi:type="xsd:double"&gt;0.14488566&lt;/D&gt;&lt;/FQL&gt;&lt;FQL&gt;&lt;Q&gt;ENZL^FG_TOTAL_RETURNC(0,-3AM)&lt;/Q&gt;&lt;R&gt;1&lt;/R&gt;&lt;C&gt;1&lt;/C&gt;&lt;D xsi:type="xsd:double"&gt;-5.5101633&lt;/D&gt;&lt;/FQL&gt;&lt;FQL&gt;&lt;Q&gt;TRYCA10Y-FDS^PCTCHG(FG_YIELD(0,,,,"YTM"),FG_YIELD(-3AM,,,,"YTM"))&lt;/Q&gt;&lt;R&gt;1&lt;/R&gt;&lt;C&gt;1&lt;/C&gt;&lt;D xsi:type="xsd:double"&gt;13.030607&lt;/D&gt;&lt;/FQL&gt;&lt;FQL&gt;&lt;Q&gt;GLD^FG_TOTAL_RETURNC(0,-6AM)&lt;/Q&gt;&lt;R&gt;1&lt;/R&gt;&lt;C&gt;1&lt;/C&gt;&lt;D xsi:type="xsd:double"&gt;13.434422&lt;/D&gt;&lt;/FQL&gt;&lt;FQL&gt;&lt;Q&gt;CC_CA^FG_COMPANY_NAME&lt;/Q&gt;&lt;R&gt;1&lt;/R&gt;&lt;C&gt;1&lt;/C&gt;&lt;D xsi:type="xsd:string"&gt;Canada&lt;/D&gt;&lt;/FQL&gt;&lt;FQL&gt;&lt;Q&gt;QQQ^FMA_EPS(NTMA,-20AY,0,CY,,"PORTAGG","MEANR")&lt;/Q&gt;&lt;R&gt;20&lt;/R&gt;&lt;C&gt;1&lt;/C&gt;&lt;D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xsi:type="xsd:double"&gt;9.35231845695689&lt;/D&gt;&lt;D xsi:type="xsd:double"&gt;10.4260783076313&lt;/D&gt;&lt;D xsi:type="xsd:double"&gt;13.6402697494705&lt;/D&gt;&lt;D xsi:type="xsd:double"&gt;12.7503134568906&lt;/D&gt;&lt;D xsi:type="xsd:double"&gt;16.3242202004236&lt;/D&gt;&lt;/FQL&gt;&lt;FQL&gt;&lt;Q&gt;NI-FDS^MAX(FG_PRICE(0,-5AY))&lt;/Q&gt;&lt;R&gt;1&lt;/R&gt;&lt;C&gt;1&lt;/C&gt;&lt;D xsi:type="xsd:double"&gt;48241&lt;/D&gt;&lt;/FQL&gt;&lt;FQL&gt;&lt;Q&gt;ENZL^PERCENT_CHANGE(FMA_EPS(+1,0,,,,"PORTAGG","MEAN"),FMA_EPS(+1,-3AM,,,,"PORTAGG","MEAN"))&lt;/Q&gt;&lt;R&gt;1&lt;/R&gt;&lt;C&gt;1&lt;/C&gt;&lt;D xsi:type="xsd:double"&gt;-15.9987807901588&lt;/D&gt;&lt;/FQL&gt;&lt;FQL&gt;&lt;Q&gt;GLD^FG_TOTAL_RETURNC(0,-3AM)&lt;/Q&gt;&lt;R&gt;1&lt;/R&gt;&lt;C&gt;1&lt;/C&gt;&lt;D xsi:type="xsd:double"&gt;6.6198587&lt;/D&gt;&lt;/FQL&gt;&lt;FQL&gt;&lt;Q&gt;W-FDS^FG_PRICE_CHANGE(0,-1AM)&lt;/Q&gt;&lt;R&gt;1&lt;/R&gt;&lt;C&gt;1&lt;/C&gt;&lt;D xsi:type="xsd:double"&gt;-6.2580368624089&lt;/D&gt;&lt;/FQL&gt;&lt;FQL&gt;&lt;Q&gt;DUMMY^ECON_DATE(45344,,, 'MM/YYYY')&lt;/Q&gt;&lt;R&gt;1&lt;/R&gt;&lt;C&gt;1&lt;/C&gt;&lt;D xsi:type="xsd:string"&gt;02/2024&lt;/D&gt;&lt;/FQL&gt;&lt;FQL&gt;&lt;Q&gt;DUMMY^ECON_DATE(45252,,, 'MM/YYYY')&lt;/Q&gt;&lt;R&gt;1&lt;/R&gt;&lt;C&gt;1&lt;/C&gt;&lt;D xsi:type="xsd:string"&gt;11/2023&lt;/D&gt;&lt;/FQL&gt;&lt;FQL&gt;&lt;Q&gt;DUMMY^ECON_EXPR_DATA('FDS_ECON[NTCPMIMFGSA@NZ]',02/2024,,Q)&lt;/Q&gt;&lt;R&gt;1&lt;/R&gt;&lt;C&gt;1&lt;/C&gt;&lt;D xsi:type="xsd:double"&gt;44.351116&lt;/D&gt;&lt;/FQL&gt;&lt;FQL&gt;&lt;Q&gt;DUMMY^ECON_EXPR_DATA('FDS_ECON[NTCPMIMFGSA@NZ]',11/2023,,Q)&lt;/Q&gt;&lt;R&gt;1&lt;/R&gt;&lt;C&gt;1&lt;/C&gt;&lt;D xsi:type="xsd:double"&gt;45.880733&lt;/D&gt;&lt;/FQL&gt;&lt;FQL&gt;&lt;Q&gt;DUMMY^ECON_EXPR_DATA('FDS_ECON[NTCPMIMFGSA@AU]',02/2024,,Q)&lt;/Q&gt;&lt;R&gt;1&lt;/R&gt;&lt;C&gt;1&lt;/C&gt;&lt;D xsi:type="xsd:double"&gt;47.862293&lt;/D&gt;&lt;/FQL&gt;&lt;FQL&gt;&lt;Q&gt;DUMMY^ECON_EXPR_DATA('FDS_ECON[NTCPMIMFGSA@AU]',11/2023,,Q)&lt;/Q&gt;&lt;R&gt;1&lt;/R&gt;&lt;C&gt;1&lt;/C&gt;&lt;D xsi:type="xsd:double"&gt;49.327065&lt;/D&gt;&lt;/FQL&gt;&lt;FQL&gt;&lt;Q&gt;DUMMY^ECON_EXPR_DATA('FDS_ECON[NTCPMIMFGSA@CA]',02/2024,,Q)&lt;/Q&gt;&lt;R&gt;1&lt;/R&gt;&lt;C&gt;1&lt;/C&gt;&lt;D xsi:type="xsd:double"&gt;47.255585&lt;/D&gt;&lt;/FQL&gt;&lt;FQL&gt;&lt;Q&gt;DUMMY^ECON_EXPR_DATA('FDS_ECON[NTCPMIMFGSA@CA]',11/2023,,Q)&lt;/Q&gt;&lt;R&gt;1&lt;/R&gt;&lt;C&gt;1&lt;/C&gt;&lt;D xsi:type="xsd:double"&gt;48.335907&lt;/D&gt;&lt;/FQL&gt;&lt;FQL&gt;&lt;Q&gt;DUMMY^ECON_EXPR_DATA('FDS_ECON[NTCPMIMFGSA@DE]',02/2024,,Q)&lt;/Q&gt;&lt;R&gt;1&lt;/R&gt;&lt;C&gt;1&lt;/C&gt;&lt;D xsi:type="xsd:double"&gt;42.238945&lt;/D&gt;&lt;/FQL&gt;&lt;FQL&gt;&lt;Q&gt;DUMMY^ECON_EXPR_DATA('FDS_ECON[NTCPMIMFGSA@DE]',11/2023,,Q)&lt;/Q&gt;&lt;R&gt;1&lt;/R&gt;&lt;C&gt;1&lt;/C&gt;&lt;D xsi:type="xsd:double"&gt;39.155674&lt;/D&gt;&lt;/FQL&gt;&lt;FQL&gt;&lt;Q&gt;DUMMY^ECON_EXPR_DATA('FDS_ECON[NTCPMIMFGSA@JP]',02/2024,,Q)&lt;/Q&gt;&lt;R&gt;1&lt;/R&gt;&lt;C&gt;1&lt;/C&gt;&lt;D xsi:type="xsd:double"&gt;48.31877&lt;/D&gt;&lt;/FQL&gt;&lt;FQL&gt;&lt;Q&gt;DUMMY^ECON_EXPR_DATA('FDS_ECON[NTCPMIMFGSA@JP]',11/2023,,Q)&lt;/Q&gt;&lt;R&gt;1&lt;/R&gt;&lt;C&gt;1&lt;/C&gt;&lt;D xsi:type="xsd:double"&gt;49.252666&lt;/D&gt;&lt;/FQL&gt;&lt;FQL&gt;&lt;Q&gt;DUMMY^ECON_EXPR_DATA('FDS_ECON[NTCPMIMFGSA@CH]',02/2024,,Q)&lt;/Q&gt;&lt;R&gt;1&lt;/R&gt;&lt;C&gt;1&lt;/C&gt;&lt;D xsi:type="xsd:double"&gt;41.921543&lt;/D&gt;&lt;/FQL&gt;&lt;FQL&gt;&lt;Q&gt;DUMMY^ECON_EXPR_DATA('FDS_ECON[NTCPMIMFGSA@CH]',11/2023,,Q)&lt;/Q&gt;&lt;R&gt;1&lt;/R&gt;&lt;C&gt;1&lt;/C&gt;&lt;D xsi:type="xsd:double"&gt;41.102364&lt;/D&gt;&lt;/FQL&gt;&lt;FQL&gt;&lt;Q&gt;DUMMY^ECON_EXPR_DATA('FDS_ECON[NTCPMIMFGSA@GB]',02/2024,,Q)&lt;/Q&gt;&lt;R&gt;1&lt;/R&gt;&lt;C&gt;1&lt;/C&gt;&lt;D xsi:type="xsd:double"&gt;46.0587&lt;/D&gt;&lt;/FQL&gt;&lt;FQL&gt;&lt;Q&gt;DUMMY^ECON_EXPR_DATA('FDS_ECON[NTCPMIMFGSA@GB]',11/2023,,Q)&lt;/Q&gt;&lt;R&gt;1&lt;/R&gt;&lt;C&gt;1&lt;/C&gt;&lt;D xsi:type="xsd:double"&gt;44.209953&lt;/D&gt;&lt;/FQL&gt;&lt;FQL&gt;&lt;Q&gt;DUMMY^ECON_EXPR_DATA('FDS_ECON[NTCPMIMFGMESA@US]',02/2024,,Q)&lt;/Q&gt;&lt;R&gt;1&lt;/R&gt;&lt;C&gt;1&lt;/C&gt;&lt;D xsi:type="xsd:double"&gt;49.098827&lt;/D&gt;&lt;/FQL&gt;&lt;FQL&gt;&lt;Q&gt;DUMMY^ECON_EXPR_DATA('FDS_ECON[NTCPMIMFGMESA@US]',11/2023,,Q)&lt;/Q&gt;&lt;R&gt;1&lt;/R&gt;&lt;C&gt;1&lt;/C&gt;&lt;D xsi:type="xsd:double"&gt;48.91491&lt;/D&gt;&lt;/FQL&gt;&lt;FQL&gt;&lt;Q&gt;DUMMY^ECON_EXPR_DATA('FDS_ECON[NTCPMIMFGSA@FR]',02/2024,,Q)&lt;/Q&gt;&lt;R&gt;1&lt;/R&gt;&lt;C&gt;1&lt;/C&gt;&lt;D xsi:type="xsd:double"&gt;42.573967&lt;/D&gt;&lt;/FQL&gt;&lt;FQL&gt;&lt;Q&gt;DUMMY^ECON_EXPR_DATA('FDS_ECON[NTCPMIMFGSA@FR]',11/2023,,Q)&lt;/Q&gt;&lt;R&gt;1&lt;/R&gt;&lt;C&gt;1&lt;/C&gt;&lt;D xsi:type="xsd:double"&gt;45.09797&lt;/D&gt;&lt;/FQL&gt;&lt;FQL&gt;&lt;Q&gt;DUMMY^ECON_EXPR_DATA('FDS_ECON[NTCPMIMFGSA@NL]',02/2024,,Q)&lt;/Q&gt;&lt;R&gt;1&lt;/R&gt;&lt;C&gt;1&lt;/C&gt;&lt;D xsi:type="xsd:double"&gt;44.495136&lt;/D&gt;&lt;/FQL&gt;&lt;FQL&gt;&lt;Q&gt;DUMMY^ECON_EXPR_DATA('FDS_ECON[NTCPMIMFGSA@NL]',11/2023,,Q)&lt;/Q&gt;&lt;R&gt;1&lt;/R&gt;&lt;C&gt;1&lt;/C&gt;&lt;D xsi:type="xsd:double"&gt;44.945713&lt;/D&gt;&lt;/FQL&gt;&lt;FQL&gt;&lt;Q&gt;DUMMY^ECON_EXPR_DATA('FDS_ECON[]',02/2024,,Q)&lt;/Q&gt;&lt;R&gt;0&lt;/R&gt;&lt;C&gt;0&lt;/C&gt;&lt;/FQL&gt;&lt;FQL&gt;&lt;Q&gt;DUMMY^ECON_EXPR_DATA('FDS_ECON[]',11/2023,,Q)&lt;/Q&gt;&lt;R&gt;0&lt;/R&gt;&lt;C&gt;0&lt;/C&gt;&lt;/FQL&gt;&lt;FQL&gt;&lt;Q&gt;DUMMY^ECON_EXPR_DATA('FDS_ECON[NTCPMIMFGSA@IT]',02/2024,,Q)&lt;/Q&gt;&lt;R&gt;1&lt;/R&gt;&lt;C&gt;1&lt;/C&gt;&lt;D xsi:type="xsd:double"&gt;44.859455&lt;/D&gt;&lt;/FQL&gt;&lt;FQL&gt;&lt;Q&gt;DUMMY^ECON_EXPR_DATA('FDS_ECON[NTCPMIMFGSA@IT]',11/2023,,Q)&lt;/Q&gt;&lt;R&gt;1&lt;/R&gt;&lt;C&gt;1&lt;/C&gt;&lt;D xsi:type="xsd:double"&gt;45.562866&lt;/D&gt;&lt;/FQL&gt;&lt;FQL&gt;&lt;Q&gt;DUMMY^ECON_EXPR_DATA('FDS_ECON[PMIDMMANHE]',02/2024,,Q)&lt;/Q&gt;&lt;R&gt;1&lt;/R&gt;&lt;C&gt;1&lt;/C&gt;&lt;D xsi:type="xsd:double"&gt;47.378044&lt;/D&gt;&lt;/FQL&gt;&lt;FQL&gt;&lt;Q&gt;DUMMY^ECON_EXPR_DATA('FDS_ECON[PMIDMMANHE]',11/2023,,Q)&lt;/Q&gt;&lt;R&gt;1&lt;/R&gt;&lt;C&gt;1&lt;/C&gt;&lt;D xsi:type="xsd:double"&gt;47.086407&lt;/D&gt;&lt;/FQL&gt;&lt;FQL&gt;&lt;Q&gt;DUMMY^ECON_EXPR_DATA('FDS_ECON[NTCPMIMFGSA@EME]',02/2024,,Q)&lt;/Q&gt;&lt;R&gt;1&lt;/R&gt;&lt;C&gt;1&lt;/C&gt;&lt;D xsi:type="xsd:double"&gt;50.64065&lt;/D&gt;&lt;/FQL&gt;&lt;FQL&gt;&lt;Q&gt;DUMMY^ECON_EXPR_DATA('FDS_ECON[NTCPMIMFGSA@EME]',11/2023,,Q)&lt;/Q&gt;&lt;R&gt;1&lt;/R&gt;&lt;C&gt;1&lt;/C&gt;&lt;D xsi:type="xsd:double"&gt;50.814144&lt;/D&gt;&lt;/FQL&gt;&lt;/Schema&gt;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<sst xmlns="http://schemas.openxmlformats.org/spreadsheetml/2006/main" count="2053" uniqueCount="915">
  <si>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</si>
  <si>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</si>
  <si>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</si>
  <si>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</si>
  <si>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</si>
  <si>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</si>
  <si>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</si>
  <si>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</si>
  <si>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</si>
  <si>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</si>
  <si>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</si>
  <si>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</si>
  <si>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</si>
  <si>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</si>
  <si>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</si>
  <si>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</si>
  <si>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</si>
  <si>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</si>
  <si>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</si>
  <si>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</si>
  <si>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</si>
  <si>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</si>
  <si>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</si>
  <si>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</si>
  <si>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</si>
  <si>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</si>
  <si>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</si>
  <si>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</si>
  <si>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</si>
  <si>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</si>
  <si>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</si>
  <si>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</si>
  <si>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</si>
  <si>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</si>
  <si>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</si>
  <si>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</si>
  <si>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</si>
  <si>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</si>
  <si>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</si>
  <si>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</si>
  <si>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</si>
  <si>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</si>
  <si>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</si>
  <si>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</si>
  <si>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</si>
  <si>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</si>
  <si>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</si>
  <si>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</si>
  <si>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</si>
  <si>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</si>
  <si>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</si>
  <si>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</si>
  <si>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</si>
  <si>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</si>
  <si>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</si>
  <si>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</si>
  <si>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</si>
  <si>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</si>
  <si>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</si>
  <si>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</si>
  <si>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</si>
  <si>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</si>
  <si>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</si>
  <si>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</si>
  <si>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</si>
  <si>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</si>
  <si>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</si>
  <si>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</si>
  <si>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</si>
  <si>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</si>
  <si>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</si>
  <si>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</si>
  <si>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</si>
  <si>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</si>
  <si>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</si>
  <si>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</si>
  <si>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</si>
  <si>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</si>
  <si>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</si>
  <si>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</si>
  <si>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</si>
  <si>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</si>
  <si>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</si>
  <si>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</si>
  <si>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</si>
  <si>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</si>
  <si>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</si>
  <si>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</si>
  <si>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</si>
  <si>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</si>
  <si>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</si>
  <si>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</si>
  <si>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</si>
  <si>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</si>
  <si>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</si>
  <si>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</si>
  <si>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</si>
  <si>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</si>
  <si>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</si>
  <si>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</si>
  <si>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</si>
  <si>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</si>
  <si>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</si>
  <si>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</si>
  <si>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</si>
  <si>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</si>
  <si>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</si>
  <si>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</si>
  <si>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</si>
  <si>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</si>
  <si>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</si>
  <si>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</si>
  <si>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</si>
  <si>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</si>
  <si>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</si>
  <si>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</si>
  <si>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</si>
  <si>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</si>
  <si>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</si>
  <si>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</si>
  <si>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</si>
  <si>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</si>
  <si>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</si>
  <si>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</si>
  <si>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</si>
  <si>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</si>
  <si>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</si>
  <si>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</si>
  <si>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</si>
  <si>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</si>
  <si>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</si>
  <si>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</si>
  <si>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</si>
  <si>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</si>
  <si>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</si>
  <si>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</si>
  <si>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</si>
  <si>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</si>
  <si>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</si>
  <si>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</si>
  <si>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</si>
  <si>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</si>
  <si>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</si>
  <si>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</si>
  <si>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</si>
  <si>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</si>
  <si>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</si>
  <si>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</si>
  <si>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</si>
  <si>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</si>
  <si>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</si>
  <si>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</si>
  <si>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</si>
  <si>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</si>
  <si>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</si>
  <si>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</si>
  <si>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</si>
  <si>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</si>
  <si>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</si>
  <si>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</si>
  <si>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</si>
  <si>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</si>
  <si>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</si>
  <si>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</si>
  <si>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</si>
  <si>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</si>
  <si>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</si>
  <si>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</si>
  <si>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</si>
  <si>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</si>
  <si>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</si>
  <si>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</si>
  <si>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</si>
  <si>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</si>
  <si>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</si>
  <si>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</si>
  <si>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</si>
  <si>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</si>
  <si>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</si>
  <si>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</si>
  <si>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</si>
  <si>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</si>
  <si>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</si>
  <si>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</si>
  <si>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</si>
  <si>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</si>
  <si>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</si>
  <si>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</si>
  <si>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</si>
  <si>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</si>
  <si>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</si>
  <si>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</si>
  <si>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</si>
  <si>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</si>
  <si>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</si>
  <si>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</si>
  <si>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</si>
  <si>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</si>
  <si>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</si>
  <si>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</si>
  <si>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</si>
  <si>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</si>
  <si>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</si>
  <si>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</si>
  <si>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</si>
  <si>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</si>
  <si>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</si>
  <si>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</si>
  <si>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</si>
  <si>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</si>
  <si>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</si>
  <si>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</si>
  <si>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</si>
  <si>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</si>
  <si>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</si>
  <si>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</si>
  <si>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</si>
  <si>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</si>
  <si>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</si>
  <si>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</si>
  <si>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</si>
  <si>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</si>
  <si>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</si>
  <si>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</si>
  <si>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</si>
  <si>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</si>
  <si>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</si>
  <si>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</si>
  <si>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</si>
  <si>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</si>
  <si>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</si>
  <si>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</si>
  <si>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</si>
  <si>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</si>
  <si>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</si>
  <si>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</si>
  <si>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</si>
  <si>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</si>
  <si>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</si>
  <si>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</si>
  <si>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</si>
  <si>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</si>
  <si>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</si>
  <si>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</si>
  <si>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</si>
  <si>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</si>
  <si>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</si>
  <si>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</si>
  <si>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</si>
  <si>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</si>
  <si>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</si>
  <si>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</si>
  <si>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</si>
  <si>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</si>
  <si>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</si>
  <si>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</si>
  <si>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</si>
  <si>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</si>
  <si>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</si>
  <si>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</si>
  <si>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</si>
  <si>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</si>
  <si>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</si>
  <si>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</si>
  <si>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</si>
  <si>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</si>
  <si>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</si>
  <si>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</si>
  <si>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</si>
  <si>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</si>
  <si>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</si>
  <si>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</si>
  <si>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</si>
  <si>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</si>
  <si>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</si>
  <si>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</si>
  <si>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</si>
  <si>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</si>
  <si>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</si>
  <si>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</si>
  <si>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</si>
  <si>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</si>
  <si>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</si>
  <si>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</si>
  <si>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</si>
  <si>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</si>
  <si>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</si>
  <si>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</si>
  <si>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</si>
  <si>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</si>
  <si>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</si>
  <si>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</si>
  <si>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</si>
  <si>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</si>
  <si>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</si>
  <si>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</si>
  <si>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</si>
  <si>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</si>
  <si>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</si>
  <si>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</si>
  <si>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</si>
  <si>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</si>
  <si>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</si>
  <si>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</si>
  <si>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</si>
  <si>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</si>
  <si>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</si>
  <si>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</si>
  <si>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</si>
  <si>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</si>
  <si>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</si>
  <si>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</si>
  <si>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</si>
  <si>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</si>
  <si>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</si>
  <si>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</si>
  <si>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</si>
  <si>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</si>
  <si>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</si>
  <si>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</si>
  <si>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</si>
  <si>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</si>
  <si>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</si>
  <si>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</si>
  <si>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</si>
  <si>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</si>
  <si>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</si>
  <si>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</si>
  <si>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</si>
  <si>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</si>
  <si>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</si>
  <si>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</si>
  <si>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</si>
  <si>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</si>
  <si>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</si>
  <si>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</si>
  <si>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</si>
  <si>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</si>
  <si>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</si>
  <si>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</si>
  <si>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</si>
  <si>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</si>
  <si>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</si>
  <si>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</si>
  <si>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</si>
  <si>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</si>
  <si>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</si>
  <si>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</si>
  <si>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</si>
  <si>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</si>
  <si>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</si>
  <si>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</si>
  <si>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</si>
  <si>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</si>
  <si>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</si>
  <si>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</si>
  <si>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</si>
  <si>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</si>
  <si>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</si>
  <si>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</si>
  <si>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</si>
  <si>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</si>
  <si>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</si>
  <si>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</si>
  <si>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</si>
  <si>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</si>
  <si>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</si>
  <si>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</si>
  <si>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</si>
  <si>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</si>
  <si>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</si>
  <si>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</si>
  <si>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</si>
  <si>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</si>
  <si>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</si>
  <si>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</si>
  <si>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</si>
  <si>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</si>
  <si>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</si>
  <si>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</si>
  <si>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</si>
  <si>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</si>
  <si>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</si>
  <si>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</si>
  <si>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</si>
  <si>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</si>
  <si>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Currency change last 3  month</t>
  </si>
  <si>
    <t>Currency change last 1 month</t>
  </si>
  <si>
    <t>Rolling 12 month returns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</si>
  <si>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</si>
  <si>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</si>
  <si>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</si>
  <si>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</si>
  <si>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</si>
  <si>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</si>
  <si>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</si>
  <si>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</si>
  <si>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</si>
  <si>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</si>
  <si>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</si>
  <si>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</si>
  <si>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 xml:space="preserve">Cuurent 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</si>
  <si>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</si>
  <si>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</si>
  <si>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</si>
  <si>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</si>
  <si>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</si>
  <si>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</si>
  <si>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</si>
  <si>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</si>
  <si>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</si>
  <si>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</si>
  <si>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</si>
  <si>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</si>
  <si>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</si>
  <si>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</si>
  <si>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</si>
  <si>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</si>
  <si>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</si>
  <si>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</si>
  <si>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</si>
  <si>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</si>
  <si>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</si>
  <si>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</si>
  <si>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</si>
  <si>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</si>
  <si>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</si>
  <si>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</si>
  <si>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</si>
  <si>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</si>
  <si>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</si>
  <si>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</si>
  <si>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</si>
  <si>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</si>
  <si>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</si>
  <si>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</si>
  <si>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</si>
  <si>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</si>
  <si>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</si>
  <si>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</si>
  <si>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</si>
  <si>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</si>
  <si>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</si>
  <si>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</si>
  <si>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</si>
  <si>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</si>
  <si>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</si>
  <si>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</si>
  <si>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</si>
  <si>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TRYNZ10Y-FDS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</si>
  <si>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</si>
  <si>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</si>
  <si>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</si>
  <si>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</si>
  <si>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</si>
  <si>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</si>
  <si>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</si>
  <si>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</si>
  <si>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</si>
  <si>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</si>
  <si>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</si>
  <si>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</si>
  <si>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</si>
  <si>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</si>
  <si>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</si>
  <si>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USDJPY</t>
  </si>
  <si>
    <t>USDAUD</t>
  </si>
  <si>
    <t>USDCAD</t>
  </si>
  <si>
    <t>USDGBP</t>
  </si>
  <si>
    <t>USDNZD</t>
  </si>
  <si>
    <t>USDCHF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</si>
  <si>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</si>
  <si>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</si>
  <si>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</si>
  <si>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</si>
  <si>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</si>
  <si>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</si>
  <si>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</si>
  <si>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</si>
  <si>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</si>
  <si>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</si>
  <si>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</si>
  <si>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</si>
  <si>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</si>
  <si>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</si>
  <si>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</si>
  <si>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</si>
  <si>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</si>
  <si>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</si>
  <si>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</si>
  <si>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</si>
  <si>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</si>
  <si>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</si>
  <si>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</si>
  <si>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</si>
  <si>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</si>
  <si>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</si>
  <si>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</si>
  <si>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</si>
  <si>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</si>
  <si>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</si>
  <si>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</si>
  <si>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</si>
  <si>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</si>
  <si>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</si>
  <si>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</si>
  <si>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</si>
  <si>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</si>
  <si>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</si>
  <si>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</si>
  <si>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</si>
  <si>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</si>
  <si>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</si>
  <si>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</si>
  <si>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</si>
  <si>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</si>
  <si>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</si>
  <si>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</si>
  <si>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</si>
  <si>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</si>
  <si>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</si>
  <si>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</si>
  <si>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</si>
  <si>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</si>
  <si>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</si>
  <si>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</si>
  <si>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</si>
  <si>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</si>
  <si>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</si>
  <si>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</si>
  <si>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</si>
  <si>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</si>
  <si>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</si>
  <si>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</si>
  <si>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</si>
  <si>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</si>
  <si>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</si>
  <si>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</si>
  <si>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</si>
  <si>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</si>
  <si>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</si>
  <si>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</si>
  <si>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</si>
  <si>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</si>
  <si>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</si>
  <si>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</si>
  <si>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</si>
  <si>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</si>
  <si>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</si>
  <si>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</si>
  <si>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</si>
  <si>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</si>
  <si>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</si>
  <si>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</si>
  <si>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USDUSD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</si>
  <si>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</si>
  <si>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</si>
  <si>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</si>
  <si>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</si>
  <si>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</si>
  <si>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</si>
  <si>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</si>
  <si>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</si>
  <si>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</si>
  <si>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</si>
  <si>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</si>
  <si>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</si>
  <si>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</si>
  <si>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</si>
  <si>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</si>
  <si>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</si>
  <si>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</si>
  <si>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</si>
  <si>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</si>
  <si>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</si>
  <si>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</si>
  <si>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</si>
  <si>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</si>
  <si>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</si>
  <si>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</si>
  <si>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</si>
  <si>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</si>
  <si>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</si>
  <si>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</si>
  <si>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</si>
  <si>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</si>
  <si>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</si>
  <si>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</si>
  <si>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</si>
  <si>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</si>
  <si>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</si>
  <si>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</si>
  <si>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</si>
  <si>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</si>
  <si>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</si>
  <si>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</si>
  <si>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</si>
  <si>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</si>
  <si>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</si>
  <si>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</si>
  <si>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</si>
  <si>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</si>
  <si>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</si>
  <si>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</si>
  <si>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</si>
  <si>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</si>
  <si>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</si>
  <si>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</si>
  <si>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</si>
  <si>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</si>
  <si>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</si>
  <si>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</si>
  <si>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</si>
  <si>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</si>
  <si>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</si>
  <si>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</si>
  <si>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</si>
  <si>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</si>
  <si>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</si>
  <si>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</si>
  <si>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</si>
  <si>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</si>
  <si>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</si>
  <si>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</si>
  <si>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</si>
  <si>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</si>
  <si>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</si>
  <si>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</si>
  <si>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</si>
  <si>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</si>
  <si>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</si>
  <si>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</si>
  <si>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</si>
  <si>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</si>
  <si>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</si>
  <si>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</si>
  <si>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</si>
  <si>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</si>
  <si>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</si>
  <si>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</si>
  <si>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</si>
  <si>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</si>
  <si>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</si>
  <si>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</si>
  <si>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</si>
  <si>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</si>
  <si>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</si>
  <si>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</si>
  <si>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</si>
  <si>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</si>
  <si>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</si>
  <si>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</si>
  <si>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</si>
  <si>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</si>
  <si>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</si>
  <si>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</si>
  <si>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</si>
  <si>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</si>
  <si>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</si>
  <si>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</si>
  <si>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</si>
  <si>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</si>
  <si>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</si>
  <si>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</si>
  <si>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</si>
  <si>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</si>
  <si>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</si>
  <si>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</si>
  <si>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</si>
  <si>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</si>
  <si>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</si>
  <si>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</si>
  <si>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</si>
  <si>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</si>
  <si>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</si>
  <si>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</si>
  <si>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</si>
  <si>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</si>
  <si>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</si>
  <si>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</si>
  <si>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</si>
  <si>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</si>
  <si>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</si>
  <si>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</si>
  <si>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</si>
  <si>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</si>
  <si>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</si>
  <si>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</si>
  <si>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</si>
  <si>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</si>
  <si>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</si>
  <si>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</si>
  <si>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</si>
  <si>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</si>
  <si>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</si>
  <si>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</si>
  <si>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</si>
  <si>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</si>
  <si>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</si>
  <si>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</si>
  <si>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</si>
  <si>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</si>
  <si>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</si>
  <si>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</si>
  <si>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</si>
  <si>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</si>
  <si>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</si>
  <si>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</si>
  <si>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</si>
  <si>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</si>
  <si>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</si>
  <si>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</si>
  <si>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</si>
  <si>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</si>
  <si>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</si>
  <si>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</si>
  <si>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</si>
  <si>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</si>
  <si>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</si>
  <si>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</si>
  <si>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</si>
  <si>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</si>
  <si>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</si>
  <si>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</si>
  <si>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</si>
  <si>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</si>
  <si>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</si>
  <si>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</si>
  <si>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</si>
  <si>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</si>
  <si>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</si>
  <si>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</si>
  <si>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</si>
  <si>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</si>
  <si>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</si>
  <si>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</si>
  <si>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</si>
  <si>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</si>
  <si>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</si>
  <si>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</si>
  <si>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</si>
  <si>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</si>
  <si>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</si>
  <si>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</si>
  <si>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</si>
  <si>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</si>
  <si>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</si>
  <si>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</si>
  <si>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</si>
  <si>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</si>
  <si>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DM</t>
  </si>
  <si>
    <t>NTCPMIMFGMESA@US</t>
  </si>
  <si>
    <t>NTCPMIMFGSA@CA</t>
  </si>
  <si>
    <t>NTCPMIMFGSA@AU</t>
  </si>
  <si>
    <t>NTCPMIMFGSA@JP</t>
  </si>
  <si>
    <t>NTCPMIMFGSA@NZ</t>
  </si>
  <si>
    <t>NTCPMIMFGSA@DE</t>
  </si>
  <si>
    <t>NTCPMIMFGSA@GB</t>
  </si>
  <si>
    <t>NTCPMIMFGSA@CH</t>
  </si>
  <si>
    <t>PMIDMMANHE</t>
  </si>
  <si>
    <t>Developed Markets</t>
  </si>
  <si>
    <t>NTCPMIMFGSA@EME</t>
  </si>
  <si>
    <t>Emerging Markets</t>
  </si>
  <si>
    <t>USA</t>
  </si>
  <si>
    <t>Country_Code</t>
  </si>
  <si>
    <t>PMI</t>
  </si>
  <si>
    <t>A-5</t>
  </si>
  <si>
    <t>Economic Momentm</t>
  </si>
  <si>
    <t>Q-Q Change</t>
  </si>
  <si>
    <t>GDP AVG 5 &amp; 10 YR CAGR</t>
  </si>
  <si>
    <t>GDP Percentile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</si>
  <si>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</si>
  <si>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</si>
  <si>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</si>
  <si>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</si>
  <si>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</si>
  <si>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</si>
  <si>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</si>
  <si>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</si>
  <si>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</si>
  <si>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</si>
  <si>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</si>
  <si>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</si>
  <si>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</si>
  <si>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</si>
  <si>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</si>
  <si>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</si>
  <si>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</si>
  <si>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</si>
  <si>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</si>
  <si>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</si>
  <si>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</si>
  <si>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</si>
  <si>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</si>
  <si>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</si>
  <si>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</si>
  <si>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</si>
  <si>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</si>
  <si>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</si>
  <si>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</si>
  <si>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</si>
  <si>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</si>
  <si>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</si>
  <si>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</si>
  <si>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</si>
  <si>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</si>
  <si>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</si>
  <si>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</si>
  <si>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</si>
  <si>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</si>
  <si>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</si>
  <si>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</si>
  <si>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</si>
  <si>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</si>
  <si>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</si>
  <si>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</si>
  <si>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</si>
  <si>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</si>
  <si>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</si>
  <si>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</si>
  <si>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</si>
  <si>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</si>
  <si>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</si>
  <si>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</si>
  <si>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</si>
  <si>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</si>
  <si>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</si>
  <si>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</si>
  <si>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</si>
  <si>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</si>
  <si>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</si>
  <si>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</si>
  <si>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</si>
  <si>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</si>
  <si>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</si>
  <si>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</si>
  <si>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</si>
  <si>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</si>
  <si>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FC0000GR</t>
  </si>
  <si>
    <t>FC0000NZ</t>
  </si>
  <si>
    <t>FC0000AU</t>
  </si>
  <si>
    <t>FC0000CA</t>
  </si>
  <si>
    <t>FC0000JP</t>
  </si>
  <si>
    <t>FC0000CH</t>
  </si>
  <si>
    <t>FC0000GB</t>
  </si>
  <si>
    <t>FC0000US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</si>
  <si>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</si>
  <si>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</si>
  <si>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</si>
  <si>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</si>
  <si>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</si>
  <si>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</si>
  <si>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</si>
  <si>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</si>
  <si>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</si>
  <si>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</si>
  <si>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</si>
  <si>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</si>
  <si>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</si>
  <si>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A- 6</t>
  </si>
  <si>
    <t>Size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</si>
  <si>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</si>
  <si>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</si>
  <si>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</si>
  <si>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</si>
  <si>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</si>
  <si>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</si>
  <si>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</si>
  <si>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CC_IT</t>
  </si>
  <si>
    <t>CC_FR</t>
  </si>
  <si>
    <t>CC_NL</t>
  </si>
  <si>
    <t>iShares MSCI Italy ETF</t>
  </si>
  <si>
    <t>iShares MSCI Netherlands ETF</t>
  </si>
  <si>
    <t>iShares MSCI Sweden ETF</t>
  </si>
  <si>
    <t>iShares MSCI France ETF</t>
  </si>
  <si>
    <t>NL</t>
  </si>
  <si>
    <t>IT</t>
  </si>
  <si>
    <t>TRYNL10Y-FDS</t>
  </si>
  <si>
    <t>TRYSE10Y-FDS</t>
  </si>
  <si>
    <t>TRYIT10Y-FDS</t>
  </si>
  <si>
    <t>USDANG</t>
  </si>
  <si>
    <t>USDSEK</t>
  </si>
  <si>
    <t>USDITL</t>
  </si>
  <si>
    <t>NTCPMIMFGSA@FR</t>
  </si>
  <si>
    <t>NTCPMIMFGSA@NL</t>
  </si>
  <si>
    <t>NTCPMIMFGSA@IT</t>
  </si>
  <si>
    <t>Asset class momnetum</t>
  </si>
  <si>
    <t>Asset Class - Momnetum</t>
  </si>
  <si>
    <t>GLD</t>
  </si>
  <si>
    <t>UUP</t>
  </si>
  <si>
    <t>DBA</t>
  </si>
  <si>
    <t>TLT</t>
  </si>
  <si>
    <t>Earnings Revsion</t>
  </si>
  <si>
    <t>Upgrades 1 month</t>
  </si>
  <si>
    <t>Downgrades 1 month</t>
  </si>
  <si>
    <t>FXI</t>
  </si>
  <si>
    <t>Equity Global Attractiveness</t>
  </si>
  <si>
    <t>Clsoeness to 52 week</t>
  </si>
  <si>
    <t>1 month</t>
  </si>
  <si>
    <t>Closeness to 52 week</t>
  </si>
  <si>
    <t>rank</t>
  </si>
  <si>
    <t>USO</t>
  </si>
  <si>
    <t>techincal strength</t>
  </si>
  <si>
    <t>% of Countries above 30 day</t>
  </si>
  <si>
    <t>% of Countries above 60 day</t>
  </si>
  <si>
    <t>% of Countries above 200 day</t>
  </si>
  <si>
    <t>Sum</t>
  </si>
  <si>
    <t>1 month change</t>
  </si>
  <si>
    <t>1 month return</t>
  </si>
  <si>
    <t>PMI Q-Q Change</t>
  </si>
  <si>
    <t>Overall Safety Score</t>
  </si>
  <si>
    <t>SAFETY PERCENTILE</t>
  </si>
  <si>
    <t>Safety</t>
  </si>
  <si>
    <t>Monthly freq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</si>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</sst>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b/>
      <sz val="11"/>
      <color rgb="FFFF0000"/>
      <name val="Calibri"/>
      <family val="2"/>
      <scheme val="minor"/>
    </font>
    <font>
      <sz val="7"/>
      <name val="Courier New"/>
      <family val="3"/>
    </font>
    <font>
      <b/>
      <sz val="9"/>
      <color indexed="81"/>
      <name val="Tahoma"/>
      <charset val="1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1" fillId="2" borderId="0" xfId="0" applyNumberFormat="1" applyFont="1" applyFill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7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16" xfId="0" applyFont="1" applyBorder="1" applyAlignment="1">
      <alignment horizontal="center" vertical="center"/>
    </xf>
    <xf numFmtId="0" fontId="13" fillId="0" borderId="4" xfId="0" applyFont="1" applyBorder="1"/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0" borderId="2" xfId="0" applyFont="1" applyBorder="1"/>
    <xf numFmtId="9" fontId="0" fillId="0" borderId="7" xfId="0" applyNumberFormat="1" applyBorder="1"/>
    <xf numFmtId="0" fontId="13" fillId="0" borderId="1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37" borderId="4" xfId="0" applyFont="1" applyFill="1" applyBorder="1"/>
    <xf numFmtId="10" fontId="0" fillId="0" borderId="12" xfId="3" applyNumberFormat="1" applyFont="1" applyBorder="1"/>
    <xf numFmtId="10" fontId="0" fillId="0" borderId="7" xfId="3" applyNumberFormat="1" applyFont="1" applyBorder="1"/>
    <xf numFmtId="2" fontId="0" fillId="0" borderId="0" xfId="1" applyNumberFormat="1" applyFont="1" applyFill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9" fontId="0" fillId="0" borderId="0" xfId="3" applyFont="1" applyBorder="1" applyAlignment="1">
      <alignment horizontal="center" vertical="center"/>
    </xf>
    <xf numFmtId="165" fontId="0" fillId="0" borderId="23" xfId="0" applyNumberFormat="1" applyBorder="1" applyAlignment="1">
      <alignment horizontal="center" vertical="center"/>
    </xf>
    <xf numFmtId="9" fontId="0" fillId="0" borderId="23" xfId="3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3" applyFont="1" applyBorder="1" applyAlignment="1">
      <alignment horizontal="center" vertical="center"/>
    </xf>
    <xf numFmtId="0" fontId="0" fillId="0" borderId="14" xfId="0" applyBorder="1"/>
    <xf numFmtId="0" fontId="0" fillId="0" borderId="16" xfId="0" applyBorder="1"/>
    <xf numFmtId="0" fontId="0" fillId="0" borderId="15" xfId="0" applyBorder="1"/>
    <xf numFmtId="10" fontId="0" fillId="0" borderId="0" xfId="3" applyNumberFormat="1" applyFont="1" applyFill="1" applyBorder="1"/>
    <xf numFmtId="167" fontId="0" fillId="0" borderId="3" xfId="0" applyNumberFormat="1" applyBorder="1"/>
    <xf numFmtId="167" fontId="0" fillId="0" borderId="4" xfId="0" applyNumberFormat="1" applyBorder="1"/>
    <xf numFmtId="167" fontId="0" fillId="0" borderId="6" xfId="0" applyNumberFormat="1" applyBorder="1"/>
    <xf numFmtId="0" fontId="42" fillId="0" borderId="2" xfId="0" applyFont="1" applyBorder="1"/>
    <xf numFmtId="0" fontId="1" fillId="0" borderId="12" xfId="0" applyFont="1" applyBorder="1"/>
    <xf numFmtId="165" fontId="0" fillId="0" borderId="6" xfId="0" applyNumberForma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33" xfId="0" applyBorder="1"/>
    <xf numFmtId="165" fontId="0" fillId="0" borderId="17" xfId="0" applyNumberFormat="1" applyBorder="1" applyAlignment="1">
      <alignment horizontal="center" vertical="center"/>
    </xf>
    <xf numFmtId="165" fontId="0" fillId="0" borderId="21" xfId="0" applyNumberFormat="1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167" fontId="1" fillId="0" borderId="0" xfId="0" applyNumberFormat="1" applyFont="1"/>
    <xf numFmtId="0" fontId="0" fillId="38" borderId="0" xfId="0" applyFill="1"/>
    <xf numFmtId="0" fontId="1" fillId="38" borderId="0" xfId="0" applyFont="1" applyFill="1"/>
    <xf numFmtId="2" fontId="0" fillId="38" borderId="0" xfId="0" applyNumberFormat="1" applyFill="1"/>
    <xf numFmtId="14" fontId="43" fillId="0" borderId="4" xfId="0" applyNumberFormat="1" applyFont="1" applyBorder="1"/>
    <xf numFmtId="14" fontId="43" fillId="0" borderId="7" xfId="0" applyNumberFormat="1" applyFont="1" applyBorder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9" fontId="0" fillId="2" borderId="12" xfId="0" applyNumberFormat="1" applyFill="1" applyBorder="1"/>
    <xf numFmtId="167" fontId="4" fillId="0" borderId="7" xfId="0" applyNumberFormat="1" applyFont="1" applyBorder="1"/>
    <xf numFmtId="9" fontId="0" fillId="2" borderId="4" xfId="0" applyNumberFormat="1" applyFill="1" applyBorder="1"/>
    <xf numFmtId="0" fontId="0" fillId="36" borderId="0" xfId="0" applyFill="1"/>
    <xf numFmtId="9" fontId="0" fillId="36" borderId="9" xfId="0" applyNumberFormat="1" applyFill="1" applyBorder="1"/>
    <xf numFmtId="1" fontId="0" fillId="36" borderId="0" xfId="0" applyNumberFormat="1" applyFill="1"/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1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7" zoomScale="70" zoomScaleNormal="70" workbookViewId="0">
      <selection activeCell="E35" sqref="E35"/>
    </sheetView>
  </sheetViews>
  <sheetFormatPr defaultRowHeight="14.5" x14ac:dyDescent="0.35"/>
  <cols>
    <col min="3" max="3" width="18.54296875" customWidth="1"/>
    <col min="4" max="4" width="26.81640625" customWidth="1"/>
    <col min="5" max="5" width="24.81640625" bestFit="1" customWidth="1"/>
    <col min="6" max="6" width="18.81640625" customWidth="1"/>
    <col min="7" max="7" width="27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1" t="s">
        <v>415</v>
      </c>
      <c r="D8" s="51" t="s">
        <v>55</v>
      </c>
    </row>
    <row r="9" spans="3:19" ht="15" thickBot="1" x14ac:dyDescent="0.4">
      <c r="M9" t="s">
        <v>473</v>
      </c>
      <c r="N9" s="66">
        <v>0.06</v>
      </c>
      <c r="S9" s="65"/>
    </row>
    <row r="10" spans="3:19" x14ac:dyDescent="0.35">
      <c r="C10" s="1" t="s">
        <v>416</v>
      </c>
      <c r="D10" s="62" t="s">
        <v>61</v>
      </c>
      <c r="E10" s="16" t="s">
        <v>9</v>
      </c>
      <c r="F10" s="16" t="s">
        <v>56</v>
      </c>
      <c r="G10" s="188" t="s">
        <v>57</v>
      </c>
    </row>
    <row r="11" spans="3:19" ht="15" thickBot="1" x14ac:dyDescent="0.4">
      <c r="D11" s="189" t="s">
        <v>82</v>
      </c>
      <c r="E11" s="68">
        <v>0.4</v>
      </c>
      <c r="F11" s="68">
        <v>0.3</v>
      </c>
      <c r="G11" s="190">
        <v>0.3</v>
      </c>
    </row>
    <row r="12" spans="3:19" s="19" customFormat="1" ht="15" thickBot="1" x14ac:dyDescent="0.4">
      <c r="D12" s="191" t="s">
        <v>81</v>
      </c>
      <c r="E12" s="192">
        <f>E11*$E$34</f>
        <v>0.4</v>
      </c>
      <c r="F12" s="192">
        <f t="shared" ref="F12:G12" si="0">F11*$E$34</f>
        <v>0.3</v>
      </c>
      <c r="G12" s="193">
        <f t="shared" si="0"/>
        <v>0.3</v>
      </c>
      <c r="H12" s="18"/>
      <c r="M12" s="60" t="s">
        <v>450</v>
      </c>
      <c r="N12" s="61"/>
      <c r="O12" s="63" t="s">
        <v>472</v>
      </c>
    </row>
    <row r="13" spans="3:19" s="19" customFormat="1" ht="15" thickBot="1" x14ac:dyDescent="0.4">
      <c r="D13" s="20"/>
      <c r="E13" s="18"/>
      <c r="F13" s="18"/>
      <c r="G13" s="18"/>
      <c r="M13" s="54" t="s">
        <v>451</v>
      </c>
      <c r="N13" s="55">
        <f>(1/'Value -2 '!H11)</f>
        <v>4.7848261165476316E-2</v>
      </c>
      <c r="O13" s="55">
        <f>N13*(1+N9)</f>
        <v>5.0719156835404899E-2</v>
      </c>
    </row>
    <row r="14" spans="3:19" x14ac:dyDescent="0.35">
      <c r="C14" s="1" t="s">
        <v>417</v>
      </c>
      <c r="D14" s="15" t="s">
        <v>78</v>
      </c>
      <c r="E14" s="194" t="s">
        <v>63</v>
      </c>
      <c r="F14" s="195" t="s">
        <v>64</v>
      </c>
      <c r="G14" s="195" t="s">
        <v>79</v>
      </c>
      <c r="H14" s="11" t="s">
        <v>77</v>
      </c>
      <c r="M14" s="56" t="s">
        <v>452</v>
      </c>
      <c r="N14" s="57">
        <f>(1/'Value -2 '!G11)</f>
        <v>3.8617280237883002E-2</v>
      </c>
      <c r="O14" s="58"/>
    </row>
    <row r="15" spans="3:19" x14ac:dyDescent="0.35">
      <c r="D15" s="189" t="s">
        <v>82</v>
      </c>
      <c r="E15" s="66">
        <v>0.2</v>
      </c>
      <c r="F15" s="66">
        <v>0.2</v>
      </c>
      <c r="G15" s="66">
        <v>0.3</v>
      </c>
      <c r="H15" s="196">
        <v>0.3</v>
      </c>
      <c r="M15" s="56"/>
      <c r="N15" s="58"/>
      <c r="O15" s="58"/>
    </row>
    <row r="16" spans="3:19" ht="15" thickBot="1" x14ac:dyDescent="0.4">
      <c r="D16" s="191" t="s">
        <v>81</v>
      </c>
      <c r="E16" s="192">
        <f t="shared" ref="E16:F16" si="1">E15*$F$34</f>
        <v>0</v>
      </c>
      <c r="F16" s="192">
        <f t="shared" si="1"/>
        <v>0</v>
      </c>
      <c r="G16" s="192">
        <f>G15*$F$34</f>
        <v>0</v>
      </c>
      <c r="H16" s="193">
        <f>H15*$F$34</f>
        <v>0</v>
      </c>
      <c r="M16" s="56" t="s">
        <v>453</v>
      </c>
      <c r="N16" s="57">
        <f>'LIQIDITY 2'!L11/100</f>
        <v>5.5E-2</v>
      </c>
      <c r="O16" s="64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6" t="s">
        <v>454</v>
      </c>
      <c r="N17" s="57">
        <f>'LIQIDITY 2'!E10/100</f>
        <v>4.2743000000000003E-2</v>
      </c>
      <c r="O17" s="58"/>
    </row>
    <row r="18" spans="3:22" x14ac:dyDescent="0.35">
      <c r="C18" s="1" t="s">
        <v>418</v>
      </c>
      <c r="D18" s="62" t="s">
        <v>70</v>
      </c>
      <c r="E18" s="127" t="s">
        <v>73</v>
      </c>
      <c r="F18" s="5"/>
      <c r="M18" s="56"/>
      <c r="N18" s="58"/>
      <c r="O18" s="58"/>
    </row>
    <row r="19" spans="3:22" x14ac:dyDescent="0.35">
      <c r="D19" s="189" t="s">
        <v>82</v>
      </c>
      <c r="E19" s="196">
        <v>1</v>
      </c>
      <c r="F19" s="5"/>
      <c r="G19" s="5"/>
      <c r="M19" s="56"/>
      <c r="N19" s="58"/>
      <c r="O19" s="58"/>
    </row>
    <row r="20" spans="3:22" ht="15" thickBot="1" x14ac:dyDescent="0.4">
      <c r="D20" s="191" t="s">
        <v>81</v>
      </c>
      <c r="E20" s="197">
        <f>E19*$G$34</f>
        <v>0</v>
      </c>
      <c r="F20" s="5"/>
      <c r="G20" s="5"/>
      <c r="M20" s="56"/>
      <c r="N20" s="58"/>
      <c r="O20" s="58"/>
    </row>
    <row r="21" spans="3:22" ht="15" thickBot="1" x14ac:dyDescent="0.4">
      <c r="G21" s="5"/>
      <c r="M21" s="56" t="s">
        <v>455</v>
      </c>
      <c r="N21" s="57">
        <f>N13-N16</f>
        <v>-7.151738834523684E-3</v>
      </c>
      <c r="O21" s="57">
        <f>O13-O16</f>
        <v>5.7191568354049011E-3</v>
      </c>
    </row>
    <row r="22" spans="3:22" ht="15" thickBot="1" x14ac:dyDescent="0.4">
      <c r="C22" s="1" t="s">
        <v>505</v>
      </c>
      <c r="D22" s="15" t="s">
        <v>58</v>
      </c>
      <c r="E22" s="16" t="s">
        <v>503</v>
      </c>
      <c r="F22" s="11" t="s">
        <v>59</v>
      </c>
      <c r="M22" s="12" t="s">
        <v>456</v>
      </c>
      <c r="N22" s="59">
        <f>N13-N17</f>
        <v>5.105261165476313E-3</v>
      </c>
      <c r="O22" s="57"/>
    </row>
    <row r="23" spans="3:22" x14ac:dyDescent="0.35">
      <c r="D23" s="189" t="s">
        <v>82</v>
      </c>
      <c r="E23" s="66">
        <v>0</v>
      </c>
      <c r="F23" s="196">
        <v>0</v>
      </c>
      <c r="G23" s="5"/>
      <c r="M23" s="9"/>
      <c r="N23" s="5"/>
      <c r="T23" s="9"/>
    </row>
    <row r="24" spans="3:22" ht="15" thickBot="1" x14ac:dyDescent="0.4">
      <c r="D24" s="191" t="s">
        <v>81</v>
      </c>
      <c r="E24" s="17">
        <f>E23*$H$34</f>
        <v>0</v>
      </c>
      <c r="F24" s="151">
        <f t="shared" ref="F24" si="2">F23*$H$34</f>
        <v>0</v>
      </c>
      <c r="G24" s="5"/>
      <c r="Q24" s="5"/>
      <c r="R24" s="53"/>
      <c r="T24" s="9"/>
      <c r="V24" s="9"/>
    </row>
    <row r="25" spans="3:22" ht="15" thickBot="1" x14ac:dyDescent="0.4"/>
    <row r="26" spans="3:22" x14ac:dyDescent="0.35">
      <c r="C26" s="114" t="s">
        <v>766</v>
      </c>
      <c r="D26" s="150" t="s">
        <v>767</v>
      </c>
      <c r="E26" s="10" t="s">
        <v>765</v>
      </c>
      <c r="F26" s="11" t="s">
        <v>768</v>
      </c>
    </row>
    <row r="27" spans="3:22" x14ac:dyDescent="0.35">
      <c r="D27" s="189" t="s">
        <v>82</v>
      </c>
      <c r="E27" s="66">
        <v>0.6</v>
      </c>
      <c r="F27" s="196">
        <v>0.4</v>
      </c>
    </row>
    <row r="28" spans="3:22" ht="15" thickBot="1" x14ac:dyDescent="0.4">
      <c r="D28" s="191" t="s">
        <v>81</v>
      </c>
      <c r="E28" s="17">
        <f>E27*$I$34</f>
        <v>0</v>
      </c>
      <c r="F28" s="151">
        <f>F27*$I$34</f>
        <v>0</v>
      </c>
    </row>
    <row r="29" spans="3:22" ht="15" thickBot="1" x14ac:dyDescent="0.4"/>
    <row r="30" spans="3:22" x14ac:dyDescent="0.35">
      <c r="C30" t="s">
        <v>859</v>
      </c>
      <c r="D30" s="15" t="s">
        <v>860</v>
      </c>
      <c r="E30" s="198">
        <v>0.2</v>
      </c>
    </row>
    <row r="31" spans="3:22" ht="15" thickBot="1" x14ac:dyDescent="0.4">
      <c r="D31" s="12"/>
      <c r="E31" s="151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504</v>
      </c>
      <c r="I33" s="119" t="s">
        <v>767</v>
      </c>
      <c r="J33" s="119" t="s">
        <v>860</v>
      </c>
    </row>
    <row r="34" spans="3:12" ht="15" thickBot="1" x14ac:dyDescent="0.4">
      <c r="D34" s="12"/>
      <c r="E34" s="69">
        <v>1</v>
      </c>
      <c r="F34" s="70">
        <v>0</v>
      </c>
      <c r="G34" s="70">
        <v>0</v>
      </c>
      <c r="H34" s="70">
        <v>0</v>
      </c>
      <c r="I34" s="71">
        <v>0</v>
      </c>
      <c r="J34" s="71">
        <v>0</v>
      </c>
    </row>
    <row r="38" spans="3:12" x14ac:dyDescent="0.35">
      <c r="C38" s="51" t="s">
        <v>419</v>
      </c>
      <c r="D38" s="51" t="s">
        <v>60</v>
      </c>
    </row>
    <row r="39" spans="3:12" x14ac:dyDescent="0.35">
      <c r="E39" s="1" t="s">
        <v>410</v>
      </c>
      <c r="F39" t="s">
        <v>411</v>
      </c>
      <c r="G39" s="1" t="s">
        <v>412</v>
      </c>
      <c r="H39" t="s">
        <v>413</v>
      </c>
      <c r="I39" s="1" t="s">
        <v>429</v>
      </c>
      <c r="J39" s="1" t="s">
        <v>524</v>
      </c>
      <c r="K39" s="1" t="s">
        <v>746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1" t="s">
        <v>398</v>
      </c>
      <c r="D42" s="51" t="s">
        <v>10</v>
      </c>
    </row>
    <row r="43" spans="3:12" x14ac:dyDescent="0.35">
      <c r="C43" t="s">
        <v>420</v>
      </c>
      <c r="D43" t="s">
        <v>414</v>
      </c>
      <c r="E43" s="5">
        <v>0.5</v>
      </c>
    </row>
    <row r="44" spans="3:12" x14ac:dyDescent="0.35">
      <c r="C44" t="s">
        <v>421</v>
      </c>
      <c r="D44" t="s">
        <v>460</v>
      </c>
      <c r="E44" s="5">
        <v>0.25</v>
      </c>
      <c r="F44" s="5"/>
    </row>
    <row r="45" spans="3:12" x14ac:dyDescent="0.35">
      <c r="C45" t="s">
        <v>461</v>
      </c>
      <c r="D45" t="s">
        <v>462</v>
      </c>
      <c r="E45" s="5">
        <v>0.25</v>
      </c>
    </row>
    <row r="47" spans="3:12" x14ac:dyDescent="0.35">
      <c r="D47" s="1"/>
    </row>
    <row r="48" spans="3:12" x14ac:dyDescent="0.35">
      <c r="C48" s="51" t="s">
        <v>422</v>
      </c>
      <c r="D48" s="51" t="s">
        <v>912</v>
      </c>
    </row>
    <row r="49" spans="3:8" x14ac:dyDescent="0.35">
      <c r="E49" t="s">
        <v>395</v>
      </c>
      <c r="F49" t="s">
        <v>396</v>
      </c>
    </row>
    <row r="50" spans="3:8" x14ac:dyDescent="0.35">
      <c r="D50" t="s">
        <v>65</v>
      </c>
      <c r="E50" s="73">
        <v>-0.05</v>
      </c>
      <c r="F50">
        <v>-10</v>
      </c>
    </row>
    <row r="52" spans="3:8" x14ac:dyDescent="0.35">
      <c r="E52" s="1" t="s">
        <v>913</v>
      </c>
      <c r="F52" t="s">
        <v>520</v>
      </c>
      <c r="G52" t="s">
        <v>405</v>
      </c>
    </row>
    <row r="53" spans="3:8" x14ac:dyDescent="0.35">
      <c r="D53" s="1" t="s">
        <v>521</v>
      </c>
      <c r="E53" s="5">
        <v>0.25</v>
      </c>
      <c r="F53" s="5">
        <v>0.25</v>
      </c>
      <c r="G53" s="5">
        <v>0.5</v>
      </c>
    </row>
    <row r="55" spans="3:8" x14ac:dyDescent="0.35">
      <c r="C55" s="51" t="s">
        <v>424</v>
      </c>
      <c r="D55" s="51" t="s">
        <v>493</v>
      </c>
      <c r="F55" s="1">
        <v>1</v>
      </c>
      <c r="G55" s="1">
        <v>3</v>
      </c>
      <c r="H55" s="1">
        <v>6</v>
      </c>
    </row>
    <row r="56" spans="3:8" x14ac:dyDescent="0.35">
      <c r="C56" s="51" t="s">
        <v>425</v>
      </c>
      <c r="D56" t="s">
        <v>478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425</v>
      </c>
      <c r="D57" t="s">
        <v>426</v>
      </c>
      <c r="E57" s="5">
        <v>0.3</v>
      </c>
    </row>
    <row r="58" spans="3:8" x14ac:dyDescent="0.35">
      <c r="C58" t="s">
        <v>427</v>
      </c>
      <c r="D58" t="s">
        <v>428</v>
      </c>
      <c r="E58" s="5">
        <v>0.2</v>
      </c>
    </row>
    <row r="60" spans="3:8" x14ac:dyDescent="0.35">
      <c r="C60" s="51" t="s">
        <v>500</v>
      </c>
      <c r="D60" s="51" t="s">
        <v>495</v>
      </c>
    </row>
    <row r="61" spans="3:8" x14ac:dyDescent="0.35">
      <c r="D61" t="s">
        <v>497</v>
      </c>
      <c r="F61" s="5">
        <v>0.25</v>
      </c>
      <c r="G61" t="s">
        <v>527</v>
      </c>
    </row>
    <row r="62" spans="3:8" x14ac:dyDescent="0.35">
      <c r="D62" t="s">
        <v>498</v>
      </c>
      <c r="F62" s="5">
        <v>0.25</v>
      </c>
    </row>
    <row r="63" spans="3:8" x14ac:dyDescent="0.35">
      <c r="D63" t="s">
        <v>499</v>
      </c>
      <c r="F63" s="5">
        <v>0.25</v>
      </c>
    </row>
    <row r="64" spans="3:8" x14ac:dyDescent="0.35">
      <c r="D64" t="s">
        <v>539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1" t="s">
        <v>494</v>
      </c>
      <c r="D69" s="51" t="s">
        <v>423</v>
      </c>
    </row>
    <row r="71" spans="3:9" x14ac:dyDescent="0.35">
      <c r="C71" s="114" t="s">
        <v>778</v>
      </c>
      <c r="D71" s="6">
        <v>0.3</v>
      </c>
    </row>
    <row r="72" spans="3:9" x14ac:dyDescent="0.35">
      <c r="C72" s="19" t="s">
        <v>545</v>
      </c>
      <c r="D72" s="18">
        <v>0.33329999999999999</v>
      </c>
    </row>
    <row r="73" spans="3:9" x14ac:dyDescent="0.35">
      <c r="C73" s="19" t="s">
        <v>547</v>
      </c>
      <c r="D73" s="18">
        <v>0.33329999999999999</v>
      </c>
    </row>
    <row r="74" spans="3:9" x14ac:dyDescent="0.35">
      <c r="C74" s="19" t="s">
        <v>548</v>
      </c>
      <c r="D74" s="18">
        <v>0.33329999999999999</v>
      </c>
    </row>
    <row r="76" spans="3:9" x14ac:dyDescent="0.35">
      <c r="C76" s="114" t="s">
        <v>546</v>
      </c>
      <c r="D76" s="5">
        <v>0.2</v>
      </c>
    </row>
    <row r="77" spans="3:9" x14ac:dyDescent="0.35">
      <c r="G77" s="1"/>
      <c r="H77" s="1"/>
    </row>
    <row r="78" spans="3:9" x14ac:dyDescent="0.35">
      <c r="C78" s="114" t="s">
        <v>543</v>
      </c>
      <c r="D78" s="5">
        <v>0.4</v>
      </c>
    </row>
    <row r="80" spans="3:9" x14ac:dyDescent="0.35">
      <c r="C80" s="114" t="s">
        <v>549</v>
      </c>
      <c r="D80" s="5">
        <v>0.1</v>
      </c>
    </row>
    <row r="82" spans="3:8" x14ac:dyDescent="0.35">
      <c r="C82" t="s">
        <v>815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B6:O39"/>
  <sheetViews>
    <sheetView topLeftCell="A19" zoomScale="55" zoomScaleNormal="55" workbookViewId="0">
      <selection activeCell="F48" sqref="F48"/>
    </sheetView>
  </sheetViews>
  <sheetFormatPr defaultRowHeight="14.5" x14ac:dyDescent="0.35"/>
  <cols>
    <col min="2" max="2" width="14.54296875" customWidth="1"/>
    <col min="3" max="3" width="20.54296875" customWidth="1"/>
    <col min="4" max="4" width="12.54296875" customWidth="1"/>
    <col min="5" max="5" width="14.54296875" customWidth="1"/>
    <col min="6" max="6" width="10.54296875" customWidth="1"/>
    <col min="7" max="7" width="12" customWidth="1"/>
    <col min="8" max="8" width="26.81640625" bestFit="1" customWidth="1"/>
    <col min="9" max="9" width="20.1796875" customWidth="1"/>
    <col min="12" max="12" width="13.81640625" customWidth="1"/>
    <col min="13" max="13" width="14.453125" customWidth="1"/>
    <col min="14" max="14" width="14.54296875" customWidth="1"/>
    <col min="15" max="15" width="14.453125" customWidth="1"/>
    <col min="16" max="16" width="12" customWidth="1"/>
    <col min="17" max="17" width="15.1796875" customWidth="1"/>
  </cols>
  <sheetData>
    <row r="6" spans="3:9" x14ac:dyDescent="0.35">
      <c r="C6" s="1" t="s">
        <v>886</v>
      </c>
    </row>
    <row r="7" spans="3:9" ht="15" thickBot="1" x14ac:dyDescent="0.4">
      <c r="D7" t="s">
        <v>887</v>
      </c>
      <c r="H7" s="1" t="s">
        <v>902</v>
      </c>
    </row>
    <row r="8" spans="3:9" ht="15" thickBot="1" x14ac:dyDescent="0.4">
      <c r="C8" s="62" t="s">
        <v>6</v>
      </c>
      <c r="D8" s="10">
        <f>'Asset class'!S3</f>
        <v>8</v>
      </c>
      <c r="E8" s="11">
        <f t="shared" ref="E8:E17" si="0">D8</f>
        <v>8</v>
      </c>
    </row>
    <row r="9" spans="3:9" x14ac:dyDescent="0.35">
      <c r="C9" s="56" t="s">
        <v>1</v>
      </c>
      <c r="D9">
        <f>'Asset class'!S4</f>
        <v>3</v>
      </c>
      <c r="E9" s="58">
        <f t="shared" si="0"/>
        <v>3</v>
      </c>
      <c r="H9" s="62" t="s">
        <v>903</v>
      </c>
      <c r="I9" s="171">
        <f>Timing!L22</f>
        <v>0.92307692307692313</v>
      </c>
    </row>
    <row r="10" spans="3:9" x14ac:dyDescent="0.35">
      <c r="C10" s="56" t="s">
        <v>888</v>
      </c>
      <c r="D10">
        <f>'Asset class'!S5</f>
        <v>5</v>
      </c>
      <c r="E10" s="58">
        <f t="shared" si="0"/>
        <v>5</v>
      </c>
      <c r="H10" s="56" t="s">
        <v>904</v>
      </c>
      <c r="I10" s="57">
        <f>Timing!M22</f>
        <v>0.92307692307692313</v>
      </c>
    </row>
    <row r="11" spans="3:9" ht="15" thickBot="1" x14ac:dyDescent="0.4">
      <c r="C11" s="56" t="s">
        <v>889</v>
      </c>
      <c r="D11">
        <f>'Asset class'!S6</f>
        <v>9</v>
      </c>
      <c r="E11" s="58">
        <f t="shared" si="0"/>
        <v>9</v>
      </c>
      <c r="H11" s="12" t="s">
        <v>905</v>
      </c>
      <c r="I11" s="59">
        <f>Timing!N22</f>
        <v>0.92307692307692313</v>
      </c>
    </row>
    <row r="12" spans="3:9" x14ac:dyDescent="0.35">
      <c r="C12" s="56" t="s">
        <v>51</v>
      </c>
      <c r="D12">
        <f>'Asset class'!S7</f>
        <v>4</v>
      </c>
      <c r="E12" s="58">
        <f t="shared" si="0"/>
        <v>4</v>
      </c>
    </row>
    <row r="13" spans="3:9" x14ac:dyDescent="0.35">
      <c r="C13" s="56" t="s">
        <v>890</v>
      </c>
      <c r="D13">
        <f>'Asset class'!S8</f>
        <v>2</v>
      </c>
      <c r="E13" s="58">
        <f t="shared" si="0"/>
        <v>2</v>
      </c>
    </row>
    <row r="14" spans="3:9" ht="15" thickBot="1" x14ac:dyDescent="0.4">
      <c r="C14" s="12" t="s">
        <v>457</v>
      </c>
      <c r="D14">
        <f>'Asset class'!S9</f>
        <v>8</v>
      </c>
      <c r="E14" s="14">
        <f t="shared" si="0"/>
        <v>8</v>
      </c>
    </row>
    <row r="15" spans="3:9" ht="15" thickBot="1" x14ac:dyDescent="0.4">
      <c r="C15" s="144" t="s">
        <v>891</v>
      </c>
      <c r="D15">
        <f>'Asset class'!S10</f>
        <v>10</v>
      </c>
      <c r="E15" s="14">
        <f t="shared" si="0"/>
        <v>10</v>
      </c>
    </row>
    <row r="16" spans="3:9" ht="15" thickBot="1" x14ac:dyDescent="0.4">
      <c r="C16" s="178" t="s">
        <v>536</v>
      </c>
      <c r="D16">
        <f>'Asset class'!S11</f>
        <v>6</v>
      </c>
      <c r="E16" s="14">
        <f t="shared" si="0"/>
        <v>6</v>
      </c>
    </row>
    <row r="17" spans="2:15" ht="15" thickBot="1" x14ac:dyDescent="0.4">
      <c r="C17" s="148" t="s">
        <v>46</v>
      </c>
      <c r="D17">
        <f>'Asset class'!S12</f>
        <v>2</v>
      </c>
      <c r="E17" s="14">
        <f t="shared" si="0"/>
        <v>2</v>
      </c>
    </row>
    <row r="20" spans="2:15" x14ac:dyDescent="0.35">
      <c r="C20" s="1" t="s">
        <v>892</v>
      </c>
    </row>
    <row r="22" spans="2:15" ht="15" thickBot="1" x14ac:dyDescent="0.4">
      <c r="C22" s="1" t="s">
        <v>893</v>
      </c>
      <c r="D22" s="1"/>
      <c r="E22" s="1" t="s">
        <v>894</v>
      </c>
    </row>
    <row r="23" spans="2:15" x14ac:dyDescent="0.35">
      <c r="B23" s="62" t="s">
        <v>1</v>
      </c>
      <c r="C23" s="170">
        <f>'Momnetum ranking'!H22</f>
        <v>0.34126984126984128</v>
      </c>
      <c r="D23" s="170"/>
      <c r="E23" s="171">
        <f>'Momnetum ranking'!I22</f>
        <v>0.36904761904761907</v>
      </c>
    </row>
    <row r="24" spans="2:15" x14ac:dyDescent="0.35">
      <c r="B24" s="56" t="s">
        <v>51</v>
      </c>
      <c r="C24" s="9">
        <f>'Momnetum ranking'!H10</f>
        <v>0.3235294117647059</v>
      </c>
      <c r="D24" s="9"/>
      <c r="E24" s="57">
        <f>'Momnetum ranking'!I10</f>
        <v>0.41176470588235292</v>
      </c>
    </row>
    <row r="25" spans="2:15" x14ac:dyDescent="0.35">
      <c r="B25" s="56" t="s">
        <v>895</v>
      </c>
      <c r="C25" s="9">
        <f>'Momnetum ranking'!H23</f>
        <v>0.33333333333333331</v>
      </c>
      <c r="D25" s="9"/>
      <c r="E25" s="57">
        <f>'Momnetum ranking'!I23</f>
        <v>0.37254901960784315</v>
      </c>
    </row>
    <row r="26" spans="2:15" x14ac:dyDescent="0.35">
      <c r="B26" s="56" t="s">
        <v>46</v>
      </c>
      <c r="C26" s="9">
        <f>'Momnetum ranking'!H21</f>
        <v>0.54794520547945202</v>
      </c>
      <c r="D26" s="9"/>
      <c r="E26" s="57">
        <f>'Momnetum ranking'!I21</f>
        <v>0.38356164383561642</v>
      </c>
    </row>
    <row r="27" spans="2:15" ht="15" thickBot="1" x14ac:dyDescent="0.4">
      <c r="B27" s="12" t="s">
        <v>536</v>
      </c>
      <c r="C27" s="172">
        <f>'Momnetum ranking'!H18</f>
        <v>0.33333333333333331</v>
      </c>
      <c r="D27" s="172"/>
      <c r="E27" s="59">
        <f>'Momnetum ranking'!I18</f>
        <v>0.42129629629629628</v>
      </c>
    </row>
    <row r="28" spans="2:15" x14ac:dyDescent="0.35">
      <c r="B28" s="62" t="s">
        <v>6</v>
      </c>
      <c r="C28" s="170">
        <f>'Momnetum ranking'!H19</f>
        <v>0.16415694591728525</v>
      </c>
      <c r="D28" s="170"/>
      <c r="E28" s="171">
        <f>'Momnetum ranking'!I19</f>
        <v>0.2540827147401909</v>
      </c>
    </row>
    <row r="29" spans="2:15" ht="15" thickBot="1" x14ac:dyDescent="0.4">
      <c r="B29" s="12"/>
      <c r="C29" s="13"/>
      <c r="D29" s="13"/>
      <c r="E29" s="14"/>
    </row>
    <row r="31" spans="2:15" ht="15" thickBot="1" x14ac:dyDescent="0.4"/>
    <row r="32" spans="2:15" x14ac:dyDescent="0.35">
      <c r="C32" s="173" t="s">
        <v>896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</row>
    <row r="33" spans="3:15" ht="29" x14ac:dyDescent="0.35">
      <c r="C33" s="56"/>
      <c r="E33" t="s">
        <v>77</v>
      </c>
      <c r="F33" t="s">
        <v>70</v>
      </c>
      <c r="G33" s="72" t="s">
        <v>899</v>
      </c>
      <c r="H33" t="s">
        <v>4</v>
      </c>
      <c r="K33" t="s">
        <v>77</v>
      </c>
      <c r="L33" t="s">
        <v>70</v>
      </c>
      <c r="M33" s="72" t="s">
        <v>897</v>
      </c>
      <c r="N33" t="s">
        <v>4</v>
      </c>
      <c r="O33" s="174" t="s">
        <v>394</v>
      </c>
    </row>
    <row r="34" spans="3:15" x14ac:dyDescent="0.35">
      <c r="C34" s="56"/>
      <c r="O34" s="58"/>
    </row>
    <row r="35" spans="3:15" x14ac:dyDescent="0.35">
      <c r="C35" s="56" t="s">
        <v>227</v>
      </c>
      <c r="E35" s="9">
        <f>'Momnetum ranking'!J18</f>
        <v>-8.7962962962962965E-2</v>
      </c>
      <c r="F35" s="5">
        <f>'Momnetum ranking'!K18</f>
        <v>0.61242138364779897</v>
      </c>
      <c r="G35" s="9">
        <f>'Momnetum ranking'!Q18</f>
        <v>0.98908233999999995</v>
      </c>
      <c r="H35" s="3">
        <f>'Momnetum ranking'!O18</f>
        <v>5.2331447999999998</v>
      </c>
      <c r="K35">
        <f>_xlfn.RANK.EQ(E35,$E$35:$E$39)</f>
        <v>4</v>
      </c>
      <c r="L35">
        <f>_xlfn.RANK.EQ(F35,$F$35:$F$39)</f>
        <v>4</v>
      </c>
      <c r="M35">
        <f>_xlfn.RANK.EQ(G35,$G$35:$G$39)</f>
        <v>4</v>
      </c>
      <c r="N35">
        <f>_xlfn.RANK.EQ(H35,$H$35:$H$39)</f>
        <v>4</v>
      </c>
      <c r="O35" s="58">
        <f>MEDIAN(K35:N35)</f>
        <v>4</v>
      </c>
    </row>
    <row r="36" spans="3:15" x14ac:dyDescent="0.35">
      <c r="C36" s="56" t="s">
        <v>749</v>
      </c>
      <c r="E36" s="9">
        <f>'Momnetum ranking'!J19</f>
        <v>-8.992576882290565E-2</v>
      </c>
      <c r="F36" s="5">
        <f>'Momnetum ranking'!K19</f>
        <v>0.32710074791025101</v>
      </c>
      <c r="G36" s="9">
        <f>'Momnetum ranking'!Q19</f>
        <v>0.97169380000000005</v>
      </c>
      <c r="H36" s="3">
        <f>'Momnetum ranking'!O19</f>
        <v>3.7593006999999998</v>
      </c>
      <c r="K36">
        <f t="shared" ref="K36:K39" si="1">_xlfn.RANK.EQ(E36,$E$35:$E$39)</f>
        <v>5</v>
      </c>
      <c r="L36">
        <f t="shared" ref="L36:L39" si="2">_xlfn.RANK.EQ(F36,$F$35:$F$39)</f>
        <v>5</v>
      </c>
      <c r="M36">
        <f t="shared" ref="M36:M39" si="3">_xlfn.RANK.EQ(G36,$G$35:$G$39)</f>
        <v>5</v>
      </c>
      <c r="N36">
        <f t="shared" ref="N36:N39" si="4">_xlfn.RANK.EQ(H36,$H$35:$H$39)</f>
        <v>5</v>
      </c>
      <c r="O36" s="58">
        <f t="shared" ref="O36:O39" si="5">MEDIAN(K36:N36)</f>
        <v>5</v>
      </c>
    </row>
    <row r="37" spans="3:15" x14ac:dyDescent="0.35">
      <c r="C37" s="56" t="s">
        <v>781</v>
      </c>
      <c r="E37" s="9">
        <f>'Momnetum ranking'!J20</f>
        <v>-1.6359918200408996E-2</v>
      </c>
      <c r="F37" s="5">
        <f>'Momnetum ranking'!K20</f>
        <v>0.70608339029391698</v>
      </c>
      <c r="G37" s="9">
        <f>'Momnetum ranking'!Q20</f>
        <v>0.99703646000000001</v>
      </c>
      <c r="H37" s="3">
        <f>'Momnetum ranking'!O20</f>
        <v>9.4657900000000001</v>
      </c>
      <c r="K37">
        <f t="shared" si="1"/>
        <v>2</v>
      </c>
      <c r="L37">
        <f t="shared" si="2"/>
        <v>3</v>
      </c>
      <c r="M37">
        <f t="shared" si="3"/>
        <v>2</v>
      </c>
      <c r="N37">
        <f t="shared" si="4"/>
        <v>3</v>
      </c>
      <c r="O37" s="58">
        <f t="shared" si="5"/>
        <v>2.5</v>
      </c>
    </row>
    <row r="38" spans="3:15" x14ac:dyDescent="0.35">
      <c r="C38" s="56" t="s">
        <v>816</v>
      </c>
      <c r="E38" s="9">
        <f>'Momnetum ranking'!J21</f>
        <v>0.16438356164383561</v>
      </c>
      <c r="F38" s="5">
        <f>'Momnetum ranking'!K21</f>
        <v>0.77168949771689499</v>
      </c>
      <c r="G38" s="9">
        <f>'Momnetum ranking'!Q21</f>
        <v>0.9986334</v>
      </c>
      <c r="H38" s="3">
        <f>'Momnetum ranking'!O21</f>
        <v>13.781082</v>
      </c>
      <c r="K38">
        <f t="shared" si="1"/>
        <v>1</v>
      </c>
      <c r="L38">
        <f t="shared" si="2"/>
        <v>2</v>
      </c>
      <c r="M38">
        <f t="shared" si="3"/>
        <v>1</v>
      </c>
      <c r="N38">
        <f t="shared" si="4"/>
        <v>1</v>
      </c>
      <c r="O38" s="58">
        <f t="shared" si="5"/>
        <v>1</v>
      </c>
    </row>
    <row r="39" spans="3:15" ht="15" thickBot="1" x14ac:dyDescent="0.4">
      <c r="C39" s="12" t="s">
        <v>119</v>
      </c>
      <c r="D39" s="13"/>
      <c r="E39" s="172">
        <f>'Momnetum ranking'!J22</f>
        <v>-2.777777777777779E-2</v>
      </c>
      <c r="F39" s="17">
        <f>'Momnetum ranking'!K22</f>
        <v>0.791252485089463</v>
      </c>
      <c r="G39" s="172">
        <f>'Momnetum ranking'!Q22</f>
        <v>0.99635580000000001</v>
      </c>
      <c r="H39" s="175">
        <f>'Momnetum ranking'!O22</f>
        <v>10.8173485</v>
      </c>
      <c r="I39" s="13"/>
      <c r="J39" s="13"/>
      <c r="K39" s="13">
        <f t="shared" si="1"/>
        <v>3</v>
      </c>
      <c r="L39" s="13">
        <f t="shared" si="2"/>
        <v>1</v>
      </c>
      <c r="M39" s="13">
        <f t="shared" si="3"/>
        <v>3</v>
      </c>
      <c r="N39" s="13">
        <f t="shared" si="4"/>
        <v>2</v>
      </c>
      <c r="O39" s="14">
        <f t="shared" si="5"/>
        <v>2.5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E8:E17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9"/>
  <sheetViews>
    <sheetView zoomScale="70" zoomScaleNormal="70" workbookViewId="0">
      <selection activeCell="A9" sqref="A9"/>
    </sheetView>
  </sheetViews>
  <sheetFormatPr defaultRowHeight="14.5" x14ac:dyDescent="0.35"/>
  <cols>
    <col min="1" max="1" width="12" customWidth="1"/>
    <col min="2" max="2" width="25.453125" customWidth="1"/>
    <col min="3" max="3" width="20.81640625" customWidth="1"/>
    <col min="4" max="4" width="0.453125" customWidth="1"/>
    <col min="5" max="5" width="18" customWidth="1"/>
    <col min="6" max="6" width="13.453125" customWidth="1"/>
    <col min="7" max="7" width="15.453125" customWidth="1"/>
    <col min="8" max="8" width="16.453125" customWidth="1"/>
    <col min="9" max="9" width="7.453125" customWidth="1"/>
    <col min="10" max="10" width="6.54296875" customWidth="1"/>
    <col min="11" max="11" width="18.81640625" customWidth="1"/>
    <col min="12" max="12" width="13.453125" customWidth="1"/>
    <col min="13" max="13" width="13" customWidth="1"/>
    <col min="14" max="14" width="13.453125" customWidth="1"/>
    <col min="15" max="15" width="5" customWidth="1"/>
    <col min="16" max="16" width="9.54296875" customWidth="1"/>
  </cols>
  <sheetData>
    <row r="1" spans="1:19" ht="15" thickBot="1" x14ac:dyDescent="0.4">
      <c r="C1" t="s">
        <v>0</v>
      </c>
      <c r="E1" t="s">
        <v>898</v>
      </c>
      <c r="F1" t="s">
        <v>4</v>
      </c>
      <c r="G1" t="s">
        <v>5</v>
      </c>
      <c r="H1" t="s">
        <v>9</v>
      </c>
      <c r="K1" t="s">
        <v>899</v>
      </c>
      <c r="L1" t="s">
        <v>4</v>
      </c>
      <c r="M1" t="s">
        <v>71</v>
      </c>
      <c r="N1" t="s">
        <v>72</v>
      </c>
      <c r="P1" s="1" t="s">
        <v>83</v>
      </c>
      <c r="Q1" t="s">
        <v>84</v>
      </c>
      <c r="S1" t="s">
        <v>900</v>
      </c>
    </row>
    <row r="2" spans="1:19" s="22" customFormat="1" ht="15" thickBot="1" x14ac:dyDescent="0.4">
      <c r="A2" s="21"/>
      <c r="K2" s="176">
        <v>0.33</v>
      </c>
      <c r="L2" s="176">
        <v>0.33</v>
      </c>
      <c r="M2" s="176">
        <v>0.33</v>
      </c>
    </row>
    <row r="3" spans="1:19" x14ac:dyDescent="0.35">
      <c r="A3" t="s">
        <v>6</v>
      </c>
      <c r="C3" t="str">
        <f>A3</f>
        <v>VWO</v>
      </c>
      <c r="E3" s="3" cm="1">
        <f t="array" ref="E3">_xll.FDS(C3,"FG_TOTAL_RETURNC(0,-1AM)")</f>
        <v>1.7198682000000001</v>
      </c>
      <c r="F3" s="3" cm="1">
        <f t="array" ref="F3">_xll.FDS(C3,"FG_TOTAL_RETURNC(0,-3AM)")</f>
        <v>3.7593006999999998</v>
      </c>
      <c r="G3" s="3" cm="1">
        <f t="array" ref="G3">_xll.FDS(C3,"FG_TOTAL_RETURNC(0,-6AM)")</f>
        <v>9.2641945000000003</v>
      </c>
      <c r="H3" s="9" cm="1">
        <f t="array" ref="H3">_xll.FDS(C3,"P_PRICE(0)/P_PRICE_HIGH_PR(0,,,USD,,,""PRICE"",""INTRA"",""52W"")")</f>
        <v>0.97169380000000005</v>
      </c>
      <c r="K3" s="4">
        <f>_xlfn.RANK.EQ(H3,H$3:H$12)</f>
        <v>7</v>
      </c>
      <c r="L3" s="4">
        <f>_xlfn.RANK.EQ(F3,F$3:F$12)</f>
        <v>8</v>
      </c>
      <c r="M3" s="4">
        <f>_xlfn.RANK.EQ(G3,G$3:G$12)</f>
        <v>7</v>
      </c>
      <c r="N3" s="4"/>
      <c r="P3" s="3">
        <f t="shared" ref="P3:P12" si="0">SUMPRODUCT($K$2:$M$2,K3:M3)</f>
        <v>7.26</v>
      </c>
      <c r="Q3">
        <f t="shared" ref="Q3:Q12" si="1">COUNTIF(K3:N3,"&gt;70")</f>
        <v>0</v>
      </c>
      <c r="S3" s="3">
        <f>11-_xlfn.RANK.EQ(P3,$P$3:$P$12)</f>
        <v>8</v>
      </c>
    </row>
    <row r="4" spans="1:19" x14ac:dyDescent="0.35">
      <c r="A4" t="s">
        <v>1</v>
      </c>
      <c r="C4" t="str">
        <f t="shared" ref="C4:C12" si="2">A4</f>
        <v>SPY</v>
      </c>
      <c r="E4" s="3" cm="1">
        <f t="array" ref="E4">_xll.FDS(C4,"FG_TOTAL_RETURNC(0,-1AM)")</f>
        <v>5.3546069999999997</v>
      </c>
      <c r="F4" s="3" cm="1">
        <f t="array" ref="F4">_xll.FDS(C4,"FG_TOTAL_RETURNC(0,-3AM)")</f>
        <v>10.8173485</v>
      </c>
      <c r="G4" s="3" cm="1">
        <f t="array" ref="G4">_xll.FDS(C4,"FG_TOTAL_RETURNC(0,-6AM)")</f>
        <v>21.922398000000001</v>
      </c>
      <c r="H4" s="9" cm="1">
        <f t="array" ref="H4">_xll.FDS(C4,"P_PRICE(0)/P_PRICE_HIGH_PR(0,,,USD,,,""PRICE"",""INTRA"",""52W"")")</f>
        <v>0.99635580000000001</v>
      </c>
      <c r="I4" s="177"/>
      <c r="K4" s="4">
        <f t="shared" ref="K4:K12" si="3">_xlfn.RANK.EQ(H4,H$3:H$12)</f>
        <v>3</v>
      </c>
      <c r="L4" s="4">
        <f t="shared" ref="L4:M12" si="4">_xlfn.RANK.EQ(F4,F$3:F$12)</f>
        <v>4</v>
      </c>
      <c r="M4" s="4">
        <f t="shared" si="4"/>
        <v>2</v>
      </c>
      <c r="N4" s="4"/>
      <c r="P4" s="3">
        <f t="shared" si="0"/>
        <v>2.97</v>
      </c>
      <c r="Q4">
        <f t="shared" si="1"/>
        <v>0</v>
      </c>
      <c r="S4" s="3">
        <f t="shared" ref="S4:S12" si="5">11-_xlfn.RANK.EQ(P4,$P$3:$P$12)</f>
        <v>3</v>
      </c>
    </row>
    <row r="5" spans="1:19" x14ac:dyDescent="0.35">
      <c r="A5" t="s">
        <v>888</v>
      </c>
      <c r="C5" t="str">
        <f t="shared" si="2"/>
        <v>GLD</v>
      </c>
      <c r="E5" s="3" cm="1">
        <f t="array" ref="E5">_xll.FDS(C5,"FG_TOTAL_RETURNC(0,-1AM)")</f>
        <v>7.7288269999999999</v>
      </c>
      <c r="F5" s="3" cm="1">
        <f t="array" ref="F5">_xll.FDS(C5,"FG_TOTAL_RETURNC(0,-3AM)")</f>
        <v>6.6198587</v>
      </c>
      <c r="G5" s="3" cm="1">
        <f t="array" ref="G5">_xll.FDS(C5,"FG_TOTAL_RETURNC(0,-6AM)")</f>
        <v>13.434422</v>
      </c>
      <c r="H5" s="9" cm="1">
        <f t="array" ref="H5">_xll.FDS(C5,"P_PRICE(0)/P_PRICE_HIGH_PR(0,,,USD,,,""PRICE"",""INTRA"",""52W"")")</f>
        <v>0.99043745000000005</v>
      </c>
      <c r="I5" s="177"/>
      <c r="K5" s="4">
        <f t="shared" si="3"/>
        <v>5</v>
      </c>
      <c r="L5" s="4">
        <f t="shared" si="4"/>
        <v>6</v>
      </c>
      <c r="M5" s="4">
        <f t="shared" si="4"/>
        <v>6</v>
      </c>
      <c r="N5" s="4"/>
      <c r="P5" s="3">
        <f t="shared" si="0"/>
        <v>5.6099999999999994</v>
      </c>
      <c r="Q5">
        <f t="shared" si="1"/>
        <v>0</v>
      </c>
      <c r="S5" s="3">
        <f t="shared" si="5"/>
        <v>5</v>
      </c>
    </row>
    <row r="6" spans="1:19" x14ac:dyDescent="0.35">
      <c r="A6" t="s">
        <v>889</v>
      </c>
      <c r="C6" t="str">
        <f t="shared" si="2"/>
        <v>UUP</v>
      </c>
      <c r="E6" s="3" cm="1">
        <f t="array" ref="E6">_xll.FDS(C6,"FG_TOTAL_RETURNC(0,-1AM)")</f>
        <v>0.53533315999999997</v>
      </c>
      <c r="F6" s="3" cm="1">
        <f t="array" ref="F6">_xll.FDS(C6,"FG_TOTAL_RETURNC(0,-3AM)")</f>
        <v>3.7187100000000002</v>
      </c>
      <c r="G6" s="3" cm="1">
        <f t="array" ref="G6">_xll.FDS(C6,"FG_TOTAL_RETURNC(0,-6AM)")</f>
        <v>1.7261504999999999</v>
      </c>
      <c r="H6" s="9" cm="1">
        <f t="array" ref="H6">_xll.FDS(C6,"P_PRICE(0)/P_PRICE_HIGH_PR(0,,,USD,,,""PRICE"",""INTRA"",""52W"")")</f>
        <v>0.93386369999999996</v>
      </c>
      <c r="I6" s="177"/>
      <c r="K6" s="4">
        <f t="shared" si="3"/>
        <v>8</v>
      </c>
      <c r="L6" s="4">
        <f t="shared" si="4"/>
        <v>9</v>
      </c>
      <c r="M6" s="4">
        <f t="shared" si="4"/>
        <v>9</v>
      </c>
      <c r="N6" s="4"/>
      <c r="P6" s="3">
        <f t="shared" si="0"/>
        <v>8.58</v>
      </c>
      <c r="Q6">
        <f t="shared" si="1"/>
        <v>0</v>
      </c>
      <c r="S6" s="3">
        <f t="shared" si="5"/>
        <v>9</v>
      </c>
    </row>
    <row r="7" spans="1:19" x14ac:dyDescent="0.35">
      <c r="A7" t="s">
        <v>51</v>
      </c>
      <c r="C7" t="str">
        <f t="shared" si="2"/>
        <v>QQQ</v>
      </c>
      <c r="E7" s="3" cm="1">
        <f t="array" ref="E7">_xll.FDS(C7,"FG_TOTAL_RETURNC(0,-1AM)")</f>
        <v>4.8975587000000003</v>
      </c>
      <c r="F7" s="3" cm="1">
        <f t="array" ref="F7">_xll.FDS(C7,"FG_TOTAL_RETURNC(0,-3AM)")</f>
        <v>9.5442660000000004</v>
      </c>
      <c r="G7" s="3" cm="1">
        <f t="array" ref="G7">_xll.FDS(C7,"FG_TOTAL_RETURNC(0,-6AM)")</f>
        <v>25.070022999999999</v>
      </c>
      <c r="H7" s="9" cm="1">
        <f t="array" ref="H7">_xll.FDS(C7,"P_PRICE(0)/P_PRICE_HIGH_PR(0,,,USD,,,""PRICE"",""INTRA"",""52W"")")</f>
        <v>0.99227756</v>
      </c>
      <c r="I7" s="1"/>
      <c r="K7" s="4">
        <f t="shared" si="3"/>
        <v>4</v>
      </c>
      <c r="L7" s="4">
        <f t="shared" si="4"/>
        <v>5</v>
      </c>
      <c r="M7" s="4">
        <f t="shared" si="4"/>
        <v>1</v>
      </c>
      <c r="N7" s="4"/>
      <c r="P7" s="3">
        <f t="shared" si="0"/>
        <v>3.3000000000000003</v>
      </c>
      <c r="Q7">
        <f t="shared" si="1"/>
        <v>0</v>
      </c>
      <c r="S7" s="3">
        <f t="shared" si="5"/>
        <v>4</v>
      </c>
    </row>
    <row r="8" spans="1:19" x14ac:dyDescent="0.35">
      <c r="A8" t="s">
        <v>890</v>
      </c>
      <c r="C8" t="str">
        <f t="shared" si="2"/>
        <v>DBA</v>
      </c>
      <c r="E8" s="3" cm="1">
        <f t="array" ref="E8">_xll.FDS(C8,"FG_TOTAL_RETURNC(0,-1AM)")</f>
        <v>7.9909679999999996</v>
      </c>
      <c r="F8" s="3" cm="1">
        <f t="array" ref="F8">_xll.FDS(C8,"FG_TOTAL_RETURNC(0,-3AM)")</f>
        <v>15.055311</v>
      </c>
      <c r="G8" s="3" cm="1">
        <f t="array" ref="G8">_xll.FDS(C8,"FG_TOTAL_RETURNC(0,-6AM)")</f>
        <v>14.21442</v>
      </c>
      <c r="H8" s="9" cm="1">
        <f t="array" ref="H8">_xll.FDS(C8,"P_PRICE(0)/P_PRICE_HIGH_PR(0,,,USD,,,""PRICE"",""INTRA"",""52W"")")</f>
        <v>0.99916459999999996</v>
      </c>
      <c r="I8" s="1"/>
      <c r="K8" s="4">
        <f t="shared" si="3"/>
        <v>1</v>
      </c>
      <c r="L8" s="4">
        <f t="shared" si="4"/>
        <v>1</v>
      </c>
      <c r="M8" s="4">
        <f t="shared" si="4"/>
        <v>5</v>
      </c>
      <c r="N8" s="4"/>
      <c r="P8" s="3">
        <f t="shared" si="0"/>
        <v>2.31</v>
      </c>
      <c r="Q8">
        <f t="shared" si="1"/>
        <v>0</v>
      </c>
      <c r="S8" s="3">
        <f t="shared" si="5"/>
        <v>2</v>
      </c>
    </row>
    <row r="9" spans="1:19" x14ac:dyDescent="0.35">
      <c r="A9" t="s">
        <v>901</v>
      </c>
      <c r="C9" t="str">
        <f t="shared" si="2"/>
        <v>USO</v>
      </c>
      <c r="E9" s="3" cm="1">
        <f t="array" ref="E9">_xll.FDS(C9,"FG_TOTAL_RETURNC(0,-1AM)")</f>
        <v>4.9453616</v>
      </c>
      <c r="F9" s="3" cm="1">
        <f t="array" ref="F9">_xll.FDS(C9,"FG_TOTAL_RETURNC(0,-3AM)")</f>
        <v>11.284947000000001</v>
      </c>
      <c r="G9" s="3" cm="1">
        <f t="array" ref="G9">_xll.FDS(C9,"FG_TOTAL_RETURNC(0,-6AM)")</f>
        <v>-4.4646262999999999</v>
      </c>
      <c r="H9" s="9" cm="1">
        <f t="array" ref="H9">_xll.FDS(C9,"P_PRICE(0)/P_PRICE_HIGH_PR(0,,,USD,,,""PRICE"",""INTRA"",""52W"")")</f>
        <v>0.92231960000000002</v>
      </c>
      <c r="I9" s="1"/>
      <c r="K9" s="4">
        <f t="shared" si="3"/>
        <v>9</v>
      </c>
      <c r="L9" s="4">
        <f t="shared" si="4"/>
        <v>3</v>
      </c>
      <c r="M9" s="4">
        <f t="shared" si="4"/>
        <v>10</v>
      </c>
      <c r="N9" s="4"/>
      <c r="P9" s="3">
        <f t="shared" si="0"/>
        <v>7.26</v>
      </c>
      <c r="Q9">
        <f t="shared" si="1"/>
        <v>0</v>
      </c>
      <c r="S9" s="3">
        <f t="shared" si="5"/>
        <v>8</v>
      </c>
    </row>
    <row r="10" spans="1:19" x14ac:dyDescent="0.35">
      <c r="A10" t="s">
        <v>891</v>
      </c>
      <c r="C10" t="str">
        <f t="shared" si="2"/>
        <v>TLT</v>
      </c>
      <c r="E10" s="3" cm="1">
        <f t="array" ref="E10">_xll.FDS(C10,"FG_TOTAL_RETURNC(0,-1AM)")</f>
        <v>1.3028025999999999</v>
      </c>
      <c r="F10" s="3" cm="1">
        <f t="array" ref="F10">_xll.FDS(C10,"FG_TOTAL_RETURNC(0,-3AM)")</f>
        <v>-5.3111258000000001</v>
      </c>
      <c r="G10" s="3" cm="1">
        <f t="array" ref="G10">_xll.FDS(C10,"FG_TOTAL_RETURNC(0,-6AM)")</f>
        <v>4.6120644000000004</v>
      </c>
      <c r="H10" s="9" cm="1">
        <f t="array" ref="H10">_xll.FDS(C10,"P_PRICE(0)/P_PRICE_HIGH_PR(0,,,USD,,,""PRICE"",""INTRA"",""52W"")")</f>
        <v>0.85505640000000005</v>
      </c>
      <c r="K10" s="4">
        <f t="shared" si="3"/>
        <v>10</v>
      </c>
      <c r="L10" s="4">
        <f t="shared" si="4"/>
        <v>10</v>
      </c>
      <c r="M10" s="4">
        <f t="shared" si="4"/>
        <v>8</v>
      </c>
      <c r="N10" s="4"/>
      <c r="P10" s="3">
        <f t="shared" si="0"/>
        <v>9.24</v>
      </c>
      <c r="Q10">
        <f t="shared" si="1"/>
        <v>0</v>
      </c>
      <c r="S10" s="3">
        <f t="shared" si="5"/>
        <v>10</v>
      </c>
    </row>
    <row r="11" spans="1:19" x14ac:dyDescent="0.35">
      <c r="A11" t="s">
        <v>536</v>
      </c>
      <c r="C11" t="str">
        <f t="shared" si="2"/>
        <v>VGK</v>
      </c>
      <c r="E11" s="3" cm="1">
        <f t="array" ref="E11">_xll.FDS(C11,"FG_TOTAL_RETURNC(0,-1AM)")</f>
        <v>4.1117429999999997</v>
      </c>
      <c r="F11" s="3" cm="1">
        <f t="array" ref="F11">_xll.FDS(C11,"FG_TOTAL_RETURNC(0,-3AM)")</f>
        <v>5.2331447999999998</v>
      </c>
      <c r="G11" s="3" cm="1">
        <f t="array" ref="G11">_xll.FDS(C11,"FG_TOTAL_RETURNC(0,-6AM)")</f>
        <v>15.475929000000001</v>
      </c>
      <c r="H11" s="9" cm="1">
        <f t="array" ref="H11">_xll.FDS(C11,"P_PRICE(0)/P_PRICE_HIGH_PR(0,,,USD,,,""PRICE"",""INTRA"",""52W"")")</f>
        <v>0.98908233999999995</v>
      </c>
      <c r="K11" s="4">
        <f t="shared" si="3"/>
        <v>6</v>
      </c>
      <c r="L11" s="4">
        <f t="shared" si="4"/>
        <v>7</v>
      </c>
      <c r="M11" s="4">
        <f t="shared" si="4"/>
        <v>4</v>
      </c>
      <c r="P11" s="3">
        <f t="shared" si="0"/>
        <v>5.61</v>
      </c>
      <c r="Q11">
        <f t="shared" si="1"/>
        <v>0</v>
      </c>
      <c r="S11" s="3">
        <f t="shared" si="5"/>
        <v>6</v>
      </c>
    </row>
    <row r="12" spans="1:19" x14ac:dyDescent="0.35">
      <c r="A12" t="s">
        <v>46</v>
      </c>
      <c r="C12" t="str">
        <f t="shared" si="2"/>
        <v>EWJ</v>
      </c>
      <c r="E12" s="3" cm="1">
        <f t="array" ref="E12">_xll.FDS(C12,"FG_TOTAL_RETURNC(0,-1AM)")</f>
        <v>5.9595823000000001</v>
      </c>
      <c r="F12" s="3" cm="1">
        <f t="array" ref="F12">_xll.FDS(C12,"FG_TOTAL_RETURNC(0,-3AM)")</f>
        <v>13.781082</v>
      </c>
      <c r="G12" s="3" cm="1">
        <f t="array" ref="G12">_xll.FDS(C12,"FG_TOTAL_RETURNC(0,-6AM)")</f>
        <v>18.193149999999999</v>
      </c>
      <c r="H12" s="9" cm="1">
        <f t="array" ref="H12">_xll.FDS(C12,"P_PRICE(0)/P_PRICE_HIGH_PR(0,,,USD,,,""PRICE"",""INTRA"",""52W"")")</f>
        <v>0.9986334</v>
      </c>
      <c r="K12" s="4">
        <f t="shared" si="3"/>
        <v>2</v>
      </c>
      <c r="L12" s="4">
        <f t="shared" si="4"/>
        <v>2</v>
      </c>
      <c r="M12" s="4">
        <f t="shared" si="4"/>
        <v>3</v>
      </c>
      <c r="P12" s="3">
        <f t="shared" si="0"/>
        <v>2.31</v>
      </c>
      <c r="Q12">
        <f t="shared" si="1"/>
        <v>0</v>
      </c>
      <c r="S12" s="3">
        <f t="shared" si="5"/>
        <v>2</v>
      </c>
    </row>
    <row r="13" spans="1:19" x14ac:dyDescent="0.35">
      <c r="F13" s="3"/>
      <c r="G13" s="3"/>
      <c r="H13" s="9"/>
      <c r="K13" s="4"/>
      <c r="L13" s="4"/>
      <c r="M13" s="4"/>
      <c r="P13" s="4"/>
    </row>
    <row r="21" spans="3:3" ht="15" customHeight="1" x14ac:dyDescent="0.35"/>
    <row r="22" spans="3:3" ht="15" customHeight="1" x14ac:dyDescent="0.35"/>
    <row r="23" spans="3:3" ht="15" customHeight="1" x14ac:dyDescent="0.35"/>
    <row r="24" spans="3:3" ht="15" customHeight="1" x14ac:dyDescent="0.35">
      <c r="C24" s="1"/>
    </row>
    <row r="25" spans="3:3" ht="15" customHeight="1" x14ac:dyDescent="0.35"/>
    <row r="26" spans="3:3" ht="15" customHeight="1" x14ac:dyDescent="0.35"/>
    <row r="27" spans="3:3" ht="15" customHeight="1" x14ac:dyDescent="0.35"/>
    <row r="28" spans="3:3" ht="15" customHeight="1" x14ac:dyDescent="0.35"/>
    <row r="29" spans="3:3" ht="15" customHeight="1" x14ac:dyDescent="0.35"/>
    <row r="30" spans="3:3" ht="15" customHeight="1" x14ac:dyDescent="0.35"/>
    <row r="31" spans="3:3" ht="15" customHeight="1" x14ac:dyDescent="0.35">
      <c r="C31" s="1"/>
    </row>
    <row r="32" spans="3:3" ht="15" customHeight="1" x14ac:dyDescent="0.35"/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>
      <c r="C36" s="1"/>
    </row>
    <row r="37" spans="3:3" ht="15" customHeight="1" x14ac:dyDescent="0.35"/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>
      <c r="C41" s="1"/>
    </row>
    <row r="42" spans="3:3" ht="15" customHeight="1" x14ac:dyDescent="0.35">
      <c r="C42" s="1"/>
    </row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18"/>
  <sheetViews>
    <sheetView tabSelected="1" topLeftCell="C1" zoomScale="85" zoomScaleNormal="85" workbookViewId="0">
      <selection activeCell="E26" sqref="E26"/>
    </sheetView>
  </sheetViews>
  <sheetFormatPr defaultRowHeight="14.5" x14ac:dyDescent="0.35"/>
  <cols>
    <col min="2" max="2" width="13.453125" customWidth="1"/>
    <col min="3" max="3" width="34.453125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6.453125" bestFit="1" customWidth="1"/>
    <col min="13" max="13" width="18.1796875" customWidth="1"/>
    <col min="14" max="14" width="17.1796875" customWidth="1"/>
  </cols>
  <sheetData>
    <row r="2" spans="2:16" ht="18.75" customHeight="1" x14ac:dyDescent="0.35">
      <c r="D2" s="123">
        <f>Assumption!D72*Assumption!$D$71</f>
        <v>9.9989999999999996E-2</v>
      </c>
      <c r="E2" s="123">
        <f>Assumption!D73*Assumption!$D$71</f>
        <v>9.9989999999999996E-2</v>
      </c>
      <c r="F2" s="123">
        <f>Assumption!D74*Assumption!$D$71</f>
        <v>9.9989999999999996E-2</v>
      </c>
      <c r="G2" s="123"/>
      <c r="H2" s="123"/>
      <c r="I2" s="123">
        <f>Assumption!D76</f>
        <v>0.2</v>
      </c>
      <c r="J2" s="123">
        <f>Assumption!D78</f>
        <v>0.4</v>
      </c>
      <c r="K2" s="114"/>
      <c r="L2" s="123">
        <f>Assumption!D80</f>
        <v>0.1</v>
      </c>
      <c r="P2" s="50">
        <f>SUM(D2:N2)</f>
        <v>0.99996999999999991</v>
      </c>
    </row>
    <row r="4" spans="2:16" ht="60.75" customHeight="1" x14ac:dyDescent="0.35">
      <c r="B4" s="205" t="s">
        <v>544</v>
      </c>
      <c r="C4" s="206"/>
      <c r="D4" s="210" t="s">
        <v>778</v>
      </c>
      <c r="E4" s="211"/>
      <c r="F4" s="212"/>
      <c r="G4" s="213" t="s">
        <v>812</v>
      </c>
      <c r="H4" s="213" t="s">
        <v>812</v>
      </c>
      <c r="I4" s="203" t="s">
        <v>546</v>
      </c>
      <c r="J4" s="209" t="s">
        <v>543</v>
      </c>
      <c r="K4" s="209"/>
      <c r="L4" s="203" t="s">
        <v>549</v>
      </c>
      <c r="M4" s="203" t="s">
        <v>550</v>
      </c>
      <c r="N4" s="203" t="s">
        <v>737</v>
      </c>
    </row>
    <row r="5" spans="2:16" x14ac:dyDescent="0.35">
      <c r="B5" s="207"/>
      <c r="C5" s="208"/>
      <c r="D5" s="118" t="s">
        <v>545</v>
      </c>
      <c r="E5" s="118" t="s">
        <v>547</v>
      </c>
      <c r="F5" s="118" t="s">
        <v>914</v>
      </c>
      <c r="G5" s="214"/>
      <c r="H5" s="214"/>
      <c r="I5" s="204"/>
      <c r="J5" s="202" t="s">
        <v>553</v>
      </c>
      <c r="K5" s="152" t="s">
        <v>551</v>
      </c>
      <c r="L5" s="204"/>
      <c r="M5" s="204"/>
      <c r="N5" s="204"/>
    </row>
    <row r="6" spans="2:16" x14ac:dyDescent="0.35">
      <c r="B6" s="77" t="s">
        <v>42</v>
      </c>
      <c r="C6" s="166" t="str" cm="1">
        <f t="array" ref="C6">_xll.FDS(B6,"FG_COMPANY_NAME")</f>
        <v>iShares MSCI Switzerland ETF</v>
      </c>
      <c r="D6" s="153">
        <f>VLOOKUP(B6,'Value -2 '!$D$3:$AC$15,26,FALSE)</f>
        <v>78.5</v>
      </c>
      <c r="E6" s="120">
        <f>VLOOKUP(B6,'Quality - 2'!$B$2:$S$14,18,FALSE)</f>
        <v>78.5</v>
      </c>
      <c r="F6" s="153">
        <f>VLOOKUP(B6,Safety!$B$4:$R$16,17,FALSE)</f>
        <v>92.800000000000011</v>
      </c>
      <c r="G6" s="179">
        <f t="shared" ref="G6:G18" si="0">(D6*$D$2 +E6*$E$2 +F6*$F$2)/($D$2+$E$2+$F$2)</f>
        <v>83.26666666666668</v>
      </c>
      <c r="H6" s="124" cm="1">
        <f t="array" ref="H6">_xlfn.PERCENTRANK.EXC(_xlfn._xlws.FILTER($G$6:G$18, ISNUMBER($G$6:G$18)),G6)*100</f>
        <v>92.800000000000011</v>
      </c>
      <c r="I6" s="153">
        <f>VLOOKUP(B6,'LIQIDITY 2'!$A$3:$X$15,24,FALSE)</f>
        <v>92.800000000000011</v>
      </c>
      <c r="J6" s="120">
        <f ca="1">VLOOKUP(B6,'Momnetum ranking'!$A$3:$AJ$15,36,FALSE)</f>
        <v>14.2</v>
      </c>
      <c r="K6" s="163">
        <f>VLOOKUP(B6,'Momnetum ranking'!$A$3:$H$15,8,FALSE)</f>
        <v>0.32608695652173914</v>
      </c>
      <c r="L6" s="120">
        <f>VLOOKUP(B6,'Currency- 2'!$A$3:$U$15,21,FALSE)</f>
        <v>28.499999999999996</v>
      </c>
      <c r="M6" s="162">
        <f t="shared" ref="M6:M18" ca="1" si="1">D6*$D$2 + E6*$E$2 + F6*$F$2 + I6*$I$2 + J6*$J$2 + L6*$L$2</f>
        <v>52.067502000000005</v>
      </c>
      <c r="N6" s="120" cm="1">
        <f t="array" aca="1" ref="N6" ca="1">_xlfn.PERCENTRANK.EXC(_xlfn._xlws.FILTER($M$6:M$18, ISNUMBER($M$6:M$18)),M6)*100</f>
        <v>64.2</v>
      </c>
    </row>
    <row r="7" spans="2:16" x14ac:dyDescent="0.35">
      <c r="B7" s="78" t="s">
        <v>46</v>
      </c>
      <c r="C7" s="167" t="str" cm="1">
        <f t="array" ref="C7">_xll.FDS(B7,"FG_COMPANY_NAME")</f>
        <v>iShares MSCI Japan ETF</v>
      </c>
      <c r="D7" s="159">
        <f>VLOOKUP(B7,'Value -2 '!$D$3:$AC$15,26,FALSE)</f>
        <v>57.099999999999994</v>
      </c>
      <c r="E7" s="121">
        <f>VLOOKUP(B7,'Quality - 2'!$B$2:$S$14,18,FALSE)</f>
        <v>64.2</v>
      </c>
      <c r="F7" s="159">
        <f>VLOOKUP(B7,Safety!$B$4:$R$16,17,FALSE)</f>
        <v>28.499999999999996</v>
      </c>
      <c r="G7" s="180">
        <f t="shared" si="0"/>
        <v>49.933333333333337</v>
      </c>
      <c r="H7" s="125" cm="1">
        <f t="array" ref="H7">_xlfn.PERCENTRANK.EXC(_xlfn._xlws.FILTER($G$6:G$18, ISNUMBER($G$6:G$18)),G7)*100</f>
        <v>42.8</v>
      </c>
      <c r="I7" s="159">
        <f>VLOOKUP(B7,'LIQIDITY 2'!$A$3:$X$15,24,FALSE)</f>
        <v>7.1</v>
      </c>
      <c r="J7" s="121">
        <f ca="1">VLOOKUP(B7,'Momnetum ranking'!$A$3:$AJ$15,36,FALSE)</f>
        <v>92.800000000000011</v>
      </c>
      <c r="K7" s="161">
        <f>VLOOKUP(B7,'Momnetum ranking'!$A$3:$H$15,8,FALSE)</f>
        <v>0.54794520547945202</v>
      </c>
      <c r="L7" s="121">
        <f>VLOOKUP(B7,'Currency- 2'!$A$3:$U$15,21,FALSE)</f>
        <v>7.1</v>
      </c>
      <c r="M7" s="160">
        <f t="shared" ca="1" si="1"/>
        <v>54.228502000000006</v>
      </c>
      <c r="N7" s="121" cm="1">
        <f t="array" aca="1" ref="N7" ca="1">_xlfn.PERCENTRANK.EXC(_xlfn._xlws.FILTER($M$6:M$18, ISNUMBER($M$6:M$18)),M7)*100</f>
        <v>78.5</v>
      </c>
    </row>
    <row r="8" spans="2:16" x14ac:dyDescent="0.35">
      <c r="B8" s="78" t="s">
        <v>51</v>
      </c>
      <c r="C8" s="167" t="str" cm="1">
        <f t="array" ref="C8">_xll.FDS(B8,"FG_COMPANY_NAME")</f>
        <v>Invesco QQQ Trust Series I</v>
      </c>
      <c r="D8" s="159">
        <f>VLOOKUP(B8,'Value -2 '!$D$3:$AC$15,26,FALSE)</f>
        <v>14.2</v>
      </c>
      <c r="E8" s="121">
        <f>VLOOKUP(B8,'Quality - 2'!$B$2:$S$14,18,FALSE)</f>
        <v>92.800000000000011</v>
      </c>
      <c r="F8" s="159">
        <f>VLOOKUP(B8,Safety!$B$4:$R$16,17,FALSE)</f>
        <v>42.8</v>
      </c>
      <c r="G8" s="180">
        <f t="shared" si="0"/>
        <v>49.933333333333344</v>
      </c>
      <c r="H8" s="125" cm="1">
        <f t="array" ref="H8">_xlfn.PERCENTRANK.EXC(_xlfn._xlws.FILTER($G$6:G$18, ISNUMBER($G$6:G$18)),G8)*100</f>
        <v>50</v>
      </c>
      <c r="I8" s="159">
        <f>VLOOKUP(B8,'LIQIDITY 2'!$A$3:$X$15,24,FALSE)</f>
        <v>28.499999999999996</v>
      </c>
      <c r="J8" s="121">
        <f ca="1">VLOOKUP(B8,'Momnetum ranking'!$A$3:$AJ$15,36,FALSE)</f>
        <v>78.5</v>
      </c>
      <c r="K8" s="161">
        <f>VLOOKUP(B8,'Momnetum ranking'!$A$3:$H$15,8,FALSE)</f>
        <v>0.3235294117647059</v>
      </c>
      <c r="L8" s="121">
        <f>VLOOKUP(B8,'Currency- 2'!$A$3:$U$15,21,FALSE)</f>
        <v>57.099999999999994</v>
      </c>
      <c r="M8" s="160">
        <f t="shared" ca="1" si="1"/>
        <v>57.788502000000001</v>
      </c>
      <c r="N8" s="121" cm="1">
        <f t="array" aca="1" ref="N8" ca="1">_xlfn.PERCENTRANK.EXC(_xlfn._xlws.FILTER($M$6:M$18, ISNUMBER($M$6:M$18)),M8)*100</f>
        <v>85.7</v>
      </c>
    </row>
    <row r="9" spans="2:16" x14ac:dyDescent="0.35">
      <c r="B9" s="78" t="s">
        <v>1</v>
      </c>
      <c r="C9" s="167" t="str" cm="1">
        <f t="array" ref="C9">_xll.FDS(B9,"FG_COMPANY_NAME")</f>
        <v>SPDR S&amp;P 500 ETF Trust</v>
      </c>
      <c r="D9" s="159">
        <f>VLOOKUP(B9,'Value -2 '!$D$3:$AC$15,26,FALSE)</f>
        <v>21.4</v>
      </c>
      <c r="E9" s="121">
        <f>VLOOKUP(B9,'Quality - 2'!$B$2:$S$14,18,FALSE)</f>
        <v>85.7</v>
      </c>
      <c r="F9" s="159">
        <f>VLOOKUP(B9,Safety!$B$4:$R$16,17,FALSE)</f>
        <v>50</v>
      </c>
      <c r="G9" s="180">
        <f t="shared" si="0"/>
        <v>52.366666666666674</v>
      </c>
      <c r="H9" s="125" cm="1">
        <f t="array" ref="H9">_xlfn.PERCENTRANK.EXC(_xlfn._xlws.FILTER($G$6:G$18, ISNUMBER($G$6:G$18)),G9)*100</f>
        <v>71.399999999999991</v>
      </c>
      <c r="I9" s="159">
        <f>VLOOKUP(B9,'LIQIDITY 2'!$A$3:$X$15,24,FALSE)</f>
        <v>28.499999999999996</v>
      </c>
      <c r="J9" s="121">
        <f ca="1">VLOOKUP(B9,'Momnetum ranking'!$A$3:$AJ$15,36,FALSE)</f>
        <v>85.7</v>
      </c>
      <c r="K9" s="161">
        <f>VLOOKUP(B9,'Momnetum ranking'!$A$3:$H$15,8,FALSE)</f>
        <v>0.34126984126984128</v>
      </c>
      <c r="L9" s="121">
        <f>VLOOKUP(B9,'Currency- 2'!$A$3:$U$15,21,FALSE)</f>
        <v>57.099999999999994</v>
      </c>
      <c r="M9" s="160">
        <f t="shared" ca="1" si="1"/>
        <v>61.398429</v>
      </c>
      <c r="N9" s="121" cm="1">
        <f t="array" aca="1" ref="N9" ca="1">_xlfn.PERCENTRANK.EXC(_xlfn._xlws.FILTER($M$6:M$18, ISNUMBER($M$6:M$18)),M9)*100</f>
        <v>92.800000000000011</v>
      </c>
    </row>
    <row r="10" spans="2:16" x14ac:dyDescent="0.35">
      <c r="B10" s="78" t="s">
        <v>11</v>
      </c>
      <c r="C10" s="167" t="str" cm="1">
        <f t="array" ref="C10">_xll.FDS(B10,"FG_COMPANY_NAME")</f>
        <v>iShares MSCI Germany ETF</v>
      </c>
      <c r="D10" s="159">
        <f>VLOOKUP(B10,'Value -2 '!$D$3:$AC$15,26,FALSE)</f>
        <v>71.399999999999991</v>
      </c>
      <c r="E10" s="121">
        <f>VLOOKUP(B10,'Quality - 2'!$B$2:$S$14,18,FALSE)</f>
        <v>50</v>
      </c>
      <c r="F10" s="159">
        <f>VLOOKUP(B10,Safety!$B$4:$R$16,17,FALSE)</f>
        <v>35.699999999999996</v>
      </c>
      <c r="G10" s="180">
        <f t="shared" si="0"/>
        <v>52.366666666666667</v>
      </c>
      <c r="H10" s="125" cm="1">
        <f t="array" ref="H10">_xlfn.PERCENTRANK.EXC(_xlfn._xlws.FILTER($G$6:G$18, ISNUMBER($G$6:G$18)),G10)*100</f>
        <v>57.099999999999994</v>
      </c>
      <c r="I10" s="159">
        <f>VLOOKUP(B10,'LIQIDITY 2'!$A$3:$X$15,24,FALSE)</f>
        <v>7.1</v>
      </c>
      <c r="J10" s="121">
        <f ca="1">VLOOKUP(B10,'Momnetum ranking'!$A$3:$AJ$15,36,FALSE)</f>
        <v>64.2</v>
      </c>
      <c r="K10" s="161">
        <f>VLOOKUP(B10,'Momnetum ranking'!$A$3:$H$15,8,FALSE)</f>
        <v>0.38596491228070173</v>
      </c>
      <c r="L10" s="121">
        <f>VLOOKUP(B10,'Currency- 2'!$A$3:$U$15,21,FALSE)</f>
        <v>85.7</v>
      </c>
      <c r="M10" s="160">
        <f t="shared" ca="1" si="1"/>
        <v>51.378429000000004</v>
      </c>
      <c r="N10" s="121" cm="1">
        <f t="array" aca="1" ref="N10" ca="1">_xlfn.PERCENTRANK.EXC(_xlfn._xlws.FILTER($M$6:M$18, ISNUMBER($M$6:M$18)),M10)*100</f>
        <v>57.099999999999994</v>
      </c>
    </row>
    <row r="11" spans="2:16" x14ac:dyDescent="0.35">
      <c r="B11" s="78" t="s">
        <v>48</v>
      </c>
      <c r="C11" s="167" t="str" cm="1">
        <f t="array" ref="C11">_xll.FDS(B11,"FG_COMPANY_NAME")</f>
        <v>iShares MSCI United Kingdom ETF</v>
      </c>
      <c r="D11" s="159">
        <f>VLOOKUP(B11,'Value -2 '!$D$3:$AC$15,26,FALSE)</f>
        <v>85.7</v>
      </c>
      <c r="E11" s="121">
        <f>VLOOKUP(B11,'Quality - 2'!$B$2:$S$14,18,FALSE)</f>
        <v>28.499999999999996</v>
      </c>
      <c r="F11" s="159">
        <f>VLOOKUP(B11,Safety!$B$4:$R$16,17,FALSE)</f>
        <v>64.2</v>
      </c>
      <c r="G11" s="180">
        <f t="shared" si="0"/>
        <v>59.466666666666669</v>
      </c>
      <c r="H11" s="125" cm="1">
        <f t="array" ref="H11">_xlfn.PERCENTRANK.EXC(_xlfn._xlws.FILTER($G$6:G$18, ISNUMBER($G$6:G$18)),G11)*100</f>
        <v>78.5</v>
      </c>
      <c r="I11" s="159">
        <f>VLOOKUP(B11,'LIQIDITY 2'!$A$3:$X$15,24,FALSE)</f>
        <v>7.1</v>
      </c>
      <c r="J11" s="121">
        <f ca="1">VLOOKUP(B11,'Momnetum ranking'!$A$3:$AJ$15,36,FALSE)</f>
        <v>35.699999999999996</v>
      </c>
      <c r="K11" s="161">
        <f>VLOOKUP(B11,'Momnetum ranking'!$A$3:$H$15,8,FALSE)</f>
        <v>0.38823529411764707</v>
      </c>
      <c r="L11" s="121">
        <f>VLOOKUP(B11,'Currency- 2'!$A$3:$U$15,21,FALSE)</f>
        <v>71.399999999999991</v>
      </c>
      <c r="M11" s="160">
        <f t="shared" ca="1" si="1"/>
        <v>40.678215999999999</v>
      </c>
      <c r="N11" s="121" cm="1">
        <f t="array" aca="1" ref="N11" ca="1">_xlfn.PERCENTRANK.EXC(_xlfn._xlws.FILTER($M$6:M$18, ISNUMBER($M$6:M$18)),M11)*100</f>
        <v>35.699999999999996</v>
      </c>
    </row>
    <row r="12" spans="2:16" x14ac:dyDescent="0.35">
      <c r="B12" s="78" t="s">
        <v>49</v>
      </c>
      <c r="C12" s="167" t="str" cm="1">
        <f t="array" ref="C12">_xll.FDS(B12,"FG_COMPANY_NAME")</f>
        <v>iShares MSCI Canada ETF</v>
      </c>
      <c r="D12" s="159">
        <f>VLOOKUP(B12,'Value -2 '!$D$3:$AC$15,26,FALSE)</f>
        <v>42.8</v>
      </c>
      <c r="E12" s="121">
        <f>VLOOKUP(B12,'Quality - 2'!$B$2:$S$14,18,FALSE)</f>
        <v>42.8</v>
      </c>
      <c r="F12" s="159">
        <f>VLOOKUP(B12,Safety!$B$4:$R$16,17,FALSE)</f>
        <v>14.2</v>
      </c>
      <c r="G12" s="180">
        <f t="shared" si="0"/>
        <v>33.266666666666673</v>
      </c>
      <c r="H12" s="125" cm="1">
        <f t="array" ref="H12">_xlfn.PERCENTRANK.EXC(_xlfn._xlws.FILTER($G$6:G$18, ISNUMBER($G$6:G$18)),G12)*100</f>
        <v>14.2</v>
      </c>
      <c r="I12" s="159">
        <f>VLOOKUP(B12,'LIQIDITY 2'!$A$3:$X$15,24,FALSE)</f>
        <v>28.499999999999996</v>
      </c>
      <c r="J12" s="121">
        <f ca="1">VLOOKUP(B12,'Momnetum ranking'!$A$3:$AJ$15,36,FALSE)</f>
        <v>42.8</v>
      </c>
      <c r="K12" s="161">
        <f>VLOOKUP(B12,'Momnetum ranking'!$A$3:$H$15,8,FALSE)</f>
        <v>0.36363636363636365</v>
      </c>
      <c r="L12" s="121">
        <f>VLOOKUP(B12,'Currency- 2'!$A$3:$U$15,21,FALSE)</f>
        <v>42.8</v>
      </c>
      <c r="M12" s="160">
        <f t="shared" ca="1" si="1"/>
        <v>37.079002000000003</v>
      </c>
      <c r="N12" s="121" cm="1">
        <f t="array" aca="1" ref="N12" ca="1">_xlfn.PERCENTRANK.EXC(_xlfn._xlws.FILTER($M$6:M$18, ISNUMBER($M$6:M$18)),M12)*100</f>
        <v>21.4</v>
      </c>
    </row>
    <row r="13" spans="2:16" x14ac:dyDescent="0.35">
      <c r="B13" s="78" t="s">
        <v>44</v>
      </c>
      <c r="C13" s="167" t="str" cm="1">
        <f t="array" ref="C13">_xll.FDS(B13,"FG_COMPANY_NAME")</f>
        <v>iShares MSCI Australia ETF</v>
      </c>
      <c r="D13" s="159">
        <f>VLOOKUP(B13,'Value -2 '!$D$3:$AC$15,26,FALSE)</f>
        <v>28.499999999999996</v>
      </c>
      <c r="E13" s="121">
        <f>VLOOKUP(B13,'Quality - 2'!$B$2:$S$14,18,FALSE)</f>
        <v>14.2</v>
      </c>
      <c r="F13" s="159">
        <f>VLOOKUP(B13,Safety!$B$4:$R$16,17,FALSE)</f>
        <v>57.099999999999994</v>
      </c>
      <c r="G13" s="180">
        <f t="shared" si="0"/>
        <v>33.266666666666666</v>
      </c>
      <c r="H13" s="125" cm="1">
        <f t="array" ref="H13">_xlfn.PERCENTRANK.EXC(_xlfn._xlws.FILTER($G$6:G$18, ISNUMBER($G$6:G$18)),G13)*100</f>
        <v>7.1</v>
      </c>
      <c r="I13" s="159">
        <f>VLOOKUP(B13,'LIQIDITY 2'!$A$3:$X$15,24,FALSE)</f>
        <v>28.499999999999996</v>
      </c>
      <c r="J13" s="121">
        <f ca="1">VLOOKUP(B13,'Momnetum ranking'!$A$3:$AJ$15,36,FALSE)</f>
        <v>21.4</v>
      </c>
      <c r="K13" s="161">
        <f>VLOOKUP(B13,'Momnetum ranking'!$A$3:$H$15,8,FALSE)</f>
        <v>0.36666666666666664</v>
      </c>
      <c r="L13" s="121">
        <f>VLOOKUP(B13,'Currency- 2'!$A$3:$U$15,21,FALSE)</f>
        <v>35.699999999999996</v>
      </c>
      <c r="M13" s="160">
        <f t="shared" ca="1" si="1"/>
        <v>27.809002</v>
      </c>
      <c r="N13" s="121" cm="1">
        <f t="array" aca="1" ref="N13" ca="1">_xlfn.PERCENTRANK.EXC(_xlfn._xlws.FILTER($M$6:M$18, ISNUMBER($M$6:M$18)),M13)*100</f>
        <v>14.2</v>
      </c>
    </row>
    <row r="14" spans="2:16" x14ac:dyDescent="0.35">
      <c r="B14" s="78" t="s">
        <v>431</v>
      </c>
      <c r="C14" s="167" t="str" cm="1">
        <f t="array" ref="C14">_xll.FDS(B14,"FG_COMPANY_NAME")</f>
        <v>iShares MSCI New Zealand ETF</v>
      </c>
      <c r="D14" s="159">
        <f>VLOOKUP(B14,'Value -2 '!$D$3:$AC$15,26,FALSE)</f>
        <v>7.1</v>
      </c>
      <c r="E14" s="121">
        <f>VLOOKUP(B14,'Quality - 2'!$B$2:$S$14,18,FALSE)</f>
        <v>21.4</v>
      </c>
      <c r="F14" s="159">
        <f>VLOOKUP(B14,Safety!$B$4:$R$16,17,FALSE)</f>
        <v>78.5</v>
      </c>
      <c r="G14" s="180">
        <f t="shared" si="0"/>
        <v>35.666666666666671</v>
      </c>
      <c r="H14" s="125" cm="1">
        <f t="array" ref="H14">_xlfn.PERCENTRANK.EXC(_xlfn._xlws.FILTER($G$6:G$18, ISNUMBER($G$6:G$18)),G14)*100</f>
        <v>21.4</v>
      </c>
      <c r="I14" s="159">
        <f>VLOOKUP(B14,'LIQIDITY 2'!$A$3:$X$15,24,FALSE)</f>
        <v>28.499999999999996</v>
      </c>
      <c r="J14" s="121">
        <f ca="1">VLOOKUP(B14,'Momnetum ranking'!$A$3:$AJ$15,36,FALSE)</f>
        <v>7.1</v>
      </c>
      <c r="K14" s="161">
        <f>VLOOKUP(B14,'Momnetum ranking'!$A$3:$H$15,8,FALSE)</f>
        <v>0.35714285714285715</v>
      </c>
      <c r="L14" s="121">
        <f>VLOOKUP(B14,'Currency- 2'!$A$3:$U$15,21,FALSE)</f>
        <v>14.2</v>
      </c>
      <c r="M14" s="160">
        <f t="shared" ca="1" si="1"/>
        <v>20.658929999999998</v>
      </c>
      <c r="N14" s="121" cm="1">
        <f t="array" aca="1" ref="N14" ca="1">_xlfn.PERCENTRANK.EXC(_xlfn._xlws.FILTER($M$6:M$18, ISNUMBER($M$6:M$18)),M14)*100</f>
        <v>7.1</v>
      </c>
    </row>
    <row r="15" spans="2:16" x14ac:dyDescent="0.35">
      <c r="B15" s="78" t="s">
        <v>865</v>
      </c>
      <c r="C15" s="167" t="str" cm="1">
        <f t="array" ref="C15">_xll.FDS(B15,"FG_COMPANY_NAME")</f>
        <v>iShares MSCI France ETF</v>
      </c>
      <c r="D15" s="159">
        <f>VLOOKUP(B15,'Value -2 '!$D$3:$AC$15,26,FALSE)</f>
        <v>50</v>
      </c>
      <c r="E15" s="121">
        <f>VLOOKUP(B15,'Quality - 2'!$B$2:$S$14,18,FALSE)</f>
        <v>71.399999999999991</v>
      </c>
      <c r="F15" s="159">
        <f>VLOOKUP(B15,Safety!$B$4:$R$16,17,FALSE)</f>
        <v>85.7</v>
      </c>
      <c r="G15" s="180">
        <f t="shared" si="0"/>
        <v>69.033333333333346</v>
      </c>
      <c r="H15" s="125" cm="1">
        <f t="array" ref="H15">_xlfn.PERCENTRANK.EXC(_xlfn._xlws.FILTER($G$6:G$18, ISNUMBER($G$6:G$18)),G15)*100</f>
        <v>85.7</v>
      </c>
      <c r="I15" s="159">
        <f>VLOOKUP(B15,'LIQIDITY 2'!$A$3:$X$15,24,FALSE)</f>
        <v>28.499999999999996</v>
      </c>
      <c r="J15" s="121">
        <f ca="1">VLOOKUP(B15,'Momnetum ranking'!$A$3:$AJ$15,36,FALSE)</f>
        <v>28.499999999999996</v>
      </c>
      <c r="K15" s="161">
        <f>VLOOKUP(B15,'Momnetum ranking'!$A$3:$H$15,8,FALSE)</f>
        <v>0.46031746031746029</v>
      </c>
      <c r="L15" s="121">
        <f>VLOOKUP(B15,'Currency- 2'!$A$3:$U$15,21,FALSE)</f>
        <v>21.4</v>
      </c>
      <c r="M15" s="160">
        <f t="shared" ca="1" si="1"/>
        <v>39.947929000000002</v>
      </c>
      <c r="N15" s="121" cm="1">
        <f t="array" aca="1" ref="N15" ca="1">_xlfn.PERCENTRANK.EXC(_xlfn._xlws.FILTER($M$6:M$18, ISNUMBER($M$6:M$18)),M15)*100</f>
        <v>28.499999999999996</v>
      </c>
    </row>
    <row r="16" spans="2:16" x14ac:dyDescent="0.35">
      <c r="B16" s="78" t="s">
        <v>867</v>
      </c>
      <c r="C16" s="167" t="str" cm="1">
        <f t="array" ref="C16">_xll.FDS(B16,"FG_COMPANY_NAME")</f>
        <v>iShares MSCI Netherlands ETF</v>
      </c>
      <c r="D16" s="159">
        <f>VLOOKUP(B16,'Value -2 '!$D$3:$AC$15,26,FALSE)</f>
        <v>35.699999999999996</v>
      </c>
      <c r="E16" s="121">
        <f>VLOOKUP(B16,'Quality - 2'!$B$2:$S$14,18,FALSE)</f>
        <v>50</v>
      </c>
      <c r="F16" s="159">
        <f>VLOOKUP(B16,Safety!$B$4:$R$16,17,FALSE)</f>
        <v>71.399999999999991</v>
      </c>
      <c r="G16" s="180">
        <f t="shared" si="0"/>
        <v>52.366666666666667</v>
      </c>
      <c r="H16" s="125" cm="1">
        <f t="array" ref="H16">_xlfn.PERCENTRANK.EXC(_xlfn._xlws.FILTER($G$6:G$18, ISNUMBER($G$6:G$18)),G16)*100</f>
        <v>57.099999999999994</v>
      </c>
      <c r="I16" s="159">
        <f>VLOOKUP(B16,'LIQIDITY 2'!$A$3:$X$15,24,FALSE)</f>
        <v>28.499999999999996</v>
      </c>
      <c r="J16" s="121">
        <f ca="1">VLOOKUP(B16,'Momnetum ranking'!$A$3:$AJ$15,36,FALSE)</f>
        <v>50</v>
      </c>
      <c r="K16" s="161">
        <f>VLOOKUP(B16,'Momnetum ranking'!$A$3:$H$15,8,FALSE)</f>
        <v>0.29629629629629628</v>
      </c>
      <c r="L16" s="121">
        <f>VLOOKUP(B16,'Currency- 2'!$A$3:$U$15,21,FALSE)</f>
        <v>92.800000000000011</v>
      </c>
      <c r="M16" s="160">
        <f t="shared" ca="1" si="1"/>
        <v>50.688428999999999</v>
      </c>
      <c r="N16" s="121" cm="1">
        <f t="array" aca="1" ref="N16" ca="1">_xlfn.PERCENTRANK.EXC(_xlfn._xlws.FILTER($M$6:M$18, ISNUMBER($M$6:M$18)),M16)*100</f>
        <v>50</v>
      </c>
    </row>
    <row r="17" spans="2:14" x14ac:dyDescent="0.35">
      <c r="B17" s="78" t="s">
        <v>864</v>
      </c>
      <c r="C17" s="167" t="str" cm="1">
        <f t="array" ref="C17">_xll.FDS(B17,"FG_COMPANY_NAME")</f>
        <v>iShares MSCI Sweden ETF</v>
      </c>
      <c r="D17" s="159">
        <f>VLOOKUP(B17,'Value -2 '!$D$3:$AC$15,26,FALSE)</f>
        <v>64.2</v>
      </c>
      <c r="E17" s="121">
        <f>VLOOKUP(B17,'Quality - 2'!$B$2:$S$14,18,FALSE)</f>
        <v>35.699999999999996</v>
      </c>
      <c r="F17" s="159">
        <f>VLOOKUP(B17,Safety!$B$4:$R$16,17,FALSE)</f>
        <v>21.4</v>
      </c>
      <c r="G17" s="180">
        <f t="shared" si="0"/>
        <v>40.433333333333337</v>
      </c>
      <c r="H17" s="125" cm="1">
        <f t="array" ref="H17">_xlfn.PERCENTRANK.EXC(_xlfn._xlws.FILTER($G$6:G$18, ISNUMBER($G$6:G$18)),G17)*100</f>
        <v>35.699999999999996</v>
      </c>
      <c r="I17" s="159">
        <f>VLOOKUP(B17,'LIQIDITY 2'!$A$3:$X$15,24,FALSE)</f>
        <v>28.499999999999996</v>
      </c>
      <c r="J17" s="121">
        <f ca="1">VLOOKUP(B17,'Momnetum ranking'!$A$3:$AJ$15,36,FALSE)</f>
        <v>57.099999999999994</v>
      </c>
      <c r="K17" s="161">
        <f>VLOOKUP(B17,'Momnetum ranking'!$A$3:$H$15,8,FALSE)</f>
        <v>0.20454545454545456</v>
      </c>
      <c r="L17" s="121">
        <f>VLOOKUP(B17,'Currency- 2'!$A$3:$U$15,21,FALSE)</f>
        <v>50</v>
      </c>
      <c r="M17" s="160">
        <f t="shared" ca="1" si="1"/>
        <v>45.668786999999995</v>
      </c>
      <c r="N17" s="121" cm="1">
        <f t="array" aca="1" ref="N17" ca="1">_xlfn.PERCENTRANK.EXC(_xlfn._xlws.FILTER($M$6:M$18, ISNUMBER($M$6:M$18)),M17)*100</f>
        <v>42.8</v>
      </c>
    </row>
    <row r="18" spans="2:14" x14ac:dyDescent="0.35">
      <c r="B18" s="79" t="s">
        <v>866</v>
      </c>
      <c r="C18" s="168" t="str" cm="1">
        <f t="array" ref="C18">_xll.FDS(B18,"FG_COMPANY_NAME")</f>
        <v>iShares MSCI Italy ETF</v>
      </c>
      <c r="D18" s="154">
        <f>VLOOKUP(B18,'Value -2 '!$D$3:$AC$15,26,FALSE)</f>
        <v>92.800000000000011</v>
      </c>
      <c r="E18" s="122">
        <f>VLOOKUP(B18,'Quality - 2'!$B$2:$S$14,18,FALSE)</f>
        <v>7.1</v>
      </c>
      <c r="F18" s="154">
        <f>VLOOKUP(B18,Safety!$B$4:$R$16,17,FALSE)</f>
        <v>7.1</v>
      </c>
      <c r="G18" s="181">
        <f t="shared" si="0"/>
        <v>35.666666666666679</v>
      </c>
      <c r="H18" s="126" cm="1">
        <f t="array" ref="H18">_xlfn.PERCENTRANK.EXC(_xlfn._xlws.FILTER($G$6:G$18, ISNUMBER($G$6:G$18)),G18)*100</f>
        <v>28.499999999999996</v>
      </c>
      <c r="I18" s="154">
        <f>VLOOKUP(B18,'LIQIDITY 2'!$A$3:$X$15,24,FALSE)</f>
        <v>28.499999999999996</v>
      </c>
      <c r="J18" s="122">
        <f ca="1">VLOOKUP(B18,'Momnetum ranking'!$A$3:$AJ$15,36,FALSE)</f>
        <v>71.399999999999991</v>
      </c>
      <c r="K18" s="165">
        <f>VLOOKUP(B18,'Momnetum ranking'!$A$3:$H$15,8,FALSE)</f>
        <v>0.51851851851851849</v>
      </c>
      <c r="L18" s="122">
        <f>VLOOKUP(B18,'Currency- 2'!$A$3:$U$15,21,FALSE)</f>
        <v>78.5</v>
      </c>
      <c r="M18" s="164">
        <f t="shared" ca="1" si="1"/>
        <v>52.808929999999997</v>
      </c>
      <c r="N18" s="122" cm="1">
        <f t="array" aca="1" ref="N18" ca="1">_xlfn.PERCENTRANK.EXC(_xlfn._xlws.FILTER($M$6:M$18, ISNUMBER($M$6:M$18)),M18)*100</f>
        <v>71.399999999999991</v>
      </c>
    </row>
  </sheetData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22"/>
  <sheetViews>
    <sheetView topLeftCell="C1" zoomScale="82" zoomScaleNormal="82" workbookViewId="0">
      <selection activeCell="R28" sqref="R28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29" t="s">
        <v>822</v>
      </c>
      <c r="D2" s="130">
        <v>0.5</v>
      </c>
      <c r="E2" s="62" t="s">
        <v>836</v>
      </c>
      <c r="F2" s="127">
        <v>0.1</v>
      </c>
      <c r="R2" s="144" t="s">
        <v>851</v>
      </c>
      <c r="S2" s="144" t="s">
        <v>851</v>
      </c>
    </row>
    <row r="3" spans="2:21" ht="15" thickBot="1" x14ac:dyDescent="0.4">
      <c r="C3" s="131" t="s">
        <v>823</v>
      </c>
      <c r="D3" s="132">
        <v>70</v>
      </c>
      <c r="E3" s="56" t="s">
        <v>824</v>
      </c>
      <c r="F3" s="58">
        <v>50</v>
      </c>
      <c r="R3" s="148">
        <f ca="1">COUNTIF(R9:R17,"&gt;0")</f>
        <v>6</v>
      </c>
      <c r="S3" s="148">
        <f ca="1">COUNTIF(S9:S17,"&gt;0")</f>
        <v>6</v>
      </c>
    </row>
    <row r="4" spans="2:21" ht="15" thickBot="1" x14ac:dyDescent="0.4">
      <c r="C4" s="131" t="s">
        <v>825</v>
      </c>
      <c r="D4" s="133">
        <v>0.3</v>
      </c>
      <c r="E4" s="56" t="s">
        <v>831</v>
      </c>
      <c r="F4" s="128">
        <v>0.1</v>
      </c>
    </row>
    <row r="5" spans="2:21" ht="15" thickBot="1" x14ac:dyDescent="0.4">
      <c r="C5" s="134" t="s">
        <v>826</v>
      </c>
      <c r="D5" s="135">
        <v>70</v>
      </c>
      <c r="E5" s="12" t="s">
        <v>823</v>
      </c>
      <c r="F5" s="14">
        <v>60</v>
      </c>
      <c r="Q5" s="62" t="s">
        <v>849</v>
      </c>
      <c r="R5" s="11"/>
    </row>
    <row r="6" spans="2:21" ht="15" thickBot="1" x14ac:dyDescent="0.4">
      <c r="Q6" s="12" t="s">
        <v>850</v>
      </c>
      <c r="R6" s="147">
        <v>0.01</v>
      </c>
    </row>
    <row r="7" spans="2:21" ht="15" thickBot="1" x14ac:dyDescent="0.4"/>
    <row r="8" spans="2:21" x14ac:dyDescent="0.35">
      <c r="B8" s="139" t="s">
        <v>827</v>
      </c>
      <c r="C8" s="139" t="s">
        <v>518</v>
      </c>
      <c r="D8" s="140" t="s">
        <v>544</v>
      </c>
      <c r="E8" s="140" t="s">
        <v>828</v>
      </c>
      <c r="F8" s="140" t="s">
        <v>543</v>
      </c>
      <c r="G8" s="140" t="s">
        <v>545</v>
      </c>
      <c r="H8" s="140" t="s">
        <v>546</v>
      </c>
      <c r="I8" s="140" t="s">
        <v>549</v>
      </c>
      <c r="J8" s="140" t="s">
        <v>832</v>
      </c>
      <c r="K8" s="140" t="s">
        <v>853</v>
      </c>
      <c r="L8" s="140" t="s">
        <v>833</v>
      </c>
      <c r="M8" s="140" t="s">
        <v>858</v>
      </c>
      <c r="N8" s="140" t="s">
        <v>834</v>
      </c>
      <c r="O8" s="140" t="s">
        <v>854</v>
      </c>
      <c r="P8" s="140" t="s">
        <v>835</v>
      </c>
      <c r="Q8" s="140" t="s">
        <v>855</v>
      </c>
      <c r="R8" s="155" t="s">
        <v>856</v>
      </c>
      <c r="S8" s="155" t="s">
        <v>857</v>
      </c>
    </row>
    <row r="9" spans="2:21" x14ac:dyDescent="0.35">
      <c r="B9" s="56" t="s">
        <v>431</v>
      </c>
      <c r="C9" s="56" t="str" cm="1">
        <f t="array" ref="C9">_xll.FDS(B9,"FG_COMPANY_NAME")</f>
        <v>iShares MSCI New Zealand ETF</v>
      </c>
      <c r="D9" t="s">
        <v>674</v>
      </c>
      <c r="E9" s="136">
        <f>HLOOKUP(B9,'Monthly Returns'!$A$1:$N$139,139,FALSE)</f>
        <v>0.21561737139987713</v>
      </c>
      <c r="F9">
        <f ca="1">VLOOKUP(B9,OUTPUT_COUNTRY!$B$6:$N$18, 9, FALSE)</f>
        <v>7.1</v>
      </c>
      <c r="G9" s="47">
        <f>IFERROR(VLOOKUP(B9,OUTPUT_COUNTRY!$B$6:$N$18, 7, FALSE),0)</f>
        <v>21.4</v>
      </c>
      <c r="H9">
        <f>VLOOKUP(B9,OUTPUT_COUNTRY!$B$6:$N$18, 8, FALSE)</f>
        <v>28.499999999999996</v>
      </c>
      <c r="I9">
        <f>VLOOKUP(B9,OUTPUT_COUNTRY!$B$6:$N$18, 11, FALSE)</f>
        <v>14.2</v>
      </c>
      <c r="J9" s="47">
        <f t="shared" ref="J9:J21" ca="1" si="0">IF(F9&gt;=$D$3,1/E9,0)</f>
        <v>0</v>
      </c>
      <c r="K9" s="136">
        <f ca="1">J9/$J$22</f>
        <v>0</v>
      </c>
      <c r="L9">
        <f t="shared" ref="L9:L21" si="1">IF(G9&gt;=$D$5,1/E9,0)</f>
        <v>0</v>
      </c>
      <c r="M9" s="136">
        <f>L9/$L$22</f>
        <v>0</v>
      </c>
      <c r="N9">
        <f t="shared" ref="N9:N21" si="2">IF(H9&gt;=$F$3,1/E9,0)</f>
        <v>0</v>
      </c>
      <c r="O9" s="136">
        <f>N9/$N$22</f>
        <v>0</v>
      </c>
      <c r="P9">
        <f t="shared" ref="P9:P21" si="3">IF(I9&gt;=$F$5,1/E9,0)</f>
        <v>0</v>
      </c>
      <c r="Q9" s="136">
        <f>P9/$P$22</f>
        <v>0</v>
      </c>
      <c r="R9" s="156" t="str">
        <f t="shared" ref="R9:R21" ca="1" si="4">IF($D$2*K9+$D$4*M9+$F$2*O9+$F$4*Q9 = 0,"",$D$2*K9+$D$4*M9+$F$2*O9+$F$4*Q9)</f>
        <v/>
      </c>
      <c r="S9" s="156" t="str">
        <f t="shared" ref="S9:S21" ca="1" si="5">IFERROR(IF(R9&gt;=$R$6, R9/SUMIF($R$9:$R$17,"&gt;="&amp;$R$6), ""),"")</f>
        <v/>
      </c>
      <c r="U9" s="50"/>
    </row>
    <row r="10" spans="2:21" x14ac:dyDescent="0.35">
      <c r="B10" s="56" t="s">
        <v>44</v>
      </c>
      <c r="C10" s="56" t="str" cm="1">
        <f t="array" ref="C10">_xll.FDS(B10,"FG_COMPANY_NAME")</f>
        <v>iShares MSCI Australia ETF</v>
      </c>
      <c r="D10" t="s">
        <v>576</v>
      </c>
      <c r="E10" s="136">
        <f>HLOOKUP(B10,'Monthly Returns'!$A$1:$N$139,139,FALSE)</f>
        <v>0.23640095683346218</v>
      </c>
      <c r="F10">
        <f ca="1">VLOOKUP(B10,OUTPUT_COUNTRY!$B$6:$N$18, 9, FALSE)</f>
        <v>21.4</v>
      </c>
      <c r="G10" s="47">
        <f>IFERROR(VLOOKUP(B10,OUTPUT_COUNTRY!$B$6:$N$18, 7, FALSE),0)</f>
        <v>7.1</v>
      </c>
      <c r="H10">
        <f>VLOOKUP(B10,OUTPUT_COUNTRY!$B$6:$N$18, 8, FALSE)</f>
        <v>28.499999999999996</v>
      </c>
      <c r="I10">
        <f>VLOOKUP(B10,OUTPUT_COUNTRY!$B$6:$N$18, 11, FALSE)</f>
        <v>35.699999999999996</v>
      </c>
      <c r="J10" s="47">
        <f t="shared" ca="1" si="0"/>
        <v>0</v>
      </c>
      <c r="K10" s="136">
        <f t="shared" ref="K10:K21" ca="1" si="6">J10/$J$22</f>
        <v>0</v>
      </c>
      <c r="L10">
        <f t="shared" si="1"/>
        <v>0</v>
      </c>
      <c r="M10" s="136">
        <f t="shared" ref="M10:M21" si="7">L10/$L$22</f>
        <v>0</v>
      </c>
      <c r="N10">
        <f t="shared" si="2"/>
        <v>0</v>
      </c>
      <c r="O10" s="136">
        <f t="shared" ref="O10:O21" si="8">N10/$N$22</f>
        <v>0</v>
      </c>
      <c r="P10">
        <f t="shared" si="3"/>
        <v>0</v>
      </c>
      <c r="Q10" s="136">
        <f t="shared" ref="Q10:Q21" si="9">P10/$P$22</f>
        <v>0</v>
      </c>
      <c r="R10" s="156" t="str">
        <f t="shared" ca="1" si="4"/>
        <v/>
      </c>
      <c r="S10" s="156" t="str">
        <f t="shared" ca="1" si="5"/>
        <v/>
      </c>
      <c r="U10" s="50"/>
    </row>
    <row r="11" spans="2:21" x14ac:dyDescent="0.35">
      <c r="B11" s="56" t="s">
        <v>49</v>
      </c>
      <c r="C11" s="56" t="str" cm="1">
        <f t="array" ref="C11">_xll.FDS(B11,"FG_COMPANY_NAME")</f>
        <v>iShares MSCI Canada ETF</v>
      </c>
      <c r="D11" t="s">
        <v>598</v>
      </c>
      <c r="E11" s="136">
        <f>HLOOKUP(B11,'Monthly Returns'!$A$1:$N$139,139,FALSE)</f>
        <v>0.22489078894775408</v>
      </c>
      <c r="F11">
        <f ca="1">VLOOKUP(B11,OUTPUT_COUNTRY!$B$6:$N$18, 9, FALSE)</f>
        <v>42.8</v>
      </c>
      <c r="G11" s="47">
        <f>IFERROR(VLOOKUP(B11,OUTPUT_COUNTRY!$B$6:$N$18, 7, FALSE),0)</f>
        <v>14.2</v>
      </c>
      <c r="H11">
        <f>VLOOKUP(B11,OUTPUT_COUNTRY!$B$6:$N$18, 8, FALSE)</f>
        <v>28.499999999999996</v>
      </c>
      <c r="I11">
        <f>VLOOKUP(B11,OUTPUT_COUNTRY!$B$6:$N$18, 11, FALSE)</f>
        <v>42.8</v>
      </c>
      <c r="J11" s="47">
        <f t="shared" ca="1" si="0"/>
        <v>0</v>
      </c>
      <c r="K11" s="136">
        <f t="shared" ca="1" si="6"/>
        <v>0</v>
      </c>
      <c r="L11">
        <f t="shared" si="1"/>
        <v>0</v>
      </c>
      <c r="M11" s="136">
        <f t="shared" si="7"/>
        <v>0</v>
      </c>
      <c r="N11">
        <f t="shared" si="2"/>
        <v>0</v>
      </c>
      <c r="O11" s="136">
        <f t="shared" si="8"/>
        <v>0</v>
      </c>
      <c r="P11">
        <f t="shared" si="3"/>
        <v>0</v>
      </c>
      <c r="Q11" s="136">
        <f t="shared" si="9"/>
        <v>0</v>
      </c>
      <c r="R11" s="156" t="str">
        <f t="shared" ca="1" si="4"/>
        <v/>
      </c>
      <c r="S11" s="156" t="str">
        <f t="shared" ca="1" si="5"/>
        <v/>
      </c>
      <c r="U11" s="50"/>
    </row>
    <row r="12" spans="2:21" x14ac:dyDescent="0.35">
      <c r="B12" s="56" t="s">
        <v>11</v>
      </c>
      <c r="C12" s="56" t="str" cm="1">
        <f t="array" ref="C12">_xll.FDS(B12,"FG_COMPANY_NAME")</f>
        <v>iShares MSCI Germany ETF</v>
      </c>
      <c r="D12" t="s">
        <v>625</v>
      </c>
      <c r="E12" s="136">
        <f>HLOOKUP(B12,'Monthly Returns'!$A$1:$N$139,139,FALSE)</f>
        <v>0.23542071117816432</v>
      </c>
      <c r="F12">
        <f ca="1">VLOOKUP(B12,OUTPUT_COUNTRY!$B$6:$N$18, 9, FALSE)</f>
        <v>64.2</v>
      </c>
      <c r="G12" s="47">
        <f>IFERROR(VLOOKUP(B12,OUTPUT_COUNTRY!$B$6:$N$18, 7, FALSE),0)</f>
        <v>57.099999999999994</v>
      </c>
      <c r="H12">
        <f>VLOOKUP(B12,OUTPUT_COUNTRY!$B$6:$N$18, 8, FALSE)</f>
        <v>7.1</v>
      </c>
      <c r="I12">
        <f>VLOOKUP(B12,OUTPUT_COUNTRY!$B$6:$N$18, 11, FALSE)</f>
        <v>85.7</v>
      </c>
      <c r="J12" s="47">
        <f t="shared" ca="1" si="0"/>
        <v>0</v>
      </c>
      <c r="K12" s="136">
        <f t="shared" ca="1" si="6"/>
        <v>0</v>
      </c>
      <c r="L12">
        <f t="shared" si="1"/>
        <v>0</v>
      </c>
      <c r="M12" s="136">
        <f t="shared" si="7"/>
        <v>0</v>
      </c>
      <c r="N12">
        <f t="shared" si="2"/>
        <v>0</v>
      </c>
      <c r="O12" s="136">
        <f t="shared" si="8"/>
        <v>0</v>
      </c>
      <c r="P12">
        <f t="shared" si="3"/>
        <v>4.2477146339227936</v>
      </c>
      <c r="Q12" s="136">
        <f t="shared" si="9"/>
        <v>0.24645559040048126</v>
      </c>
      <c r="R12" s="156">
        <f t="shared" ca="1" si="4"/>
        <v>2.4645559040048129E-2</v>
      </c>
      <c r="S12" s="156">
        <f t="shared" ca="1" si="5"/>
        <v>3.1578741785006151E-2</v>
      </c>
      <c r="U12" s="50"/>
    </row>
    <row r="13" spans="2:21" x14ac:dyDescent="0.35">
      <c r="B13" s="56" t="s">
        <v>46</v>
      </c>
      <c r="C13" s="56" t="str" cm="1">
        <f t="array" ref="C13">_xll.FDS(B13,"FG_COMPANY_NAME")</f>
        <v>iShares MSCI Japan ETF</v>
      </c>
      <c r="D13" t="s">
        <v>643</v>
      </c>
      <c r="E13" s="136">
        <f>HLOOKUP(B13,'Monthly Returns'!$A$1:$N$139,139,FALSE)</f>
        <v>0.16685484509540666</v>
      </c>
      <c r="F13">
        <f ca="1">VLOOKUP(B13,OUTPUT_COUNTRY!$B$6:$N$18, 9, FALSE)</f>
        <v>92.800000000000011</v>
      </c>
      <c r="G13" s="47">
        <f>IFERROR(VLOOKUP(B13,OUTPUT_COUNTRY!$B$6:$N$18, 7, FALSE),0)</f>
        <v>42.8</v>
      </c>
      <c r="H13">
        <f>VLOOKUP(B13,OUTPUT_COUNTRY!$B$6:$N$18, 8, FALSE)</f>
        <v>7.1</v>
      </c>
      <c r="I13">
        <f>VLOOKUP(B13,OUTPUT_COUNTRY!$B$6:$N$18, 11, FALSE)</f>
        <v>7.1</v>
      </c>
      <c r="J13" s="47">
        <f t="shared" ca="1" si="0"/>
        <v>5.9932332167412081</v>
      </c>
      <c r="K13" s="136">
        <f t="shared" ca="1" si="6"/>
        <v>0.29985982420910973</v>
      </c>
      <c r="L13">
        <f t="shared" si="1"/>
        <v>0</v>
      </c>
      <c r="M13" s="136">
        <f t="shared" si="7"/>
        <v>0</v>
      </c>
      <c r="N13">
        <f t="shared" si="2"/>
        <v>0</v>
      </c>
      <c r="O13" s="136">
        <f t="shared" si="8"/>
        <v>0</v>
      </c>
      <c r="P13">
        <f t="shared" si="3"/>
        <v>0</v>
      </c>
      <c r="Q13" s="136">
        <f t="shared" si="9"/>
        <v>0</v>
      </c>
      <c r="R13" s="156">
        <f t="shared" ca="1" si="4"/>
        <v>0.14992991210455486</v>
      </c>
      <c r="S13" s="156">
        <f t="shared" ca="1" si="5"/>
        <v>0.19210755059379492</v>
      </c>
      <c r="U13" s="50"/>
    </row>
    <row r="14" spans="2:21" x14ac:dyDescent="0.35">
      <c r="B14" s="56" t="s">
        <v>42</v>
      </c>
      <c r="C14" s="56" t="str" cm="1">
        <f t="array" ref="C14">_xll.FDS(B14,"FG_COMPANY_NAME")</f>
        <v>iShares MSCI Switzerland ETF</v>
      </c>
      <c r="D14" t="s">
        <v>706</v>
      </c>
      <c r="E14" s="136">
        <f>HLOOKUP(B14,'Monthly Returns'!$A$1:$N$139,139,FALSE)</f>
        <v>0.17989315275055895</v>
      </c>
      <c r="F14">
        <f ca="1">VLOOKUP(B14,OUTPUT_COUNTRY!$B$6:$N$18, 9, FALSE)</f>
        <v>14.2</v>
      </c>
      <c r="G14" s="47">
        <f>IFERROR(VLOOKUP(B14,OUTPUT_COUNTRY!$B$6:$N$18, 7, FALSE),0)</f>
        <v>92.800000000000011</v>
      </c>
      <c r="H14">
        <f>VLOOKUP(B14,OUTPUT_COUNTRY!$B$6:$N$18, 8, FALSE)</f>
        <v>92.800000000000011</v>
      </c>
      <c r="I14">
        <f>VLOOKUP(B14,OUTPUT_COUNTRY!$B$6:$N$18, 11, FALSE)</f>
        <v>28.499999999999996</v>
      </c>
      <c r="J14" s="47">
        <f t="shared" ca="1" si="0"/>
        <v>0</v>
      </c>
      <c r="K14" s="136">
        <f t="shared" ca="1" si="6"/>
        <v>0</v>
      </c>
      <c r="L14">
        <f t="shared" si="1"/>
        <v>5.5588552688639945</v>
      </c>
      <c r="M14" s="136">
        <f t="shared" si="7"/>
        <v>0.27946918626491024</v>
      </c>
      <c r="N14">
        <f t="shared" si="2"/>
        <v>5.5588552688639945</v>
      </c>
      <c r="O14" s="136">
        <f t="shared" si="8"/>
        <v>1</v>
      </c>
      <c r="P14">
        <f t="shared" si="3"/>
        <v>0</v>
      </c>
      <c r="Q14" s="136">
        <f t="shared" si="9"/>
        <v>0</v>
      </c>
      <c r="R14" s="156">
        <f t="shared" ca="1" si="4"/>
        <v>0.18384075587947307</v>
      </c>
      <c r="S14" s="156">
        <f t="shared" ca="1" si="5"/>
        <v>0.23555804719400245</v>
      </c>
      <c r="U14" s="50"/>
    </row>
    <row r="15" spans="2:21" x14ac:dyDescent="0.35">
      <c r="B15" s="56" t="s">
        <v>48</v>
      </c>
      <c r="C15" s="56" t="str" cm="1">
        <f t="array" ref="C15">_xll.FDS(B15,"FG_COMPANY_NAME")</f>
        <v>iShares MSCI United Kingdom ETF</v>
      </c>
      <c r="D15" t="s">
        <v>719</v>
      </c>
      <c r="E15" s="136">
        <f>HLOOKUP(B15,'Monthly Returns'!$A$1:$N$139,139,FALSE)</f>
        <v>0.2171842476318489</v>
      </c>
      <c r="F15">
        <f ca="1">VLOOKUP(B15,OUTPUT_COUNTRY!$B$6:$N$18, 9, FALSE)</f>
        <v>35.699999999999996</v>
      </c>
      <c r="G15" s="47">
        <f>IFERROR(VLOOKUP(B15,OUTPUT_COUNTRY!$B$6:$N$18, 7, FALSE),0)</f>
        <v>78.5</v>
      </c>
      <c r="H15">
        <f>VLOOKUP(B15,OUTPUT_COUNTRY!$B$6:$N$18, 8, FALSE)</f>
        <v>7.1</v>
      </c>
      <c r="I15">
        <f>VLOOKUP(B15,OUTPUT_COUNTRY!$B$6:$N$18, 11, FALSE)</f>
        <v>71.399999999999991</v>
      </c>
      <c r="J15" s="47">
        <f t="shared" ca="1" si="0"/>
        <v>0</v>
      </c>
      <c r="K15" s="136">
        <f t="shared" ca="1" si="6"/>
        <v>0</v>
      </c>
      <c r="L15">
        <f t="shared" si="1"/>
        <v>4.6043854971245866</v>
      </c>
      <c r="M15" s="136">
        <f t="shared" si="7"/>
        <v>0.23148360694671027</v>
      </c>
      <c r="N15">
        <f t="shared" si="2"/>
        <v>0</v>
      </c>
      <c r="O15" s="136">
        <f t="shared" si="8"/>
        <v>0</v>
      </c>
      <c r="P15">
        <f t="shared" si="3"/>
        <v>4.6043854971245866</v>
      </c>
      <c r="Q15" s="136">
        <f t="shared" si="9"/>
        <v>0.26714990151710816</v>
      </c>
      <c r="R15" s="156">
        <f t="shared" ca="1" si="4"/>
        <v>9.6160072235723898E-2</v>
      </c>
      <c r="S15" s="156">
        <f t="shared" ca="1" si="5"/>
        <v>0.12321141047054673</v>
      </c>
      <c r="U15" s="50"/>
    </row>
    <row r="16" spans="2:21" x14ac:dyDescent="0.35">
      <c r="B16" s="56" t="s">
        <v>51</v>
      </c>
      <c r="C16" s="56" t="str" cm="1">
        <f t="array" ref="C16">_xll.FDS(B16,"FG_COMPANY_NAME")</f>
        <v>Invesco QQQ Trust Series I</v>
      </c>
      <c r="D16" t="s">
        <v>720</v>
      </c>
      <c r="E16" s="136">
        <f>HLOOKUP(B16,'Monthly Returns'!$A$1:$N$139,139,FALSE)</f>
        <v>0.21289129934764744</v>
      </c>
      <c r="F16">
        <f ca="1">VLOOKUP(B16,OUTPUT_COUNTRY!$B$6:$N$18, 9, FALSE)</f>
        <v>78.5</v>
      </c>
      <c r="G16" s="47">
        <f>IFERROR(VLOOKUP(B16,OUTPUT_COUNTRY!$B$6:$N$18, 7, FALSE),0)</f>
        <v>50</v>
      </c>
      <c r="H16">
        <f>VLOOKUP(B16,OUTPUT_COUNTRY!$B$6:$N$18, 8, FALSE)</f>
        <v>28.499999999999996</v>
      </c>
      <c r="I16">
        <f>VLOOKUP(B16,OUTPUT_COUNTRY!$B$6:$N$18, 11, FALSE)</f>
        <v>57.099999999999994</v>
      </c>
      <c r="J16" s="47">
        <f t="shared" ca="1" si="0"/>
        <v>4.6972328275709332</v>
      </c>
      <c r="K16" s="136">
        <f t="shared" ca="1" si="6"/>
        <v>0.23501695312143231</v>
      </c>
      <c r="L16">
        <f t="shared" si="1"/>
        <v>0</v>
      </c>
      <c r="M16" s="136">
        <f t="shared" si="7"/>
        <v>0</v>
      </c>
      <c r="N16">
        <f t="shared" si="2"/>
        <v>0</v>
      </c>
      <c r="O16" s="136">
        <f t="shared" si="8"/>
        <v>0</v>
      </c>
      <c r="P16">
        <f t="shared" si="3"/>
        <v>0</v>
      </c>
      <c r="Q16" s="136">
        <f t="shared" si="9"/>
        <v>0</v>
      </c>
      <c r="R16" s="156">
        <f t="shared" ca="1" si="4"/>
        <v>0.11750847656071615</v>
      </c>
      <c r="S16" s="156">
        <f t="shared" ca="1" si="5"/>
        <v>0.15056545614690411</v>
      </c>
      <c r="U16" s="50"/>
    </row>
    <row r="17" spans="2:21" x14ac:dyDescent="0.35">
      <c r="B17" s="56" t="s">
        <v>1</v>
      </c>
      <c r="C17" s="56" t="str" cm="1">
        <f t="array" ref="C17">_xll.FDS(B17,"FG_COMPANY_NAME")</f>
        <v>SPDR S&amp;P 500 ETF Trust</v>
      </c>
      <c r="D17" t="s">
        <v>720</v>
      </c>
      <c r="E17" s="136">
        <f>HLOOKUP(B17,'Monthly Returns'!$A$1:$N$139,139,FALSE)</f>
        <v>0.19244735694688331</v>
      </c>
      <c r="F17">
        <f ca="1">VLOOKUP(B17,OUTPUT_COUNTRY!$B$6:$N$18, 9, FALSE)</f>
        <v>85.7</v>
      </c>
      <c r="G17" s="47">
        <f>IFERROR(VLOOKUP(B17,OUTPUT_COUNTRY!$B$6:$N$18, 7, FALSE),0)</f>
        <v>71.399999999999991</v>
      </c>
      <c r="H17">
        <f>VLOOKUP(B17,OUTPUT_COUNTRY!$B$6:$N$18, 8, FALSE)</f>
        <v>28.499999999999996</v>
      </c>
      <c r="I17">
        <f>VLOOKUP(B17,OUTPUT_COUNTRY!$B$6:$N$18, 11, FALSE)</f>
        <v>57.099999999999994</v>
      </c>
      <c r="J17" s="47">
        <f t="shared" ca="1" si="0"/>
        <v>5.1962262088951752</v>
      </c>
      <c r="K17" s="136">
        <f t="shared" ca="1" si="6"/>
        <v>0.25998312116365579</v>
      </c>
      <c r="L17">
        <f t="shared" si="1"/>
        <v>5.1962262088951752</v>
      </c>
      <c r="M17" s="136">
        <f t="shared" si="7"/>
        <v>0.26123815785999083</v>
      </c>
      <c r="N17">
        <f t="shared" si="2"/>
        <v>0</v>
      </c>
      <c r="O17" s="136">
        <f t="shared" si="8"/>
        <v>0</v>
      </c>
      <c r="P17">
        <f t="shared" si="3"/>
        <v>0</v>
      </c>
      <c r="Q17" s="136">
        <f t="shared" si="9"/>
        <v>0</v>
      </c>
      <c r="R17" s="156">
        <f t="shared" ca="1" si="4"/>
        <v>0.20836300793982515</v>
      </c>
      <c r="S17" s="156">
        <f t="shared" ca="1" si="5"/>
        <v>0.26697879380974571</v>
      </c>
      <c r="U17" s="50"/>
    </row>
    <row r="18" spans="2:21" x14ac:dyDescent="0.35">
      <c r="B18" s="56" t="s">
        <v>865</v>
      </c>
      <c r="C18" s="56" t="str" cm="1">
        <f t="array" ref="C18">_xll.FDS(B18,"FG_COMPANY_NAME")</f>
        <v>iShares MSCI France ETF</v>
      </c>
      <c r="D18" t="s">
        <v>621</v>
      </c>
      <c r="E18" s="136">
        <f>HLOOKUP(B18,'Monthly Returns'!$A$1:$N$139,139,FALSE)</f>
        <v>0.2206874276957787</v>
      </c>
      <c r="F18">
        <f ca="1">VLOOKUP(B18,OUTPUT_COUNTRY!$B$6:$N$18, 9, FALSE)</f>
        <v>28.499999999999996</v>
      </c>
      <c r="G18" s="47">
        <f>IFERROR(VLOOKUP(B18,OUTPUT_COUNTRY!$B$6:$N$18, 7, FALSE),0)</f>
        <v>85.7</v>
      </c>
      <c r="H18">
        <f>VLOOKUP(B18,OUTPUT_COUNTRY!$B$6:$N$18, 8, FALSE)</f>
        <v>28.499999999999996</v>
      </c>
      <c r="I18">
        <f>VLOOKUP(B18,OUTPUT_COUNTRY!$B$6:$N$18, 11, FALSE)</f>
        <v>21.4</v>
      </c>
      <c r="J18" s="47">
        <f t="shared" ca="1" si="0"/>
        <v>0</v>
      </c>
      <c r="K18" s="136">
        <f t="shared" ca="1" si="6"/>
        <v>0</v>
      </c>
      <c r="L18">
        <f t="shared" si="1"/>
        <v>4.5312957355165544</v>
      </c>
      <c r="M18" s="136">
        <f t="shared" si="7"/>
        <v>0.22780904892838874</v>
      </c>
      <c r="N18">
        <f t="shared" si="2"/>
        <v>0</v>
      </c>
      <c r="O18" s="136">
        <f t="shared" si="8"/>
        <v>0</v>
      </c>
      <c r="P18">
        <f t="shared" si="3"/>
        <v>0</v>
      </c>
      <c r="Q18" s="136">
        <f t="shared" si="9"/>
        <v>0</v>
      </c>
      <c r="R18" s="156">
        <f t="shared" ca="1" si="4"/>
        <v>6.8342714678516617E-2</v>
      </c>
      <c r="S18" s="156">
        <f t="shared" ca="1" si="5"/>
        <v>8.7568593441612233E-2</v>
      </c>
    </row>
    <row r="19" spans="2:21" x14ac:dyDescent="0.35">
      <c r="B19" s="56" t="s">
        <v>867</v>
      </c>
      <c r="C19" s="56" t="str" cm="1">
        <f t="array" ref="C19">_xll.FDS(B19,"FG_COMPANY_NAME")</f>
        <v>iShares MSCI Netherlands ETF</v>
      </c>
      <c r="D19" t="s">
        <v>673</v>
      </c>
      <c r="E19" s="136">
        <f>HLOOKUP(B19,'Monthly Returns'!$A$1:$N$139,139,FALSE)</f>
        <v>0.23347998667326891</v>
      </c>
      <c r="F19">
        <f ca="1">VLOOKUP(B19,OUTPUT_COUNTRY!$B$6:$N$18, 9, FALSE)</f>
        <v>50</v>
      </c>
      <c r="G19" s="47">
        <f>IFERROR(VLOOKUP(B19,OUTPUT_COUNTRY!$B$6:$N$18, 7, FALSE),0)</f>
        <v>57.099999999999994</v>
      </c>
      <c r="H19">
        <f>VLOOKUP(B19,OUTPUT_COUNTRY!$B$6:$N$18, 8, FALSE)</f>
        <v>28.499999999999996</v>
      </c>
      <c r="I19">
        <f>VLOOKUP(B19,OUTPUT_COUNTRY!$B$6:$N$18, 11, FALSE)</f>
        <v>92.800000000000011</v>
      </c>
      <c r="J19" s="47">
        <f t="shared" ca="1" si="0"/>
        <v>0</v>
      </c>
      <c r="K19" s="136">
        <f t="shared" ca="1" si="6"/>
        <v>0</v>
      </c>
      <c r="L19">
        <f t="shared" si="1"/>
        <v>0</v>
      </c>
      <c r="M19" s="136">
        <f t="shared" si="7"/>
        <v>0</v>
      </c>
      <c r="N19">
        <f t="shared" si="2"/>
        <v>0</v>
      </c>
      <c r="O19" s="136">
        <f t="shared" si="8"/>
        <v>0</v>
      </c>
      <c r="P19">
        <f t="shared" si="3"/>
        <v>4.2830223448633165</v>
      </c>
      <c r="Q19" s="136">
        <f t="shared" si="9"/>
        <v>0.24850417028295324</v>
      </c>
      <c r="R19" s="156">
        <f t="shared" ca="1" si="4"/>
        <v>2.4850417028295324E-2</v>
      </c>
      <c r="S19" s="156">
        <f t="shared" ca="1" si="5"/>
        <v>3.1841229542047565E-2</v>
      </c>
    </row>
    <row r="20" spans="2:21" x14ac:dyDescent="0.35">
      <c r="B20" s="56" t="s">
        <v>864</v>
      </c>
      <c r="C20" s="56" t="str" cm="1">
        <f t="array" ref="C20">_xll.FDS(B20,"FG_COMPANY_NAME")</f>
        <v>iShares MSCI Sweden ETF</v>
      </c>
      <c r="D20" t="s">
        <v>705</v>
      </c>
      <c r="E20" s="136">
        <f>HLOOKUP(B20,'Monthly Returns'!$A$1:$N$139,139,FALSE)</f>
        <v>0.24291583385268722</v>
      </c>
      <c r="F20">
        <f ca="1">VLOOKUP(B20,OUTPUT_COUNTRY!$B$6:$N$18, 9, FALSE)</f>
        <v>57.099999999999994</v>
      </c>
      <c r="G20" s="47">
        <f>IFERROR(VLOOKUP(B20,OUTPUT_COUNTRY!$B$6:$N$18, 7, FALSE),0)</f>
        <v>35.699999999999996</v>
      </c>
      <c r="H20">
        <f>VLOOKUP(B20,OUTPUT_COUNTRY!$B$6:$N$18, 8, FALSE)</f>
        <v>28.499999999999996</v>
      </c>
      <c r="I20">
        <f>VLOOKUP(B20,OUTPUT_COUNTRY!$B$6:$N$18, 11, FALSE)</f>
        <v>50</v>
      </c>
      <c r="J20" s="47">
        <f t="shared" ca="1" si="0"/>
        <v>0</v>
      </c>
      <c r="K20" s="136">
        <f t="shared" ca="1" si="6"/>
        <v>0</v>
      </c>
      <c r="L20">
        <f t="shared" si="1"/>
        <v>0</v>
      </c>
      <c r="M20" s="136">
        <f t="shared" si="7"/>
        <v>0</v>
      </c>
      <c r="N20">
        <f t="shared" si="2"/>
        <v>0</v>
      </c>
      <c r="O20" s="136">
        <f t="shared" si="8"/>
        <v>0</v>
      </c>
      <c r="P20">
        <f t="shared" si="3"/>
        <v>0</v>
      </c>
      <c r="Q20" s="136">
        <f t="shared" si="9"/>
        <v>0</v>
      </c>
      <c r="R20" s="156" t="str">
        <f t="shared" ca="1" si="4"/>
        <v/>
      </c>
      <c r="S20" s="156" t="str">
        <f t="shared" ca="1" si="5"/>
        <v/>
      </c>
    </row>
    <row r="21" spans="2:21" ht="15" thickBot="1" x14ac:dyDescent="0.4">
      <c r="B21" s="12" t="s">
        <v>866</v>
      </c>
      <c r="C21" s="12" t="str" cm="1">
        <f t="array" ref="C21">_xll.FDS(B21,"FG_COMPANY_NAME")</f>
        <v>iShares MSCI Italy ETF</v>
      </c>
      <c r="D21" s="13" t="s">
        <v>641</v>
      </c>
      <c r="E21" s="137">
        <f>HLOOKUP(B21,'Monthly Returns'!$A$1:$N$139,139,FALSE)</f>
        <v>0.24389704475861221</v>
      </c>
      <c r="F21" s="13">
        <f ca="1">VLOOKUP(B21,OUTPUT_COUNTRY!$B$6:$N$18, 9, FALSE)</f>
        <v>71.399999999999991</v>
      </c>
      <c r="G21" s="138">
        <f>IFERROR(VLOOKUP(B21,OUTPUT_COUNTRY!$B$6:$N$18, 7, FALSE),0)</f>
        <v>28.499999999999996</v>
      </c>
      <c r="H21" s="13">
        <f>VLOOKUP(B21,OUTPUT_COUNTRY!$B$6:$N$18, 8, FALSE)</f>
        <v>28.499999999999996</v>
      </c>
      <c r="I21" s="13">
        <f>VLOOKUP(B21,OUTPUT_COUNTRY!$B$6:$N$18, 11, FALSE)</f>
        <v>78.5</v>
      </c>
      <c r="J21" s="138">
        <f t="shared" ca="1" si="0"/>
        <v>4.1000906796132437</v>
      </c>
      <c r="K21" s="137">
        <f t="shared" ca="1" si="6"/>
        <v>0.20514010150580214</v>
      </c>
      <c r="L21" s="13">
        <f t="shared" si="1"/>
        <v>0</v>
      </c>
      <c r="M21" s="137">
        <f t="shared" si="7"/>
        <v>0</v>
      </c>
      <c r="N21" s="13">
        <f t="shared" si="2"/>
        <v>0</v>
      </c>
      <c r="O21" s="137">
        <f t="shared" si="8"/>
        <v>0</v>
      </c>
      <c r="P21" s="13">
        <f t="shared" si="3"/>
        <v>4.1000906796132437</v>
      </c>
      <c r="Q21" s="137">
        <f t="shared" si="9"/>
        <v>0.23789033779945754</v>
      </c>
      <c r="R21" s="157">
        <f t="shared" ca="1" si="4"/>
        <v>0.12635908453284683</v>
      </c>
      <c r="S21" s="157">
        <f t="shared" ca="1" si="5"/>
        <v>0.16190587911471219</v>
      </c>
    </row>
    <row r="22" spans="2:21" x14ac:dyDescent="0.35">
      <c r="J22" s="47">
        <f ca="1">SUM(J9:J21)</f>
        <v>19.98678293282056</v>
      </c>
      <c r="K22" s="169"/>
      <c r="L22">
        <f>SUM(L9:L21)</f>
        <v>19.89076271040031</v>
      </c>
      <c r="N22">
        <f>SUM(N9:N21)</f>
        <v>5.5588552688639945</v>
      </c>
      <c r="P22">
        <f>SUM(P9:P21)</f>
        <v>17.235213155523937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16"/>
  <sheetViews>
    <sheetView topLeftCell="B1" zoomScale="95" zoomScaleNormal="95" workbookViewId="0">
      <selection activeCell="D25" sqref="D25"/>
    </sheetView>
  </sheetViews>
  <sheetFormatPr defaultRowHeight="14.5" x14ac:dyDescent="0.35"/>
  <cols>
    <col min="3" max="3" width="8.453125" bestFit="1" customWidth="1"/>
    <col min="4" max="4" width="34.453125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9" t="s">
        <v>544</v>
      </c>
      <c r="D2" s="209"/>
      <c r="E2" s="209" t="s">
        <v>778</v>
      </c>
      <c r="F2" s="209"/>
      <c r="G2" s="209"/>
      <c r="H2" s="215" t="s">
        <v>778</v>
      </c>
      <c r="I2" s="209" t="s">
        <v>546</v>
      </c>
      <c r="J2" s="209" t="s">
        <v>543</v>
      </c>
      <c r="K2" s="209" t="s">
        <v>549</v>
      </c>
      <c r="L2" s="209" t="s">
        <v>737</v>
      </c>
    </row>
    <row r="3" spans="3:12" x14ac:dyDescent="0.35">
      <c r="C3" s="203"/>
      <c r="D3" s="203"/>
      <c r="E3" s="152" t="s">
        <v>545</v>
      </c>
      <c r="F3" s="152" t="s">
        <v>547</v>
      </c>
      <c r="G3" s="152" t="s">
        <v>914</v>
      </c>
      <c r="H3" s="213"/>
      <c r="I3" s="203"/>
      <c r="J3" s="203"/>
      <c r="K3" s="203"/>
      <c r="L3" s="203"/>
    </row>
    <row r="4" spans="3:12" x14ac:dyDescent="0.35">
      <c r="C4" s="77" t="s">
        <v>42</v>
      </c>
      <c r="D4" s="166" t="str" cm="1">
        <f t="array" ref="D4">_xll.FDS(C4,"FG_COMPANY_NAME")</f>
        <v>iShares MSCI Switzerland ETF</v>
      </c>
      <c r="E4" s="153" t="str">
        <f>IF(VLOOKUP(C4,OUTPUT_COUNTRY!$B$6:$N$18,3,FALSE)&gt;75,"++",(IF(VLOOKUP(C4,OUTPUT_COUNTRY!$B$6:$N$18,3,FALSE)&gt;50,"+",(IF(VLOOKUP(C4,OUTPUT_COUNTRY!$B$6:$N$18,3,FALSE)&gt;25,"-","--")))))</f>
        <v>++</v>
      </c>
      <c r="F4" s="120" t="str">
        <f>IF(VLOOKUP(C4,OUTPUT_COUNTRY!$B$6:$N$18,4,FALSE)&gt;75,"++",(IF(VLOOKUP(C4,OUTPUT_COUNTRY!$B$6:$N$18,4,FALSE)&gt;50,"+",(IF(VLOOKUP(C4,OUTPUT_COUNTRY!$B$6:$N$18,4,FALSE)&gt;25,"-","--")))))</f>
        <v>++</v>
      </c>
      <c r="G4" s="153" t="str">
        <f>IF(VLOOKUP(C4,OUTPUT_COUNTRY!$B$6:$N$18,5,FALSE)&gt;75,"++",(IF(VLOOKUP(C4,OUTPUT_COUNTRY!$B$6:$N$18,5,FALSE)&gt;50,"+",(IF(VLOOKUP(C4,OUTPUT_COUNTRY!$B$6:$N$18,5,FALSE)&gt;25,"-","--")))))</f>
        <v>++</v>
      </c>
      <c r="H4" s="120" t="str">
        <f>IF(VLOOKUP(C4,OUTPUT_COUNTRY!$B$6:$N$18,7,FALSE)&gt;75,"++",(IF(VLOOKUP(C4,OUTPUT_COUNTRY!$B$6:$N$18,7,FALSE)&gt;50,"+",(IF(VLOOKUP(C4,OUTPUT_COUNTRY!$B$6:$N$18,7,FALSE)&gt;25,"-","--")))))</f>
        <v>++</v>
      </c>
      <c r="I4" s="153" t="str">
        <f>IF(VLOOKUP(C4,OUTPUT_COUNTRY!$B$6:$N$18,8,FALSE)&gt;75,"++",(IF(VLOOKUP(C4,OUTPUT_COUNTRY!$B$6:$N$18,8,FALSE)&gt;50,"+",(IF(VLOOKUP(C4,OUTPUT_COUNTRY!$B$6:$N$18,8,FALSE)&gt;25,"-","--")))))</f>
        <v>++</v>
      </c>
      <c r="J4" s="120" t="str">
        <f ca="1">IF(VLOOKUP(C4,OUTPUT_COUNTRY!$B$6:$N$18,9,FALSE)&gt;75,"++",(IF(VLOOKUP(C4,OUTPUT_COUNTRY!$B$6:$N$18,9,FALSE)&gt;50,"+",(IF(VLOOKUP(C4,OUTPUT_COUNTRY!$B$6:$N$18,9,FALSE)&gt;25,"-","--")))))</f>
        <v>--</v>
      </c>
      <c r="K4" s="153" t="str">
        <f>IF(VLOOKUP(C4,OUTPUT_COUNTRY!$B$6:$N$18,11,FALSE)&gt;75,"++",(IF(VLOOKUP(C4,OUTPUT_COUNTRY!$B$6:$N$18,11,FALSE)&gt;50,"+",(IF(VLOOKUP(C4,OUTPUT_COUNTRY!$B$6:$N$18,11,FALSE)&gt;25,"-","--")))))</f>
        <v>-</v>
      </c>
      <c r="L4" s="120" t="str">
        <f ca="1">IF(VLOOKUP(C4,OUTPUT_COUNTRY!$B$6:$N$18,13,FALSE)&gt;75,"++",(IF(VLOOKUP(C4,OUTPUT_COUNTRY!$B$6:$N$18,13,FALSE)&gt;50,"+",(IF(VLOOKUP(C4,OUTPUT_COUNTRY!$B$6:$N$18,13,FALSE)&gt;25,"-","--")))))</f>
        <v>+</v>
      </c>
    </row>
    <row r="5" spans="3:12" x14ac:dyDescent="0.35">
      <c r="C5" s="78" t="s">
        <v>46</v>
      </c>
      <c r="D5" s="167" t="str" cm="1">
        <f t="array" ref="D5">_xll.FDS(C5,"FG_COMPANY_NAME")</f>
        <v>iShares MSCI Japan ETF</v>
      </c>
      <c r="E5" s="159" t="str">
        <f>IF(VLOOKUP(C5,OUTPUT_COUNTRY!$B$6:$N$18,3,FALSE)&gt;75,"++",(IF(VLOOKUP(C5,OUTPUT_COUNTRY!$B$6:$N$18,3,FALSE)&gt;50,"+",(IF(VLOOKUP(C5,OUTPUT_COUNTRY!$B$6:$N$18,3,FALSE)&gt;25,"-","--")))))</f>
        <v>+</v>
      </c>
      <c r="F5" s="121" t="str">
        <f>IF(VLOOKUP(C5,OUTPUT_COUNTRY!$B$6:$N$18,4,FALSE)&gt;75,"++",(IF(VLOOKUP(C5,OUTPUT_COUNTRY!$B$6:$N$18,4,FALSE)&gt;50,"+",(IF(VLOOKUP(C5,OUTPUT_COUNTRY!$B$6:$N$18,4,FALSE)&gt;25,"-","--")))))</f>
        <v>+</v>
      </c>
      <c r="G5" s="159" t="str">
        <f>IF(VLOOKUP(C5,OUTPUT_COUNTRY!$B$6:$N$18,5,FALSE)&gt;75,"++",(IF(VLOOKUP(C5,OUTPUT_COUNTRY!$B$6:$N$18,5,FALSE)&gt;50,"+",(IF(VLOOKUP(C5,OUTPUT_COUNTRY!$B$6:$N$18,5,FALSE)&gt;25,"-","--")))))</f>
        <v>-</v>
      </c>
      <c r="H5" s="121" t="str">
        <f>IF(VLOOKUP(C5,OUTPUT_COUNTRY!$B$6:$N$18,7,FALSE)&gt;75,"++",(IF(VLOOKUP(C5,OUTPUT_COUNTRY!$B$6:$N$18,7,FALSE)&gt;50,"+",(IF(VLOOKUP(C5,OUTPUT_COUNTRY!$B$6:$N$18,7,FALSE)&gt;25,"-","--")))))</f>
        <v>-</v>
      </c>
      <c r="I5" s="159" t="str">
        <f>IF(VLOOKUP(C5,OUTPUT_COUNTRY!$B$6:$N$18,8,FALSE)&gt;75,"++",(IF(VLOOKUP(C5,OUTPUT_COUNTRY!$B$6:$N$18,8,FALSE)&gt;50,"+",(IF(VLOOKUP(C5,OUTPUT_COUNTRY!$B$6:$N$18,8,FALSE)&gt;25,"-","--")))))</f>
        <v>--</v>
      </c>
      <c r="J5" s="121" t="str">
        <f ca="1">IF(VLOOKUP(C5,OUTPUT_COUNTRY!$B$6:$N$18,9,FALSE)&gt;75,"++",(IF(VLOOKUP(C5,OUTPUT_COUNTRY!$B$6:$N$18,9,FALSE)&gt;50,"+",(IF(VLOOKUP(C5,OUTPUT_COUNTRY!$B$6:$N$18,9,FALSE)&gt;25,"-","--")))))</f>
        <v>++</v>
      </c>
      <c r="K5" s="159" t="str">
        <f>IF(VLOOKUP(C5,OUTPUT_COUNTRY!$B$6:$N$18,11,FALSE)&gt;75,"++",(IF(VLOOKUP(C5,OUTPUT_COUNTRY!$B$6:$N$18,11,FALSE)&gt;50,"+",(IF(VLOOKUP(C5,OUTPUT_COUNTRY!$B$6:$N$18,11,FALSE)&gt;25,"-","--")))))</f>
        <v>--</v>
      </c>
      <c r="L5" s="121" t="str">
        <f ca="1">IF(VLOOKUP(C5,OUTPUT_COUNTRY!$B$6:$N$18,13,FALSE)&gt;75,"++",(IF(VLOOKUP(C5,OUTPUT_COUNTRY!$B$6:$N$18,13,FALSE)&gt;50,"+",(IF(VLOOKUP(C5,OUTPUT_COUNTRY!$B$6:$N$18,13,FALSE)&gt;25,"-","--")))))</f>
        <v>++</v>
      </c>
    </row>
    <row r="6" spans="3:12" x14ac:dyDescent="0.35">
      <c r="C6" s="78" t="s">
        <v>51</v>
      </c>
      <c r="D6" s="167" t="str" cm="1">
        <f t="array" ref="D6">_xll.FDS(C6,"FG_COMPANY_NAME")</f>
        <v>Invesco QQQ Trust Series I</v>
      </c>
      <c r="E6" s="159" t="str">
        <f>IF(VLOOKUP(C6,OUTPUT_COUNTRY!$B$6:$N$18,3,FALSE)&gt;75,"++",(IF(VLOOKUP(C6,OUTPUT_COUNTRY!$B$6:$N$18,3,FALSE)&gt;50,"+",(IF(VLOOKUP(C6,OUTPUT_COUNTRY!$B$6:$N$18,3,FALSE)&gt;25,"-","--")))))</f>
        <v>--</v>
      </c>
      <c r="F6" s="121" t="str">
        <f>IF(VLOOKUP(C6,OUTPUT_COUNTRY!$B$6:$N$18,4,FALSE)&gt;75,"++",(IF(VLOOKUP(C6,OUTPUT_COUNTRY!$B$6:$N$18,4,FALSE)&gt;50,"+",(IF(VLOOKUP(C6,OUTPUT_COUNTRY!$B$6:$N$18,4,FALSE)&gt;25,"-","--")))))</f>
        <v>++</v>
      </c>
      <c r="G6" s="159" t="str">
        <f>IF(VLOOKUP(C6,OUTPUT_COUNTRY!$B$6:$N$18,5,FALSE)&gt;75,"++",(IF(VLOOKUP(C6,OUTPUT_COUNTRY!$B$6:$N$18,5,FALSE)&gt;50,"+",(IF(VLOOKUP(C6,OUTPUT_COUNTRY!$B$6:$N$18,5,FALSE)&gt;25,"-","--")))))</f>
        <v>-</v>
      </c>
      <c r="H6" s="121" t="str">
        <f>IF(VLOOKUP(C6,OUTPUT_COUNTRY!$B$6:$N$18,7,FALSE)&gt;75,"++",(IF(VLOOKUP(C6,OUTPUT_COUNTRY!$B$6:$N$18,7,FALSE)&gt;50,"+",(IF(VLOOKUP(C6,OUTPUT_COUNTRY!$B$6:$N$18,7,FALSE)&gt;25,"-","--")))))</f>
        <v>-</v>
      </c>
      <c r="I6" s="159" t="str">
        <f>IF(VLOOKUP(C6,OUTPUT_COUNTRY!$B$6:$N$18,8,FALSE)&gt;75,"++",(IF(VLOOKUP(C6,OUTPUT_COUNTRY!$B$6:$N$18,8,FALSE)&gt;50,"+",(IF(VLOOKUP(C6,OUTPUT_COUNTRY!$B$6:$N$18,8,FALSE)&gt;25,"-","--")))))</f>
        <v>-</v>
      </c>
      <c r="J6" s="121" t="str">
        <f ca="1">IF(VLOOKUP(C6,OUTPUT_COUNTRY!$B$6:$N$18,9,FALSE)&gt;75,"++",(IF(VLOOKUP(C6,OUTPUT_COUNTRY!$B$6:$N$18,9,FALSE)&gt;50,"+",(IF(VLOOKUP(C6,OUTPUT_COUNTRY!$B$6:$N$18,9,FALSE)&gt;25,"-","--")))))</f>
        <v>++</v>
      </c>
      <c r="K6" s="159" t="str">
        <f>IF(VLOOKUP(C6,OUTPUT_COUNTRY!$B$6:$N$18,11,FALSE)&gt;75,"++",(IF(VLOOKUP(C6,OUTPUT_COUNTRY!$B$6:$N$18,11,FALSE)&gt;50,"+",(IF(VLOOKUP(C6,OUTPUT_COUNTRY!$B$6:$N$18,11,FALSE)&gt;25,"-","--")))))</f>
        <v>+</v>
      </c>
      <c r="L6" s="121" t="str">
        <f ca="1">IF(VLOOKUP(C6,OUTPUT_COUNTRY!$B$6:$N$18,13,FALSE)&gt;75,"++",(IF(VLOOKUP(C6,OUTPUT_COUNTRY!$B$6:$N$18,13,FALSE)&gt;50,"+",(IF(VLOOKUP(C6,OUTPUT_COUNTRY!$B$6:$N$18,13,FALSE)&gt;25,"-","--")))))</f>
        <v>++</v>
      </c>
    </row>
    <row r="7" spans="3:12" x14ac:dyDescent="0.35">
      <c r="C7" s="78" t="s">
        <v>1</v>
      </c>
      <c r="D7" s="167" t="str" cm="1">
        <f t="array" ref="D7">_xll.FDS(C7,"FG_COMPANY_NAME")</f>
        <v>SPDR S&amp;P 500 ETF Trust</v>
      </c>
      <c r="E7" s="159" t="str">
        <f>IF(VLOOKUP(C7,OUTPUT_COUNTRY!$B$6:$N$18,3,FALSE)&gt;75,"++",(IF(VLOOKUP(C7,OUTPUT_COUNTRY!$B$6:$N$18,3,FALSE)&gt;50,"+",(IF(VLOOKUP(C7,OUTPUT_COUNTRY!$B$6:$N$18,3,FALSE)&gt;25,"-","--")))))</f>
        <v>--</v>
      </c>
      <c r="F7" s="121" t="str">
        <f>IF(VLOOKUP(C7,OUTPUT_COUNTRY!$B$6:$N$18,4,FALSE)&gt;75,"++",(IF(VLOOKUP(C7,OUTPUT_COUNTRY!$B$6:$N$18,4,FALSE)&gt;50,"+",(IF(VLOOKUP(C7,OUTPUT_COUNTRY!$B$6:$N$18,4,FALSE)&gt;25,"-","--")))))</f>
        <v>++</v>
      </c>
      <c r="G7" s="159" t="str">
        <f>IF(VLOOKUP(C7,OUTPUT_COUNTRY!$B$6:$N$18,5,FALSE)&gt;75,"++",(IF(VLOOKUP(C7,OUTPUT_COUNTRY!$B$6:$N$18,5,FALSE)&gt;50,"+",(IF(VLOOKUP(C7,OUTPUT_COUNTRY!$B$6:$N$18,5,FALSE)&gt;25,"-","--")))))</f>
        <v>-</v>
      </c>
      <c r="H7" s="121" t="str">
        <f>IF(VLOOKUP(C7,OUTPUT_COUNTRY!$B$6:$N$18,7,FALSE)&gt;75,"++",(IF(VLOOKUP(C7,OUTPUT_COUNTRY!$B$6:$N$18,7,FALSE)&gt;50,"+",(IF(VLOOKUP(C7,OUTPUT_COUNTRY!$B$6:$N$18,7,FALSE)&gt;25,"-","--")))))</f>
        <v>+</v>
      </c>
      <c r="I7" s="159" t="str">
        <f>IF(VLOOKUP(C7,OUTPUT_COUNTRY!$B$6:$N$18,8,FALSE)&gt;75,"++",(IF(VLOOKUP(C7,OUTPUT_COUNTRY!$B$6:$N$18,8,FALSE)&gt;50,"+",(IF(VLOOKUP(C7,OUTPUT_COUNTRY!$B$6:$N$18,8,FALSE)&gt;25,"-","--")))))</f>
        <v>-</v>
      </c>
      <c r="J7" s="121" t="str">
        <f ca="1">IF(VLOOKUP(C7,OUTPUT_COUNTRY!$B$6:$N$18,9,FALSE)&gt;75,"++",(IF(VLOOKUP(C7,OUTPUT_COUNTRY!$B$6:$N$18,9,FALSE)&gt;50,"+",(IF(VLOOKUP(C7,OUTPUT_COUNTRY!$B$6:$N$18,9,FALSE)&gt;25,"-","--")))))</f>
        <v>++</v>
      </c>
      <c r="K7" s="159" t="str">
        <f>IF(VLOOKUP(C7,OUTPUT_COUNTRY!$B$6:$N$18,11,FALSE)&gt;75,"++",(IF(VLOOKUP(C7,OUTPUT_COUNTRY!$B$6:$N$18,11,FALSE)&gt;50,"+",(IF(VLOOKUP(C7,OUTPUT_COUNTRY!$B$6:$N$18,11,FALSE)&gt;25,"-","--")))))</f>
        <v>+</v>
      </c>
      <c r="L7" s="121" t="str">
        <f ca="1">IF(VLOOKUP(C7,OUTPUT_COUNTRY!$B$6:$N$18,13,FALSE)&gt;75,"++",(IF(VLOOKUP(C7,OUTPUT_COUNTRY!$B$6:$N$18,13,FALSE)&gt;50,"+",(IF(VLOOKUP(C7,OUTPUT_COUNTRY!$B$6:$N$18,13,FALSE)&gt;25,"-","--")))))</f>
        <v>++</v>
      </c>
    </row>
    <row r="8" spans="3:12" x14ac:dyDescent="0.35">
      <c r="C8" s="78" t="s">
        <v>11</v>
      </c>
      <c r="D8" s="167" t="str" cm="1">
        <f t="array" ref="D8">_xll.FDS(C8,"FG_COMPANY_NAME")</f>
        <v>iShares MSCI Germany ETF</v>
      </c>
      <c r="E8" s="159" t="str">
        <f>IF(VLOOKUP(C8,OUTPUT_COUNTRY!$B$6:$N$18,3,FALSE)&gt;75,"++",(IF(VLOOKUP(C8,OUTPUT_COUNTRY!$B$6:$N$18,3,FALSE)&gt;50,"+",(IF(VLOOKUP(C8,OUTPUT_COUNTRY!$B$6:$N$18,3,FALSE)&gt;25,"-","--")))))</f>
        <v>+</v>
      </c>
      <c r="F8" s="121" t="str">
        <f>IF(VLOOKUP(C8,OUTPUT_COUNTRY!$B$6:$N$18,4,FALSE)&gt;75,"++",(IF(VLOOKUP(C8,OUTPUT_COUNTRY!$B$6:$N$18,4,FALSE)&gt;50,"+",(IF(VLOOKUP(C8,OUTPUT_COUNTRY!$B$6:$N$18,4,FALSE)&gt;25,"-","--")))))</f>
        <v>-</v>
      </c>
      <c r="G8" s="159" t="str">
        <f>IF(VLOOKUP(C8,OUTPUT_COUNTRY!$B$6:$N$18,5,FALSE)&gt;75,"++",(IF(VLOOKUP(C8,OUTPUT_COUNTRY!$B$6:$N$18,5,FALSE)&gt;50,"+",(IF(VLOOKUP(C8,OUTPUT_COUNTRY!$B$6:$N$18,5,FALSE)&gt;25,"-","--")))))</f>
        <v>-</v>
      </c>
      <c r="H8" s="121" t="str">
        <f>IF(VLOOKUP(C8,OUTPUT_COUNTRY!$B$6:$N$18,7,FALSE)&gt;75,"++",(IF(VLOOKUP(C8,OUTPUT_COUNTRY!$B$6:$N$18,7,FALSE)&gt;50,"+",(IF(VLOOKUP(C8,OUTPUT_COUNTRY!$B$6:$N$18,7,FALSE)&gt;25,"-","--")))))</f>
        <v>+</v>
      </c>
      <c r="I8" s="159" t="str">
        <f>IF(VLOOKUP(C8,OUTPUT_COUNTRY!$B$6:$N$18,8,FALSE)&gt;75,"++",(IF(VLOOKUP(C8,OUTPUT_COUNTRY!$B$6:$N$18,8,FALSE)&gt;50,"+",(IF(VLOOKUP(C8,OUTPUT_COUNTRY!$B$6:$N$18,8,FALSE)&gt;25,"-","--")))))</f>
        <v>--</v>
      </c>
      <c r="J8" s="121" t="str">
        <f ca="1">IF(VLOOKUP(C8,OUTPUT_COUNTRY!$B$6:$N$18,9,FALSE)&gt;75,"++",(IF(VLOOKUP(C8,OUTPUT_COUNTRY!$B$6:$N$18,9,FALSE)&gt;50,"+",(IF(VLOOKUP(C8,OUTPUT_COUNTRY!$B$6:$N$18,9,FALSE)&gt;25,"-","--")))))</f>
        <v>+</v>
      </c>
      <c r="K8" s="159" t="str">
        <f>IF(VLOOKUP(C8,OUTPUT_COUNTRY!$B$6:$N$18,11,FALSE)&gt;75,"++",(IF(VLOOKUP(C8,OUTPUT_COUNTRY!$B$6:$N$18,11,FALSE)&gt;50,"+",(IF(VLOOKUP(C8,OUTPUT_COUNTRY!$B$6:$N$18,11,FALSE)&gt;25,"-","--")))))</f>
        <v>++</v>
      </c>
      <c r="L8" s="121" t="str">
        <f ca="1">IF(VLOOKUP(C8,OUTPUT_COUNTRY!$B$6:$N$18,13,FALSE)&gt;75,"++",(IF(VLOOKUP(C8,OUTPUT_COUNTRY!$B$6:$N$18,13,FALSE)&gt;50,"+",(IF(VLOOKUP(C8,OUTPUT_COUNTRY!$B$6:$N$18,13,FALSE)&gt;25,"-","--")))))</f>
        <v>+</v>
      </c>
    </row>
    <row r="9" spans="3:12" x14ac:dyDescent="0.35">
      <c r="C9" s="78" t="s">
        <v>48</v>
      </c>
      <c r="D9" s="167" t="str" cm="1">
        <f t="array" ref="D9">_xll.FDS(C9,"FG_COMPANY_NAME")</f>
        <v>iShares MSCI United Kingdom ETF</v>
      </c>
      <c r="E9" s="159" t="str">
        <f>IF(VLOOKUP(C9,OUTPUT_COUNTRY!$B$6:$N$18,3,FALSE)&gt;75,"++",(IF(VLOOKUP(C9,OUTPUT_COUNTRY!$B$6:$N$18,3,FALSE)&gt;50,"+",(IF(VLOOKUP(C9,OUTPUT_COUNTRY!$B$6:$N$18,3,FALSE)&gt;25,"-","--")))))</f>
        <v>++</v>
      </c>
      <c r="F9" s="121" t="str">
        <f>IF(VLOOKUP(C9,OUTPUT_COUNTRY!$B$6:$N$18,4,FALSE)&gt;75,"++",(IF(VLOOKUP(C9,OUTPUT_COUNTRY!$B$6:$N$18,4,FALSE)&gt;50,"+",(IF(VLOOKUP(C9,OUTPUT_COUNTRY!$B$6:$N$18,4,FALSE)&gt;25,"-","--")))))</f>
        <v>-</v>
      </c>
      <c r="G9" s="159" t="str">
        <f>IF(VLOOKUP(C9,OUTPUT_COUNTRY!$B$6:$N$18,5,FALSE)&gt;75,"++",(IF(VLOOKUP(C9,OUTPUT_COUNTRY!$B$6:$N$18,5,FALSE)&gt;50,"+",(IF(VLOOKUP(C9,OUTPUT_COUNTRY!$B$6:$N$18,5,FALSE)&gt;25,"-","--")))))</f>
        <v>+</v>
      </c>
      <c r="H9" s="121" t="str">
        <f>IF(VLOOKUP(C9,OUTPUT_COUNTRY!$B$6:$N$18,7,FALSE)&gt;75,"++",(IF(VLOOKUP(C9,OUTPUT_COUNTRY!$B$6:$N$18,7,FALSE)&gt;50,"+",(IF(VLOOKUP(C9,OUTPUT_COUNTRY!$B$6:$N$18,7,FALSE)&gt;25,"-","--")))))</f>
        <v>++</v>
      </c>
      <c r="I9" s="159" t="str">
        <f>IF(VLOOKUP(C9,OUTPUT_COUNTRY!$B$6:$N$18,8,FALSE)&gt;75,"++",(IF(VLOOKUP(C9,OUTPUT_COUNTRY!$B$6:$N$18,8,FALSE)&gt;50,"+",(IF(VLOOKUP(C9,OUTPUT_COUNTRY!$B$6:$N$18,8,FALSE)&gt;25,"-","--")))))</f>
        <v>--</v>
      </c>
      <c r="J9" s="121" t="str">
        <f ca="1">IF(VLOOKUP(C9,OUTPUT_COUNTRY!$B$6:$N$18,9,FALSE)&gt;75,"++",(IF(VLOOKUP(C9,OUTPUT_COUNTRY!$B$6:$N$18,9,FALSE)&gt;50,"+",(IF(VLOOKUP(C9,OUTPUT_COUNTRY!$B$6:$N$18,9,FALSE)&gt;25,"-","--")))))</f>
        <v>-</v>
      </c>
      <c r="K9" s="159" t="str">
        <f>IF(VLOOKUP(C9,OUTPUT_COUNTRY!$B$6:$N$18,11,FALSE)&gt;75,"++",(IF(VLOOKUP(C9,OUTPUT_COUNTRY!$B$6:$N$18,11,FALSE)&gt;50,"+",(IF(VLOOKUP(C9,OUTPUT_COUNTRY!$B$6:$N$18,11,FALSE)&gt;25,"-","--")))))</f>
        <v>+</v>
      </c>
      <c r="L9" s="121" t="str">
        <f ca="1">IF(VLOOKUP(C9,OUTPUT_COUNTRY!$B$6:$N$18,13,FALSE)&gt;75,"++",(IF(VLOOKUP(C9,OUTPUT_COUNTRY!$B$6:$N$18,13,FALSE)&gt;50,"+",(IF(VLOOKUP(C9,OUTPUT_COUNTRY!$B$6:$N$18,13,FALSE)&gt;25,"-","--")))))</f>
        <v>-</v>
      </c>
    </row>
    <row r="10" spans="3:12" x14ac:dyDescent="0.35">
      <c r="C10" s="78" t="s">
        <v>49</v>
      </c>
      <c r="D10" s="167" t="str" cm="1">
        <f t="array" ref="D10">_xll.FDS(C10,"FG_COMPANY_NAME")</f>
        <v>iShares MSCI Canada ETF</v>
      </c>
      <c r="E10" s="159" t="str">
        <f>IF(VLOOKUP(C10,OUTPUT_COUNTRY!$B$6:$N$18,3,FALSE)&gt;75,"++",(IF(VLOOKUP(C10,OUTPUT_COUNTRY!$B$6:$N$18,3,FALSE)&gt;50,"+",(IF(VLOOKUP(C10,OUTPUT_COUNTRY!$B$6:$N$18,3,FALSE)&gt;25,"-","--")))))</f>
        <v>-</v>
      </c>
      <c r="F10" s="121" t="str">
        <f>IF(VLOOKUP(C10,OUTPUT_COUNTRY!$B$6:$N$18,4,FALSE)&gt;75,"++",(IF(VLOOKUP(C10,OUTPUT_COUNTRY!$B$6:$N$18,4,FALSE)&gt;50,"+",(IF(VLOOKUP(C10,OUTPUT_COUNTRY!$B$6:$N$18,4,FALSE)&gt;25,"-","--")))))</f>
        <v>-</v>
      </c>
      <c r="G10" s="159" t="str">
        <f>IF(VLOOKUP(C10,OUTPUT_COUNTRY!$B$6:$N$18,5,FALSE)&gt;75,"++",(IF(VLOOKUP(C10,OUTPUT_COUNTRY!$B$6:$N$18,5,FALSE)&gt;50,"+",(IF(VLOOKUP(C10,OUTPUT_COUNTRY!$B$6:$N$18,5,FALSE)&gt;25,"-","--")))))</f>
        <v>--</v>
      </c>
      <c r="H10" s="121" t="str">
        <f>IF(VLOOKUP(C10,OUTPUT_COUNTRY!$B$6:$N$18,7,FALSE)&gt;75,"++",(IF(VLOOKUP(C10,OUTPUT_COUNTRY!$B$6:$N$18,7,FALSE)&gt;50,"+",(IF(VLOOKUP(C10,OUTPUT_COUNTRY!$B$6:$N$18,7,FALSE)&gt;25,"-","--")))))</f>
        <v>--</v>
      </c>
      <c r="I10" s="159" t="str">
        <f>IF(VLOOKUP(C10,OUTPUT_COUNTRY!$B$6:$N$18,8,FALSE)&gt;75,"++",(IF(VLOOKUP(C10,OUTPUT_COUNTRY!$B$6:$N$18,8,FALSE)&gt;50,"+",(IF(VLOOKUP(C10,OUTPUT_COUNTRY!$B$6:$N$18,8,FALSE)&gt;25,"-","--")))))</f>
        <v>-</v>
      </c>
      <c r="J10" s="121" t="str">
        <f ca="1">IF(VLOOKUP(C10,OUTPUT_COUNTRY!$B$6:$N$18,9,FALSE)&gt;75,"++",(IF(VLOOKUP(C10,OUTPUT_COUNTRY!$B$6:$N$18,9,FALSE)&gt;50,"+",(IF(VLOOKUP(C10,OUTPUT_COUNTRY!$B$6:$N$18,9,FALSE)&gt;25,"-","--")))))</f>
        <v>-</v>
      </c>
      <c r="K10" s="159" t="str">
        <f>IF(VLOOKUP(C10,OUTPUT_COUNTRY!$B$6:$N$18,11,FALSE)&gt;75,"++",(IF(VLOOKUP(C10,OUTPUT_COUNTRY!$B$6:$N$18,11,FALSE)&gt;50,"+",(IF(VLOOKUP(C10,OUTPUT_COUNTRY!$B$6:$N$18,11,FALSE)&gt;25,"-","--")))))</f>
        <v>-</v>
      </c>
      <c r="L10" s="121" t="str">
        <f ca="1">IF(VLOOKUP(C10,OUTPUT_COUNTRY!$B$6:$N$18,13,FALSE)&gt;75,"++",(IF(VLOOKUP(C10,OUTPUT_COUNTRY!$B$6:$N$18,13,FALSE)&gt;50,"+",(IF(VLOOKUP(C10,OUTPUT_COUNTRY!$B$6:$N$18,13,FALSE)&gt;25,"-","--")))))</f>
        <v>--</v>
      </c>
    </row>
    <row r="11" spans="3:12" x14ac:dyDescent="0.35">
      <c r="C11" s="78" t="s">
        <v>44</v>
      </c>
      <c r="D11" s="167" t="str" cm="1">
        <f t="array" ref="D11">_xll.FDS(C11,"FG_COMPANY_NAME")</f>
        <v>iShares MSCI Australia ETF</v>
      </c>
      <c r="E11" s="159" t="str">
        <f>IF(VLOOKUP(C11,OUTPUT_COUNTRY!$B$6:$N$18,3,FALSE)&gt;75,"++",(IF(VLOOKUP(C11,OUTPUT_COUNTRY!$B$6:$N$18,3,FALSE)&gt;50,"+",(IF(VLOOKUP(C11,OUTPUT_COUNTRY!$B$6:$N$18,3,FALSE)&gt;25,"-","--")))))</f>
        <v>-</v>
      </c>
      <c r="F11" s="121" t="str">
        <f>IF(VLOOKUP(C11,OUTPUT_COUNTRY!$B$6:$N$18,4,FALSE)&gt;75,"++",(IF(VLOOKUP(C11,OUTPUT_COUNTRY!$B$6:$N$18,4,FALSE)&gt;50,"+",(IF(VLOOKUP(C11,OUTPUT_COUNTRY!$B$6:$N$18,4,FALSE)&gt;25,"-","--")))))</f>
        <v>--</v>
      </c>
      <c r="G11" s="159" t="str">
        <f>IF(VLOOKUP(C11,OUTPUT_COUNTRY!$B$6:$N$18,5,FALSE)&gt;75,"++",(IF(VLOOKUP(C11,OUTPUT_COUNTRY!$B$6:$N$18,5,FALSE)&gt;50,"+",(IF(VLOOKUP(C11,OUTPUT_COUNTRY!$B$6:$N$18,5,FALSE)&gt;25,"-","--")))))</f>
        <v>+</v>
      </c>
      <c r="H11" s="121" t="str">
        <f>IF(VLOOKUP(C11,OUTPUT_COUNTRY!$B$6:$N$18,7,FALSE)&gt;75,"++",(IF(VLOOKUP(C11,OUTPUT_COUNTRY!$B$6:$N$18,7,FALSE)&gt;50,"+",(IF(VLOOKUP(C11,OUTPUT_COUNTRY!$B$6:$N$18,7,FALSE)&gt;25,"-","--")))))</f>
        <v>--</v>
      </c>
      <c r="I11" s="159" t="str">
        <f>IF(VLOOKUP(C11,OUTPUT_COUNTRY!$B$6:$N$18,8,FALSE)&gt;75,"++",(IF(VLOOKUP(C11,OUTPUT_COUNTRY!$B$6:$N$18,8,FALSE)&gt;50,"+",(IF(VLOOKUP(C11,OUTPUT_COUNTRY!$B$6:$N$18,8,FALSE)&gt;25,"-","--")))))</f>
        <v>-</v>
      </c>
      <c r="J11" s="121" t="str">
        <f ca="1">IF(VLOOKUP(C11,OUTPUT_COUNTRY!$B$6:$N$18,9,FALSE)&gt;75,"++",(IF(VLOOKUP(C11,OUTPUT_COUNTRY!$B$6:$N$18,9,FALSE)&gt;50,"+",(IF(VLOOKUP(C11,OUTPUT_COUNTRY!$B$6:$N$18,9,FALSE)&gt;25,"-","--")))))</f>
        <v>--</v>
      </c>
      <c r="K11" s="159" t="str">
        <f>IF(VLOOKUP(C11,OUTPUT_COUNTRY!$B$6:$N$18,11,FALSE)&gt;75,"++",(IF(VLOOKUP(C11,OUTPUT_COUNTRY!$B$6:$N$18,11,FALSE)&gt;50,"+",(IF(VLOOKUP(C11,OUTPUT_COUNTRY!$B$6:$N$18,11,FALSE)&gt;25,"-","--")))))</f>
        <v>-</v>
      </c>
      <c r="L11" s="121" t="str">
        <f ca="1">IF(VLOOKUP(C11,OUTPUT_COUNTRY!$B$6:$N$18,13,FALSE)&gt;75,"++",(IF(VLOOKUP(C11,OUTPUT_COUNTRY!$B$6:$N$18,13,FALSE)&gt;50,"+",(IF(VLOOKUP(C11,OUTPUT_COUNTRY!$B$6:$N$18,13,FALSE)&gt;25,"-","--")))))</f>
        <v>--</v>
      </c>
    </row>
    <row r="12" spans="3:12" x14ac:dyDescent="0.35">
      <c r="C12" s="78" t="s">
        <v>431</v>
      </c>
      <c r="D12" s="167" t="str" cm="1">
        <f t="array" ref="D12">_xll.FDS(C12,"FG_COMPANY_NAME")</f>
        <v>iShares MSCI New Zealand ETF</v>
      </c>
      <c r="E12" s="159" t="str">
        <f>IF(VLOOKUP(C12,OUTPUT_COUNTRY!$B$6:$N$18,3,FALSE)&gt;75,"++",(IF(VLOOKUP(C12,OUTPUT_COUNTRY!$B$6:$N$18,3,FALSE)&gt;50,"+",(IF(VLOOKUP(C12,OUTPUT_COUNTRY!$B$6:$N$18,3,FALSE)&gt;25,"-","--")))))</f>
        <v>--</v>
      </c>
      <c r="F12" s="121" t="str">
        <f>IF(VLOOKUP(C12,OUTPUT_COUNTRY!$B$6:$N$18,4,FALSE)&gt;75,"++",(IF(VLOOKUP(C12,OUTPUT_COUNTRY!$B$6:$N$18,4,FALSE)&gt;50,"+",(IF(VLOOKUP(C12,OUTPUT_COUNTRY!$B$6:$N$18,4,FALSE)&gt;25,"-","--")))))</f>
        <v>--</v>
      </c>
      <c r="G12" s="159" t="str">
        <f>IF(VLOOKUP(C12,OUTPUT_COUNTRY!$B$6:$N$18,5,FALSE)&gt;75,"++",(IF(VLOOKUP(C12,OUTPUT_COUNTRY!$B$6:$N$18,5,FALSE)&gt;50,"+",(IF(VLOOKUP(C12,OUTPUT_COUNTRY!$B$6:$N$18,5,FALSE)&gt;25,"-","--")))))</f>
        <v>++</v>
      </c>
      <c r="H12" s="121" t="str">
        <f>IF(VLOOKUP(C12,OUTPUT_COUNTRY!$B$6:$N$18,7,FALSE)&gt;75,"++",(IF(VLOOKUP(C12,OUTPUT_COUNTRY!$B$6:$N$18,7,FALSE)&gt;50,"+",(IF(VLOOKUP(C12,OUTPUT_COUNTRY!$B$6:$N$18,7,FALSE)&gt;25,"-","--")))))</f>
        <v>--</v>
      </c>
      <c r="I12" s="159" t="str">
        <f>IF(VLOOKUP(C12,OUTPUT_COUNTRY!$B$6:$N$18,8,FALSE)&gt;75,"++",(IF(VLOOKUP(C12,OUTPUT_COUNTRY!$B$6:$N$18,8,FALSE)&gt;50,"+",(IF(VLOOKUP(C12,OUTPUT_COUNTRY!$B$6:$N$18,8,FALSE)&gt;25,"-","--")))))</f>
        <v>-</v>
      </c>
      <c r="J12" s="121" t="str">
        <f ca="1">IF(VLOOKUP(C12,OUTPUT_COUNTRY!$B$6:$N$18,9,FALSE)&gt;75,"++",(IF(VLOOKUP(C12,OUTPUT_COUNTRY!$B$6:$N$18,9,FALSE)&gt;50,"+",(IF(VLOOKUP(C12,OUTPUT_COUNTRY!$B$6:$N$18,9,FALSE)&gt;25,"-","--")))))</f>
        <v>--</v>
      </c>
      <c r="K12" s="159" t="str">
        <f>IF(VLOOKUP(C12,OUTPUT_COUNTRY!$B$6:$N$18,11,FALSE)&gt;75,"++",(IF(VLOOKUP(C12,OUTPUT_COUNTRY!$B$6:$N$18,11,FALSE)&gt;50,"+",(IF(VLOOKUP(C12,OUTPUT_COUNTRY!$B$6:$N$18,11,FALSE)&gt;25,"-","--")))))</f>
        <v>--</v>
      </c>
      <c r="L12" s="121" t="str">
        <f ca="1">IF(VLOOKUP(C12,OUTPUT_COUNTRY!$B$6:$N$18,13,FALSE)&gt;75,"++",(IF(VLOOKUP(C12,OUTPUT_COUNTRY!$B$6:$N$18,13,FALSE)&gt;50,"+",(IF(VLOOKUP(C12,OUTPUT_COUNTRY!$B$6:$N$18,13,FALSE)&gt;25,"-","--")))))</f>
        <v>--</v>
      </c>
    </row>
    <row r="13" spans="3:12" x14ac:dyDescent="0.35">
      <c r="C13" s="78" t="s">
        <v>865</v>
      </c>
      <c r="D13" s="167" t="str" cm="1">
        <f t="array" ref="D13">_xll.FDS(C13,"FG_COMPANY_NAME")</f>
        <v>iShares MSCI France ETF</v>
      </c>
      <c r="E13" s="159" t="str">
        <f>IF(VLOOKUP(C13,OUTPUT_COUNTRY!$B$6:$N$18,3,FALSE)&gt;75,"++",(IF(VLOOKUP(C13,OUTPUT_COUNTRY!$B$6:$N$18,3,FALSE)&gt;50,"+",(IF(VLOOKUP(C13,OUTPUT_COUNTRY!$B$6:$N$18,3,FALSE)&gt;25,"-","--")))))</f>
        <v>-</v>
      </c>
      <c r="F13" s="121" t="str">
        <f>IF(VLOOKUP(C13,OUTPUT_COUNTRY!$B$6:$N$18,4,FALSE)&gt;75,"++",(IF(VLOOKUP(C13,OUTPUT_COUNTRY!$B$6:$N$18,4,FALSE)&gt;50,"+",(IF(VLOOKUP(C13,OUTPUT_COUNTRY!$B$6:$N$18,4,FALSE)&gt;25,"-","--")))))</f>
        <v>+</v>
      </c>
      <c r="G13" s="159" t="str">
        <f>IF(VLOOKUP(C13,OUTPUT_COUNTRY!$B$6:$N$18,5,FALSE)&gt;75,"++",(IF(VLOOKUP(C13,OUTPUT_COUNTRY!$B$6:$N$18,5,FALSE)&gt;50,"+",(IF(VLOOKUP(C13,OUTPUT_COUNTRY!$B$6:$N$18,5,FALSE)&gt;25,"-","--")))))</f>
        <v>++</v>
      </c>
      <c r="H13" s="121" t="str">
        <f>IF(VLOOKUP(C13,OUTPUT_COUNTRY!$B$6:$N$18,7,FALSE)&gt;75,"++",(IF(VLOOKUP(C13,OUTPUT_COUNTRY!$B$6:$N$18,7,FALSE)&gt;50,"+",(IF(VLOOKUP(C13,OUTPUT_COUNTRY!$B$6:$N$18,7,FALSE)&gt;25,"-","--")))))</f>
        <v>++</v>
      </c>
      <c r="I13" s="159" t="str">
        <f>IF(VLOOKUP(C13,OUTPUT_COUNTRY!$B$6:$N$18,8,FALSE)&gt;75,"++",(IF(VLOOKUP(C13,OUTPUT_COUNTRY!$B$6:$N$18,8,FALSE)&gt;50,"+",(IF(VLOOKUP(C13,OUTPUT_COUNTRY!$B$6:$N$18,8,FALSE)&gt;25,"-","--")))))</f>
        <v>-</v>
      </c>
      <c r="J13" s="121" t="str">
        <f ca="1">IF(VLOOKUP(C13,OUTPUT_COUNTRY!$B$6:$N$18,9,FALSE)&gt;75,"++",(IF(VLOOKUP(C13,OUTPUT_COUNTRY!$B$6:$N$18,9,FALSE)&gt;50,"+",(IF(VLOOKUP(C13,OUTPUT_COUNTRY!$B$6:$N$18,9,FALSE)&gt;25,"-","--")))))</f>
        <v>-</v>
      </c>
      <c r="K13" s="159" t="str">
        <f>IF(VLOOKUP(C13,OUTPUT_COUNTRY!$B$6:$N$18,11,FALSE)&gt;75,"++",(IF(VLOOKUP(C13,OUTPUT_COUNTRY!$B$6:$N$18,11,FALSE)&gt;50,"+",(IF(VLOOKUP(C13,OUTPUT_COUNTRY!$B$6:$N$18,11,FALSE)&gt;25,"-","--")))))</f>
        <v>--</v>
      </c>
      <c r="L13" s="121" t="str">
        <f ca="1">IF(VLOOKUP(C13,OUTPUT_COUNTRY!$B$6:$N$18,13,FALSE)&gt;75,"++",(IF(VLOOKUP(C13,OUTPUT_COUNTRY!$B$6:$N$18,13,FALSE)&gt;50,"+",(IF(VLOOKUP(C13,OUTPUT_COUNTRY!$B$6:$N$18,13,FALSE)&gt;25,"-","--")))))</f>
        <v>-</v>
      </c>
    </row>
    <row r="14" spans="3:12" x14ac:dyDescent="0.35">
      <c r="C14" s="78" t="s">
        <v>867</v>
      </c>
      <c r="D14" s="167" t="str" cm="1">
        <f t="array" ref="D14">_xll.FDS(C14,"FG_COMPANY_NAME")</f>
        <v>iShares MSCI Netherlands ETF</v>
      </c>
      <c r="E14" s="159" t="str">
        <f>IF(VLOOKUP(C14,OUTPUT_COUNTRY!$B$6:$N$18,3,FALSE)&gt;75,"++",(IF(VLOOKUP(C14,OUTPUT_COUNTRY!$B$6:$N$18,3,FALSE)&gt;50,"+",(IF(VLOOKUP(C14,OUTPUT_COUNTRY!$B$6:$N$18,3,FALSE)&gt;25,"-","--")))))</f>
        <v>-</v>
      </c>
      <c r="F14" s="121" t="str">
        <f>IF(VLOOKUP(C14,OUTPUT_COUNTRY!$B$6:$N$18,4,FALSE)&gt;75,"++",(IF(VLOOKUP(C14,OUTPUT_COUNTRY!$B$6:$N$18,4,FALSE)&gt;50,"+",(IF(VLOOKUP(C14,OUTPUT_COUNTRY!$B$6:$N$18,4,FALSE)&gt;25,"-","--")))))</f>
        <v>-</v>
      </c>
      <c r="G14" s="159" t="str">
        <f>IF(VLOOKUP(C14,OUTPUT_COUNTRY!$B$6:$N$18,5,FALSE)&gt;75,"++",(IF(VLOOKUP(C14,OUTPUT_COUNTRY!$B$6:$N$18,5,FALSE)&gt;50,"+",(IF(VLOOKUP(C14,OUTPUT_COUNTRY!$B$6:$N$18,5,FALSE)&gt;25,"-","--")))))</f>
        <v>+</v>
      </c>
      <c r="H14" s="121" t="str">
        <f>IF(VLOOKUP(C14,OUTPUT_COUNTRY!$B$6:$N$18,7,FALSE)&gt;75,"++",(IF(VLOOKUP(C14,OUTPUT_COUNTRY!$B$6:$N$18,7,FALSE)&gt;50,"+",(IF(VLOOKUP(C14,OUTPUT_COUNTRY!$B$6:$N$18,7,FALSE)&gt;25,"-","--")))))</f>
        <v>+</v>
      </c>
      <c r="I14" s="159" t="str">
        <f>IF(VLOOKUP(C14,OUTPUT_COUNTRY!$B$6:$N$18,8,FALSE)&gt;75,"++",(IF(VLOOKUP(C14,OUTPUT_COUNTRY!$B$6:$N$18,8,FALSE)&gt;50,"+",(IF(VLOOKUP(C14,OUTPUT_COUNTRY!$B$6:$N$18,8,FALSE)&gt;25,"-","--")))))</f>
        <v>-</v>
      </c>
      <c r="J14" s="121" t="str">
        <f ca="1">IF(VLOOKUP(C14,OUTPUT_COUNTRY!$B$6:$N$18,9,FALSE)&gt;75,"++",(IF(VLOOKUP(C14,OUTPUT_COUNTRY!$B$6:$N$18,9,FALSE)&gt;50,"+",(IF(VLOOKUP(C14,OUTPUT_COUNTRY!$B$6:$N$18,9,FALSE)&gt;25,"-","--")))))</f>
        <v>-</v>
      </c>
      <c r="K14" s="159" t="str">
        <f>IF(VLOOKUP(C14,OUTPUT_COUNTRY!$B$6:$N$18,11,FALSE)&gt;75,"++",(IF(VLOOKUP(C14,OUTPUT_COUNTRY!$B$6:$N$18,11,FALSE)&gt;50,"+",(IF(VLOOKUP(C14,OUTPUT_COUNTRY!$B$6:$N$18,11,FALSE)&gt;25,"-","--")))))</f>
        <v>++</v>
      </c>
      <c r="L14" s="121" t="str">
        <f ca="1">IF(VLOOKUP(C14,OUTPUT_COUNTRY!$B$6:$N$18,13,FALSE)&gt;75,"++",(IF(VLOOKUP(C14,OUTPUT_COUNTRY!$B$6:$N$18,13,FALSE)&gt;50,"+",(IF(VLOOKUP(C14,OUTPUT_COUNTRY!$B$6:$N$18,13,FALSE)&gt;25,"-","--")))))</f>
        <v>-</v>
      </c>
    </row>
    <row r="15" spans="3:12" x14ac:dyDescent="0.35">
      <c r="C15" s="78" t="s">
        <v>864</v>
      </c>
      <c r="D15" s="167" t="str" cm="1">
        <f t="array" ref="D15">_xll.FDS(C15,"FG_COMPANY_NAME")</f>
        <v>iShares MSCI Sweden ETF</v>
      </c>
      <c r="E15" s="159" t="str">
        <f>IF(VLOOKUP(C15,OUTPUT_COUNTRY!$B$6:$N$18,3,FALSE)&gt;75,"++",(IF(VLOOKUP(C15,OUTPUT_COUNTRY!$B$6:$N$18,3,FALSE)&gt;50,"+",(IF(VLOOKUP(C15,OUTPUT_COUNTRY!$B$6:$N$18,3,FALSE)&gt;25,"-","--")))))</f>
        <v>+</v>
      </c>
      <c r="F15" s="121" t="str">
        <f>IF(VLOOKUP(C15,OUTPUT_COUNTRY!$B$6:$N$18,4,FALSE)&gt;75,"++",(IF(VLOOKUP(C15,OUTPUT_COUNTRY!$B$6:$N$18,4,FALSE)&gt;50,"+",(IF(VLOOKUP(C15,OUTPUT_COUNTRY!$B$6:$N$18,4,FALSE)&gt;25,"-","--")))))</f>
        <v>-</v>
      </c>
      <c r="G15" s="159" t="str">
        <f>IF(VLOOKUP(C15,OUTPUT_COUNTRY!$B$6:$N$18,5,FALSE)&gt;75,"++",(IF(VLOOKUP(C15,OUTPUT_COUNTRY!$B$6:$N$18,5,FALSE)&gt;50,"+",(IF(VLOOKUP(C15,OUTPUT_COUNTRY!$B$6:$N$18,5,FALSE)&gt;25,"-","--")))))</f>
        <v>--</v>
      </c>
      <c r="H15" s="121" t="str">
        <f>IF(VLOOKUP(C15,OUTPUT_COUNTRY!$B$6:$N$18,7,FALSE)&gt;75,"++",(IF(VLOOKUP(C15,OUTPUT_COUNTRY!$B$6:$N$18,7,FALSE)&gt;50,"+",(IF(VLOOKUP(C15,OUTPUT_COUNTRY!$B$6:$N$18,7,FALSE)&gt;25,"-","--")))))</f>
        <v>-</v>
      </c>
      <c r="I15" s="159" t="str">
        <f>IF(VLOOKUP(C15,OUTPUT_COUNTRY!$B$6:$N$18,8,FALSE)&gt;75,"++",(IF(VLOOKUP(C15,OUTPUT_COUNTRY!$B$6:$N$18,8,FALSE)&gt;50,"+",(IF(VLOOKUP(C15,OUTPUT_COUNTRY!$B$6:$N$18,8,FALSE)&gt;25,"-","--")))))</f>
        <v>-</v>
      </c>
      <c r="J15" s="121" t="str">
        <f ca="1">IF(VLOOKUP(C15,OUTPUT_COUNTRY!$B$6:$N$18,9,FALSE)&gt;75,"++",(IF(VLOOKUP(C15,OUTPUT_COUNTRY!$B$6:$N$18,9,FALSE)&gt;50,"+",(IF(VLOOKUP(C15,OUTPUT_COUNTRY!$B$6:$N$18,9,FALSE)&gt;25,"-","--")))))</f>
        <v>+</v>
      </c>
      <c r="K15" s="159" t="str">
        <f>IF(VLOOKUP(C15,OUTPUT_COUNTRY!$B$6:$N$18,11,FALSE)&gt;75,"++",(IF(VLOOKUP(C15,OUTPUT_COUNTRY!$B$6:$N$18,11,FALSE)&gt;50,"+",(IF(VLOOKUP(C15,OUTPUT_COUNTRY!$B$6:$N$18,11,FALSE)&gt;25,"-","--")))))</f>
        <v>-</v>
      </c>
      <c r="L15" s="121" t="str">
        <f ca="1">IF(VLOOKUP(C15,OUTPUT_COUNTRY!$B$6:$N$18,13,FALSE)&gt;75,"++",(IF(VLOOKUP(C15,OUTPUT_COUNTRY!$B$6:$N$18,13,FALSE)&gt;50,"+",(IF(VLOOKUP(C15,OUTPUT_COUNTRY!$B$6:$N$18,13,FALSE)&gt;25,"-","--")))))</f>
        <v>-</v>
      </c>
    </row>
    <row r="16" spans="3:12" x14ac:dyDescent="0.35">
      <c r="C16" s="79" t="s">
        <v>866</v>
      </c>
      <c r="D16" s="168" t="str" cm="1">
        <f t="array" ref="D16">_xll.FDS(C16,"FG_COMPANY_NAME")</f>
        <v>iShares MSCI Italy ETF</v>
      </c>
      <c r="E16" s="154" t="str">
        <f>IF(VLOOKUP(C16,OUTPUT_COUNTRY!$B$6:$N$18,3,FALSE)&gt;75,"++",(IF(VLOOKUP(C16,OUTPUT_COUNTRY!$B$6:$N$18,3,FALSE)&gt;50,"+",(IF(VLOOKUP(C16,OUTPUT_COUNTRY!$B$6:$N$18,3,FALSE)&gt;25,"-","--")))))</f>
        <v>++</v>
      </c>
      <c r="F16" s="122" t="str">
        <f>IF(VLOOKUP(C16,OUTPUT_COUNTRY!$B$6:$N$18,4,FALSE)&gt;75,"++",(IF(VLOOKUP(C16,OUTPUT_COUNTRY!$B$6:$N$18,4,FALSE)&gt;50,"+",(IF(VLOOKUP(C16,OUTPUT_COUNTRY!$B$6:$N$18,4,FALSE)&gt;25,"-","--")))))</f>
        <v>--</v>
      </c>
      <c r="G16" s="154" t="str">
        <f>IF(VLOOKUP(C16,OUTPUT_COUNTRY!$B$6:$N$18,5,FALSE)&gt;75,"++",(IF(VLOOKUP(C16,OUTPUT_COUNTRY!$B$6:$N$18,5,FALSE)&gt;50,"+",(IF(VLOOKUP(C16,OUTPUT_COUNTRY!$B$6:$N$18,5,FALSE)&gt;25,"-","--")))))</f>
        <v>--</v>
      </c>
      <c r="H16" s="122" t="str">
        <f>IF(VLOOKUP(C16,OUTPUT_COUNTRY!$B$6:$N$18,7,FALSE)&gt;75,"++",(IF(VLOOKUP(C16,OUTPUT_COUNTRY!$B$6:$N$18,7,FALSE)&gt;50,"+",(IF(VLOOKUP(C16,OUTPUT_COUNTRY!$B$6:$N$18,7,FALSE)&gt;25,"-","--")))))</f>
        <v>-</v>
      </c>
      <c r="I16" s="154" t="str">
        <f>IF(VLOOKUP(C16,OUTPUT_COUNTRY!$B$6:$N$18,8,FALSE)&gt;75,"++",(IF(VLOOKUP(C16,OUTPUT_COUNTRY!$B$6:$N$18,8,FALSE)&gt;50,"+",(IF(VLOOKUP(C16,OUTPUT_COUNTRY!$B$6:$N$18,8,FALSE)&gt;25,"-","--")))))</f>
        <v>-</v>
      </c>
      <c r="J16" s="122" t="str">
        <f ca="1">IF(VLOOKUP(C16,OUTPUT_COUNTRY!$B$6:$N$18,9,FALSE)&gt;75,"++",(IF(VLOOKUP(C16,OUTPUT_COUNTRY!$B$6:$N$18,9,FALSE)&gt;50,"+",(IF(VLOOKUP(C16,OUTPUT_COUNTRY!$B$6:$N$18,9,FALSE)&gt;25,"-","--")))))</f>
        <v>+</v>
      </c>
      <c r="K16" s="154" t="str">
        <f>IF(VLOOKUP(C16,OUTPUT_COUNTRY!$B$6:$N$18,11,FALSE)&gt;75,"++",(IF(VLOOKUP(C16,OUTPUT_COUNTRY!$B$6:$N$18,11,FALSE)&gt;50,"+",(IF(VLOOKUP(C16,OUTPUT_COUNTRY!$B$6:$N$18,11,FALSE)&gt;25,"-","--")))))</f>
        <v>++</v>
      </c>
      <c r="L16" s="122" t="str">
        <f ca="1">IF(VLOOKUP(C16,OUTPUT_COUNTRY!$B$6:$N$18,13,FALSE)&gt;75,"++",(IF(VLOOKUP(C16,OUTPUT_COUNTRY!$B$6:$N$18,13,FALSE)&gt;50,"+",(IF(VLOOKUP(C16,OUTPUT_COUNTRY!$B$6:$N$18,13,FALSE)&gt;25,"-","--")))))</f>
        <v>+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8"/>
  <sheetViews>
    <sheetView topLeftCell="A33" workbookViewId="0">
      <selection activeCell="D78" sqref="D78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555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487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  <row r="75" spans="1:4" x14ac:dyDescent="0.35">
      <c r="A75" t="s">
        <v>106</v>
      </c>
      <c r="B75" t="s">
        <v>869</v>
      </c>
      <c r="D75" s="26" t="s">
        <v>163</v>
      </c>
    </row>
    <row r="76" spans="1:4" x14ac:dyDescent="0.35">
      <c r="A76" t="s">
        <v>875</v>
      </c>
      <c r="B76" t="s">
        <v>870</v>
      </c>
      <c r="D76" s="26" t="s">
        <v>163</v>
      </c>
    </row>
    <row r="77" spans="1:4" x14ac:dyDescent="0.35">
      <c r="A77" t="s">
        <v>272</v>
      </c>
      <c r="B77" t="s">
        <v>273</v>
      </c>
      <c r="D77" s="26" t="s">
        <v>275</v>
      </c>
    </row>
    <row r="78" spans="1:4" x14ac:dyDescent="0.35">
      <c r="A78" t="s">
        <v>876</v>
      </c>
      <c r="B78" t="s">
        <v>868</v>
      </c>
      <c r="D78" s="26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1"/>
  <sheetViews>
    <sheetView zoomScale="75" zoomScaleNormal="130" workbookViewId="0">
      <selection activeCell="H32" sqref="H32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1.542968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10.81640625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740</v>
      </c>
      <c r="D2" s="72" t="s">
        <v>0</v>
      </c>
      <c r="E2" s="72" t="s">
        <v>561</v>
      </c>
      <c r="F2" s="72"/>
      <c r="G2" s="72" t="s">
        <v>2</v>
      </c>
      <c r="H2" s="72" t="s">
        <v>3</v>
      </c>
      <c r="I2" s="72" t="s">
        <v>406</v>
      </c>
      <c r="J2" s="72" t="s">
        <v>8</v>
      </c>
      <c r="K2" s="72" t="s">
        <v>67</v>
      </c>
      <c r="L2" s="72" t="s">
        <v>407</v>
      </c>
      <c r="M2" s="72" t="s">
        <v>408</v>
      </c>
      <c r="N2" s="72" t="s">
        <v>509</v>
      </c>
      <c r="O2" s="72" t="s">
        <v>741</v>
      </c>
      <c r="P2" s="72" t="s">
        <v>769</v>
      </c>
      <c r="Q2" s="72" t="s">
        <v>510</v>
      </c>
      <c r="R2" s="72" t="s">
        <v>511</v>
      </c>
      <c r="S2" s="72" t="s">
        <v>512</v>
      </c>
      <c r="T2" s="72" t="s">
        <v>742</v>
      </c>
      <c r="U2" s="72" t="s">
        <v>513</v>
      </c>
      <c r="V2" s="72" t="s">
        <v>514</v>
      </c>
      <c r="W2" s="72" t="s">
        <v>515</v>
      </c>
      <c r="X2" s="72" t="s">
        <v>516</v>
      </c>
      <c r="Y2" s="72" t="s">
        <v>517</v>
      </c>
      <c r="Z2" s="72" t="s">
        <v>743</v>
      </c>
      <c r="AA2" s="115" t="s">
        <v>770</v>
      </c>
      <c r="AB2" s="72" t="s">
        <v>530</v>
      </c>
      <c r="AC2" s="72" t="s">
        <v>541</v>
      </c>
    </row>
    <row r="3" spans="1:29" x14ac:dyDescent="0.35">
      <c r="A3" t="s">
        <v>431</v>
      </c>
      <c r="B3" t="s">
        <v>198</v>
      </c>
      <c r="C3" t="str" cm="1">
        <f t="array" ref="C3">_xll.FDS(A3,"FG_COMPANY_NAME")</f>
        <v>iShares MSCI New Zealand ETF</v>
      </c>
      <c r="D3" t="s">
        <v>431</v>
      </c>
      <c r="E3" t="s">
        <v>674</v>
      </c>
      <c r="F3" s="2" cm="1">
        <f t="array" ref="F3">_xll.FDS(D3,"JULIAN(FMA_DIV_YLD(NTMA,NOW,NOW,M,""PORTAGG"",""MEANR"").dates)")</f>
        <v>45351</v>
      </c>
      <c r="G3" s="4" cm="1">
        <f t="array" ref="G3">_xll.FDS(D3,"FMA_PE(LTM,0,,,""PORTAGG"",""MEANR"")")</f>
        <v>29.2477735958567</v>
      </c>
      <c r="H3" s="4" cm="1">
        <f t="array" ref="H3">_xll.FDS(D3,"FMA_PE(NTMA,0,,,""PORTAGG"",""MEANR"")")</f>
        <v>24.728874740024299</v>
      </c>
      <c r="I3" cm="1">
        <f t="array" ref="I3">_xll.FDS(D3,"FMA_DIV_YLD(NTMA,NOW,NOW,M,""PORTAGG"",""MEANR"")")</f>
        <v>2.8971344363897802</v>
      </c>
      <c r="J3" s="52" cm="1">
        <f t="array" ref="J3">IFERROR(_xll.FDS(D3,"FG_FCF_YIELD_NTM(0)"),(1/G3*100))</f>
        <v>8.6622017204107601E-2</v>
      </c>
      <c r="K3" s="3" cm="1">
        <f t="array" ref="K3">_xll.FDS(D3,"FMA_EVAL_EBITDA(NTMA,0,,,""PORTAGG"",""MEANR"")")</f>
        <v>12.201313860171901</v>
      </c>
      <c r="L3" cm="1">
        <f t="array" ref="L3">_xll.FDS(D3,"FMA_EVAL_EBIT(LTMA,NOW,NOW,M,""PORTAGG"",""MEANR"")")</f>
        <v>20.340402898771899</v>
      </c>
      <c r="M3">
        <f>HLOOKUP(D3,'Index ROE'!$A$1:$N$25,25,FALSE)</f>
        <v>6.5791075391831502</v>
      </c>
      <c r="N3">
        <f>VLOOKUP(A3,'LIQIDITY 2'!$A$3:$E$16,5,FALSE)</f>
        <v>4.5852000000000004</v>
      </c>
      <c r="O3" cm="1">
        <f t="array" ref="O3">IFERROR(_xll.FDS(B3,"IMF_IFS_RCPI_Q(0)"),$D$23)</f>
        <v>4.6550289999999999</v>
      </c>
      <c r="P3">
        <f>VLOOKUP(E3,GDP_GROWTH!$B$10:$W$165,22,FALSE)</f>
        <v>2.7196134550164452</v>
      </c>
      <c r="Q3">
        <f t="shared" ref="Q3:Q11" si="0">I3-N3</f>
        <v>-1.6880655636102202</v>
      </c>
      <c r="R3" s="52">
        <f t="shared" ref="R3:R11" si="1">J3-N3</f>
        <v>-4.4985779827958927</v>
      </c>
      <c r="S3">
        <f t="shared" ref="S3:S11" si="2">M3-N3</f>
        <v>1.9939075391831498</v>
      </c>
      <c r="T3">
        <f t="shared" ref="T3:T11" si="3">M3-O3</f>
        <v>1.9240785391831503</v>
      </c>
      <c r="U3" cm="1">
        <f t="array" ref="U3">_xlfn.PERCENTRANK.EXC(_xlfn._xlws.FILTER(Q$3:Q$15, ISNUMBER(Q$3:Q$15)),Q3)*100</f>
        <v>21.4</v>
      </c>
      <c r="V3" cm="1">
        <f t="array" ref="V3">_xlfn.PERCENTRANK.EXC(_xlfn._xlws.FILTER(R$3:R$15, ISNUMBER(R$3:R$15)),R3)*100</f>
        <v>7.1</v>
      </c>
      <c r="W3" cm="1">
        <f t="array" ref="W3">_xlfn.PERCENTRANK.EXC(_xlfn._xlws.FILTER(S$3:S$15, ISNUMBER(S$3:S$15)),S3)*100</f>
        <v>7.1</v>
      </c>
      <c r="X3" cm="1">
        <f t="array" ref="X3">(1-_xlfn.PERCENTRANK.EXC(_xlfn._xlws.FILTER(G$3:G$15, ISNUMBER(G$3:G$15)),G3))*100</f>
        <v>14.3</v>
      </c>
      <c r="Y3" cm="1">
        <f t="array" ref="Y3">(1-_xlfn.PERCENTRANK.EXC(_xlfn._xlws.FILTER(H$3:H$15, ISNUMBER(H$3:H$15)),H3))*100</f>
        <v>14.3</v>
      </c>
      <c r="Z3" cm="1">
        <f t="array" ref="Z3">_xlfn.PERCENTRANK.EXC(_xlfn._xlws.FILTER(T$3:T$15, ISNUMBER(T$3:T$15)),T3)*100</f>
        <v>7.1</v>
      </c>
      <c r="AA3" cm="1">
        <f t="array" ref="AA3">_xlfn.PERCENTRANK.EXC(_xlfn._xlws.FILTER(P$3:P$15, ISNUMBER(P$3:P$15)),P3)*100</f>
        <v>92.800000000000011</v>
      </c>
      <c r="AB3">
        <f>U3*Assumption!$E$40 + V3*Assumption!$F$40 + X3*Assumption!$G$40 + Y3*Assumption!$H$40 + W3*Assumption!$I$40 +Z3* Assumption!$K$40 + AA3* Assumption!$J$40</f>
        <v>11.415000000000003</v>
      </c>
      <c r="AC3" cm="1">
        <f t="array" ref="AC3">_xlfn.PERCENTRANK.EXC(_xlfn._xlws.FILTER(AB$3:AB$15, ISNUMBER(AB$3:AB$15)),AB3)*100</f>
        <v>7.1</v>
      </c>
    </row>
    <row r="4" spans="1:29" x14ac:dyDescent="0.35">
      <c r="A4" t="s">
        <v>44</v>
      </c>
      <c r="B4" t="s">
        <v>174</v>
      </c>
      <c r="C4" t="str" cm="1">
        <f t="array" ref="C4">_xll.FDS(A4,"FG_COMPANY_NAME")</f>
        <v>iShares MSCI Australia ETF</v>
      </c>
      <c r="D4" t="s">
        <v>44</v>
      </c>
      <c r="E4" t="s">
        <v>576</v>
      </c>
      <c r="F4" s="2" cm="1">
        <f t="array" ref="F4">_xll.FDS(D4,"JULIAN(FMA_DIV_YLD(NTMA,NOW,NOW,M,""PORTAGG"",""MEANR"").dates)")</f>
        <v>45351</v>
      </c>
      <c r="G4" s="4" cm="1">
        <f t="array" ref="G4">_xll.FDS(D4,"FMA_PE(LTM,0,,,""PORTAGG"",""MEANR"")")</f>
        <v>17.987733888223602</v>
      </c>
      <c r="H4" s="4" cm="1">
        <f t="array" ref="H4">_xll.FDS(D4,"FMA_PE(NTMA,0,,,""PORTAGG"",""MEANR"")")</f>
        <v>16.425311001150501</v>
      </c>
      <c r="I4" cm="1">
        <f t="array" ref="I4">_xll.FDS(D4,"FMA_DIV_YLD(NTMA,NOW,NOW,M,""PORTAGG"",""MEANR"")")</f>
        <v>3.9846536889606701</v>
      </c>
      <c r="J4" s="52" cm="1">
        <f t="array" ref="J4">IFERROR(_xll.FDS(D4,"FG_FCF_YIELD_NTM(0)"),(1/G4*100))</f>
        <v>4.8212939314271503</v>
      </c>
      <c r="K4" s="3" cm="1">
        <f t="array" ref="K4">_xll.FDS(D4,"FMA_EVAL_EBITDA(NTMA,0,,,""PORTAGG"",""MEANR"")")</f>
        <v>8.5450583229886892</v>
      </c>
      <c r="L4" cm="1">
        <f t="array" ref="L4">_xll.FDS(D4,"FMA_EVAL_EBIT(LTMA,NOW,NOW,M,""PORTAGG"",""MEANR"")")</f>
        <v>12.4410790169921</v>
      </c>
      <c r="M4">
        <f>HLOOKUP(D4,'Index ROE'!$A$1:$N$25,25,FALSE)</f>
        <v>13.226137995013501</v>
      </c>
      <c r="N4">
        <f>VLOOKUP(A4,'LIQIDITY 2'!$A$3:$E$16,5,FALSE)</f>
        <v>4.0910000000000002</v>
      </c>
      <c r="O4" cm="1">
        <f t="array" ref="O4">IFERROR(_xll.FDS(B4,"IMF_IFS_RCPI_Q(0)"),$D$23)</f>
        <v>4.0519879999999997</v>
      </c>
      <c r="P4">
        <f>VLOOKUP(E4,GDP_GROWTH!$B$10:$W$165,22,FALSE)</f>
        <v>2.0879441195558623</v>
      </c>
      <c r="Q4">
        <f t="shared" si="0"/>
        <v>-0.10634631103933012</v>
      </c>
      <c r="R4" s="52">
        <f t="shared" si="1"/>
        <v>0.73029393142715016</v>
      </c>
      <c r="S4">
        <f t="shared" si="2"/>
        <v>9.1351379950135012</v>
      </c>
      <c r="T4">
        <f t="shared" si="3"/>
        <v>9.1741499950135008</v>
      </c>
      <c r="U4" cm="1">
        <f t="array" ref="U4">_xlfn.PERCENTRANK.EXC(_xlfn._xlws.FILTER(Q$3:Q$15, ISNUMBER(Q$3:Q$15)),Q4)*100</f>
        <v>42.8</v>
      </c>
      <c r="V4" cm="1">
        <f t="array" ref="V4">_xlfn.PERCENTRANK.EXC(_xlfn._xlws.FILTER(R$3:R$15, ISNUMBER(R$3:R$15)),R4)*100</f>
        <v>28.499999999999996</v>
      </c>
      <c r="W4" cm="1">
        <f t="array" ref="W4">_xlfn.PERCENTRANK.EXC(_xlfn._xlws.FILTER(S$3:S$15, ISNUMBER(S$3:S$15)),S4)*100</f>
        <v>21.4</v>
      </c>
      <c r="X4" cm="1">
        <f t="array" ref="X4">(1-_xlfn.PERCENTRANK.EXC(_xlfn._xlws.FILTER(G$3:G$15, ISNUMBER(G$3:G$15)),G4))*100</f>
        <v>35.799999999999997</v>
      </c>
      <c r="Y4" cm="1">
        <f t="array" ref="Y4">(1-_xlfn.PERCENTRANK.EXC(_xlfn._xlws.FILTER(H$3:H$15, ISNUMBER(H$3:H$15)),H4))*100</f>
        <v>42.900000000000006</v>
      </c>
      <c r="Z4" cm="1">
        <f t="array" ref="Z4">_xlfn.PERCENTRANK.EXC(_xlfn._xlws.FILTER(T$3:T$15, ISNUMBER(T$3:T$15)),T4)*100</f>
        <v>28.499999999999996</v>
      </c>
      <c r="AA4" cm="1">
        <f t="array" ref="AA4">_xlfn.PERCENTRANK.EXC(_xlfn._xlws.FILTER(P$3:P$15, ISNUMBER(P$3:P$15)),P4)*100</f>
        <v>85.7</v>
      </c>
      <c r="AB4">
        <f>U4*Assumption!$E$40 + V4*Assumption!$F$40 + X4*Assumption!$G$40 + Y4*Assumption!$H$40 + W4*Assumption!$I$40 +Z4* Assumption!$K$40 + AA4* Assumption!$J$40</f>
        <v>33.93</v>
      </c>
      <c r="AC4" cm="1">
        <f t="array" ref="AC4">_xlfn.PERCENTRANK.EXC(_xlfn._xlws.FILTER(AB$3:AB$15, ISNUMBER(AB$3:AB$15)),AB4)*100</f>
        <v>28.499999999999996</v>
      </c>
    </row>
    <row r="5" spans="1:29" x14ac:dyDescent="0.35">
      <c r="A5" t="s">
        <v>49</v>
      </c>
      <c r="B5" t="s">
        <v>157</v>
      </c>
      <c r="C5" t="str" cm="1">
        <f t="array" ref="C5">_xll.FDS(A5,"FG_COMPANY_NAME")</f>
        <v>iShares MSCI Canada ETF</v>
      </c>
      <c r="D5" t="s">
        <v>49</v>
      </c>
      <c r="E5" t="s">
        <v>598</v>
      </c>
      <c r="F5" s="2" cm="1">
        <f t="array" ref="F5">_xll.FDS(D5,"JULIAN(FMA_DIV_YLD(NTMA,NOW,NOW,M,""PORTAGG"",""MEANR"").dates)")</f>
        <v>45351</v>
      </c>
      <c r="G5" s="4" cm="1">
        <f t="array" ref="G5">_xll.FDS(D5,"FMA_PE(LTM,0,,,""PORTAGG"",""MEANR"")")</f>
        <v>16.520548808694301</v>
      </c>
      <c r="H5" s="4" cm="1">
        <f t="array" ref="H5">_xll.FDS(D5,"FMA_PE(NTMA,0,,,""PORTAGG"",""MEANR"")")</f>
        <v>14.4897833466545</v>
      </c>
      <c r="I5" cm="1">
        <f t="array" ref="I5">_xll.FDS(D5,"FMA_DIV_YLD(NTMA,NOW,NOW,M,""PORTAGG"",""MEANR"")")</f>
        <v>3.2581274327238399</v>
      </c>
      <c r="J5" s="52" cm="1">
        <f t="array" ref="J5">IFERROR(_xll.FDS(D5,"FG_FCF_YIELD_NTM(0)"),(1/G5*100))</f>
        <v>5.0788224752902398</v>
      </c>
      <c r="K5" s="3" cm="1">
        <f t="array" ref="K5">_xll.FDS(D5,"FMA_EVAL_EBITDA(NTMA,0,,,""PORTAGG"",""MEANR"")")</f>
        <v>9.9689796272780207</v>
      </c>
      <c r="L5" cm="1">
        <f t="array" ref="L5">_xll.FDS(D5,"FMA_EVAL_EBIT(LTMA,NOW,NOW,M,""PORTAGG"",""MEANR"")")</f>
        <v>16.367848689103099</v>
      </c>
      <c r="M5">
        <f>HLOOKUP(D5,'Index ROE'!$A$1:$N$25,25,FALSE)</f>
        <v>13.1440312273413</v>
      </c>
      <c r="N5">
        <f>VLOOKUP(A5,'LIQIDITY 2'!$A$3:$E$16,5,FALSE)</f>
        <v>3.5122</v>
      </c>
      <c r="O5" cm="1">
        <f t="array" ref="O5">IFERROR(_xll.FDS(B5,"IMF_IFS_RCPI_Q(0)"),$D$23)</f>
        <v>3.2111022</v>
      </c>
      <c r="P5">
        <f>VLOOKUP(E5,GDP_GROWTH!$B$10:$W$165,22,FALSE)</f>
        <v>1.4598842535213041</v>
      </c>
      <c r="Q5">
        <f t="shared" si="0"/>
        <v>-0.25407256727616012</v>
      </c>
      <c r="R5" s="52">
        <f t="shared" si="1"/>
        <v>1.5666224752902398</v>
      </c>
      <c r="S5">
        <f t="shared" si="2"/>
        <v>9.6318312273412996</v>
      </c>
      <c r="T5">
        <f t="shared" si="3"/>
        <v>9.9329290273412987</v>
      </c>
      <c r="U5" cm="1">
        <f t="array" ref="U5">_xlfn.PERCENTRANK.EXC(_xlfn._xlws.FILTER(Q$3:Q$15, ISNUMBER(Q$3:Q$15)),Q5)*100</f>
        <v>28.499999999999996</v>
      </c>
      <c r="V5" cm="1">
        <f t="array" ref="V5">_xlfn.PERCENTRANK.EXC(_xlfn._xlws.FILTER(R$3:R$15, ISNUMBER(R$3:R$15)),R5)*100</f>
        <v>42.8</v>
      </c>
      <c r="W5" cm="1">
        <f t="array" ref="W5">_xlfn.PERCENTRANK.EXC(_xlfn._xlws.FILTER(S$3:S$15, ISNUMBER(S$3:S$15)),S5)*100</f>
        <v>35.699999999999996</v>
      </c>
      <c r="X5" cm="1">
        <f t="array" ref="X5">(1-_xlfn.PERCENTRANK.EXC(_xlfn._xlws.FILTER(G$3:G$15, ISNUMBER(G$3:G$15)),G5))*100</f>
        <v>50</v>
      </c>
      <c r="Y5" cm="1">
        <f t="array" ref="Y5">(1-_xlfn.PERCENTRANK.EXC(_xlfn._xlws.FILTER(H$3:H$15, ISNUMBER(H$3:H$15)),H5))*100</f>
        <v>71.500000000000014</v>
      </c>
      <c r="Z5" cm="1">
        <f t="array" ref="Z5">_xlfn.PERCENTRANK.EXC(_xlfn._xlws.FILTER(T$3:T$15, ISNUMBER(T$3:T$15)),T5)*100</f>
        <v>50</v>
      </c>
      <c r="AA5" cm="1">
        <f t="array" ref="AA5">_xlfn.PERCENTRANK.EXC(_xlfn._xlws.FILTER(P$3:P$15, ISNUMBER(P$3:P$15)),P5)*100</f>
        <v>42.8</v>
      </c>
      <c r="AB5">
        <f>U5*Assumption!$E$40 + V5*Assumption!$F$40 + X5*Assumption!$G$40 + Y5*Assumption!$H$40 + W5*Assumption!$I$40 +Z5* Assumption!$K$40 + AA5* Assumption!$J$40</f>
        <v>51.07</v>
      </c>
      <c r="AC5" cm="1">
        <f t="array" ref="AC5">_xlfn.PERCENTRANK.EXC(_xlfn._xlws.FILTER(AB$3:AB$15, ISNUMBER(AB$3:AB$15)),AB5)*100</f>
        <v>42.8</v>
      </c>
    </row>
    <row r="6" spans="1:29" x14ac:dyDescent="0.35">
      <c r="A6" t="s">
        <v>11</v>
      </c>
      <c r="B6" t="s">
        <v>555</v>
      </c>
      <c r="C6" t="str" cm="1">
        <f t="array" ref="C6">_xll.FDS(A6,"FG_COMPANY_NAME")</f>
        <v>iShares MSCI Germany ETF</v>
      </c>
      <c r="D6" t="s">
        <v>11</v>
      </c>
      <c r="E6" t="s">
        <v>625</v>
      </c>
      <c r="F6" s="2" cm="1">
        <f t="array" ref="F6">_xll.FDS(D6,"JULIAN(FMA_DIV_YLD(NTMA,NOW,NOW,M,""PORTAGG"",""MEANR"").dates)")</f>
        <v>45351</v>
      </c>
      <c r="G6" s="4" cm="1">
        <f t="array" ref="G6">_xll.FDS(D6,"FMA_PE(LTM,0,,,""PORTAGG"",""MEANR"")")</f>
        <v>12.777027191508299</v>
      </c>
      <c r="H6" s="4" cm="1">
        <f t="array" ref="H6">_xll.FDS(D6,"FMA_PE(NTMA,0,,,""PORTAGG"",""MEANR"")")</f>
        <v>12.0704620930793</v>
      </c>
      <c r="I6" cm="1">
        <f t="array" ref="I6">_xll.FDS(D6,"FMA_DIV_YLD(NTMA,NOW,NOW,M,""PORTAGG"",""MEANR"")")</f>
        <v>3.4332044487201001</v>
      </c>
      <c r="J6" s="52" cm="1">
        <f t="array" ref="J6">IFERROR(_xll.FDS(D6,"FG_FCF_YIELD_NTM(0)"),(1/G6*100))</f>
        <v>6.12112413335654</v>
      </c>
      <c r="K6" s="3" cm="1">
        <f t="array" ref="K6">_xll.FDS(D6,"FMA_EVAL_EBITDA(NTMA,0,,,""PORTAGG"",""MEANR"")")</f>
        <v>8.3920430746849792</v>
      </c>
      <c r="L6" cm="1">
        <f t="array" ref="L6">_xll.FDS(D6,"FMA_EVAL_EBIT(LTMA,NOW,NOW,M,""PORTAGG"",""MEANR"")")</f>
        <v>13.2685689592599</v>
      </c>
      <c r="M6">
        <f>HLOOKUP(D6,'Index ROE'!$A$1:$N$25,25,FALSE)</f>
        <v>11.9408562756701</v>
      </c>
      <c r="N6">
        <f>VLOOKUP(A6,'LIQIDITY 2'!$A$3:$E$16,5,FALSE)</f>
        <v>2.4159999999999999</v>
      </c>
      <c r="O6" cm="1">
        <f t="array" ref="O6">IFERROR(_xll.FDS(B6,"IMF_IFS_RCPI_Q(0)"),$D$23)</f>
        <v>3.5546435999999999</v>
      </c>
      <c r="P6">
        <f>VLOOKUP(E6,GDP_GROWTH!$B$10:$W$165,22,FALSE)</f>
        <v>0.863192929992318</v>
      </c>
      <c r="Q6">
        <f t="shared" si="0"/>
        <v>1.0172044487201002</v>
      </c>
      <c r="R6" s="52">
        <f t="shared" si="1"/>
        <v>3.7051241333565401</v>
      </c>
      <c r="S6">
        <f t="shared" si="2"/>
        <v>9.5248562756700998</v>
      </c>
      <c r="T6">
        <f t="shared" si="3"/>
        <v>8.3862126756700999</v>
      </c>
      <c r="U6" cm="1">
        <f t="array" ref="U6">_xlfn.PERCENTRANK.EXC(_xlfn._xlws.FILTER(Q$3:Q$15, ISNUMBER(Q$3:Q$15)),Q6)*100</f>
        <v>71.399999999999991</v>
      </c>
      <c r="V6" cm="1">
        <f t="array" ref="V6">_xlfn.PERCENTRANK.EXC(_xlfn._xlws.FILTER(R$3:R$15, ISNUMBER(R$3:R$15)),R6)*100</f>
        <v>85.7</v>
      </c>
      <c r="W6" cm="1">
        <f t="array" ref="W6">_xlfn.PERCENTRANK.EXC(_xlfn._xlws.FILTER(S$3:S$15, ISNUMBER(S$3:S$15)),S6)*100</f>
        <v>28.499999999999996</v>
      </c>
      <c r="X6" cm="1">
        <f t="array" ref="X6">(1-_xlfn.PERCENTRANK.EXC(_xlfn._xlws.FILTER(G$3:G$15, ISNUMBER(G$3:G$15)),G6))*100</f>
        <v>78.600000000000009</v>
      </c>
      <c r="Y6" cm="1">
        <f t="array" ref="Y6">(1-_xlfn.PERCENTRANK.EXC(_xlfn._xlws.FILTER(H$3:H$15, ISNUMBER(H$3:H$15)),H6))*100</f>
        <v>78.600000000000009</v>
      </c>
      <c r="Z6" cm="1">
        <f t="array" ref="Z6">_xlfn.PERCENTRANK.EXC(_xlfn._xlws.FILTER(T$3:T$15, ISNUMBER(T$3:T$15)),T6)*100</f>
        <v>21.4</v>
      </c>
      <c r="AA6" cm="1">
        <f t="array" ref="AA6">_xlfn.PERCENTRANK.EXC(_xlfn._xlws.FILTER(P$3:P$15, ISNUMBER(P$3:P$15)),P6)*100</f>
        <v>21.4</v>
      </c>
      <c r="AB6">
        <f>U6*Assumption!$E$40 + V6*Assumption!$F$40 + X6*Assumption!$G$40 + Y6*Assumption!$H$40 + W6*Assumption!$I$40 +Z6* Assumption!$K$40 + AA6* Assumption!$J$40</f>
        <v>69.284999999999997</v>
      </c>
      <c r="AC6" cm="1">
        <f t="array" ref="AC6">_xlfn.PERCENTRANK.EXC(_xlfn._xlws.FILTER(AB$3:AB$15, ISNUMBER(AB$3:AB$15)),AB6)*100</f>
        <v>71.399999999999991</v>
      </c>
    </row>
    <row r="7" spans="1:29" x14ac:dyDescent="0.35">
      <c r="A7" t="s">
        <v>46</v>
      </c>
      <c r="B7" t="s">
        <v>164</v>
      </c>
      <c r="C7" t="str" cm="1">
        <f t="array" ref="C7">_xll.FDS(A7,"FG_COMPANY_NAME")</f>
        <v>iShares MSCI Japan ETF</v>
      </c>
      <c r="D7" t="s">
        <v>46</v>
      </c>
      <c r="E7" t="s">
        <v>643</v>
      </c>
      <c r="F7" s="2" cm="1">
        <f t="array" ref="F7">_xll.FDS(D7,"JULIAN(FMA_DIV_YLD(NTMA,NOW,NOW,M,""PORTAGG"",""MEANR"").dates)")</f>
        <v>45351</v>
      </c>
      <c r="G7" s="4" cm="1">
        <f t="array" ref="G7">_xll.FDS(D7,"FMA_PE(LTM,0,,,""PORTAGG"",""MEANR"")")</f>
        <v>16.3860644162271</v>
      </c>
      <c r="H7" s="4" cm="1">
        <f t="array" ref="H7">_xll.FDS(D7,"FMA_PE(NTMA,0,,,""PORTAGG"",""MEANR"")")</f>
        <v>15.637172022955401</v>
      </c>
      <c r="I7" cm="1">
        <f t="array" ref="I7">_xll.FDS(D7,"FMA_DIV_YLD(NTMA,NOW,NOW,M,""PORTAGG"",""MEANR"")")</f>
        <v>2.1930842699512598</v>
      </c>
      <c r="J7" s="52" cm="1">
        <f t="array" ref="J7">IFERROR(_xll.FDS(D7,"FG_FCF_YIELD_NTM(0)"),(1/G7*100))</f>
        <v>4.0273715213984804</v>
      </c>
      <c r="K7" s="3" cm="1">
        <f t="array" ref="K7">_xll.FDS(D7,"FMA_EVAL_EBITDA(NTMA,0,,,""PORTAGG"",""MEANR"")")</f>
        <v>10.882298903814901</v>
      </c>
      <c r="L7" cm="1">
        <f t="array" ref="L7">_xll.FDS(D7,"FMA_EVAL_EBIT(LTMA,NOW,NOW,M,""PORTAGG"",""MEANR"")")</f>
        <v>18.2420412527071</v>
      </c>
      <c r="M7">
        <f>HLOOKUP(D7,'Index ROE'!$A$1:$N$25,25,FALSE)</f>
        <v>9.2990105044931095</v>
      </c>
      <c r="N7">
        <f>VLOOKUP(A7,'LIQIDITY 2'!$A$3:$E$16,5,FALSE)</f>
        <v>0.7349</v>
      </c>
      <c r="O7" cm="1">
        <f t="array" ref="O7">IFERROR(_xll.FDS(B7,"IMF_IFS_RCPI_Q(0)"),$D$23)</f>
        <v>2.9194753000000002</v>
      </c>
      <c r="P7">
        <f>VLOOKUP(E7,GDP_GROWTH!$B$10:$W$165,22,FALSE)</f>
        <v>0.31456851442112077</v>
      </c>
      <c r="Q7">
        <f t="shared" si="0"/>
        <v>1.4581842699512597</v>
      </c>
      <c r="R7" s="52">
        <f t="shared" si="1"/>
        <v>3.2924715213984803</v>
      </c>
      <c r="S7">
        <f t="shared" si="2"/>
        <v>8.5641105044931098</v>
      </c>
      <c r="T7">
        <f t="shared" si="3"/>
        <v>6.3795352044931093</v>
      </c>
      <c r="U7" cm="1">
        <f t="array" ref="U7">_xlfn.PERCENTRANK.EXC(_xlfn._xlws.FILTER(Q$3:Q$15, ISNUMBER(Q$3:Q$15)),Q7)*100</f>
        <v>78.5</v>
      </c>
      <c r="V7" cm="1">
        <f t="array" ref="V7">_xlfn.PERCENTRANK.EXC(_xlfn._xlws.FILTER(R$3:R$15, ISNUMBER(R$3:R$15)),R7)*100</f>
        <v>78.5</v>
      </c>
      <c r="W7" cm="1">
        <f t="array" ref="W7">_xlfn.PERCENTRANK.EXC(_xlfn._xlws.FILTER(S$3:S$15, ISNUMBER(S$3:S$15)),S7)*100</f>
        <v>14.2</v>
      </c>
      <c r="X7" cm="1">
        <f t="array" ref="X7">(1-_xlfn.PERCENTRANK.EXC(_xlfn._xlws.FILTER(G$3:G$15, ISNUMBER(G$3:G$15)),G7))*100</f>
        <v>57.2</v>
      </c>
      <c r="Y7" cm="1">
        <f t="array" ref="Y7">(1-_xlfn.PERCENTRANK.EXC(_xlfn._xlws.FILTER(H$3:H$15, ISNUMBER(H$3:H$15)),H7))*100</f>
        <v>57.2</v>
      </c>
      <c r="Z7" cm="1">
        <f t="array" ref="Z7">_xlfn.PERCENTRANK.EXC(_xlfn._xlws.FILTER(T$3:T$15, ISNUMBER(T$3:T$15)),T7)*100</f>
        <v>14.2</v>
      </c>
      <c r="AA7" cm="1">
        <f t="array" ref="AA7">_xlfn.PERCENTRANK.EXC(_xlfn._xlws.FILTER(P$3:P$15, ISNUMBER(P$3:P$15)),P7)*100</f>
        <v>7.1</v>
      </c>
      <c r="AB7">
        <f>U7*Assumption!$E$40 + V7*Assumption!$F$40 + X7*Assumption!$G$40 + Y7*Assumption!$H$40 + W7*Assumption!$I$40 +Z7* Assumption!$K$40 + AA7* Assumption!$J$40</f>
        <v>54.990000000000009</v>
      </c>
      <c r="AC7" cm="1">
        <f t="array" ref="AC7">_xlfn.PERCENTRANK.EXC(_xlfn._xlws.FILTER(AB$3:AB$15, ISNUMBER(AB$3:AB$15)),AB7)*100</f>
        <v>57.099999999999994</v>
      </c>
    </row>
    <row r="8" spans="1:29" x14ac:dyDescent="0.35">
      <c r="A8" t="s">
        <v>42</v>
      </c>
      <c r="B8" t="s">
        <v>276</v>
      </c>
      <c r="C8" t="str" cm="1">
        <f t="array" ref="C8">_xll.FDS(A8,"FG_COMPANY_NAME")</f>
        <v>iShares MSCI Switzerland ETF</v>
      </c>
      <c r="D8" t="s">
        <v>42</v>
      </c>
      <c r="E8" t="s">
        <v>706</v>
      </c>
      <c r="F8" s="2" cm="1">
        <f t="array" ref="F8">_xll.FDS(D8,"JULIAN(FMA_DIV_YLD(NTMA,NOW,NOW,M,""PORTAGG"",""MEANR"").dates)")</f>
        <v>45351</v>
      </c>
      <c r="G8" s="4" cm="1">
        <f t="array" ref="G8">_xll.FDS(D8,"FMA_PE(LTM,0,,,""PORTAGG"",""MEANR"")")</f>
        <v>14.941064251725001</v>
      </c>
      <c r="H8" s="4" cm="1">
        <f t="array" ref="H8">_xll.FDS(D8,"FMA_PE(NTMA,0,,,""PORTAGG"",""MEANR"")")</f>
        <v>17.661928176964</v>
      </c>
      <c r="I8" cm="1">
        <f t="array" ref="I8">_xll.FDS(D8,"FMA_DIV_YLD(NTMA,NOW,NOW,M,""PORTAGG"",""MEANR"")")</f>
        <v>3.3033224273985899</v>
      </c>
      <c r="J8" s="52" cm="1">
        <f t="array" ref="J8">IFERROR(_xll.FDS(D8,"FG_FCF_YIELD_NTM(0)"),(1/G8*100))</f>
        <v>4.9337924891530101</v>
      </c>
      <c r="K8" s="3" cm="1">
        <f t="array" ref="K8">_xll.FDS(D8,"FMA_EVAL_EBITDA(NTMA,0,,,""PORTAGG"",""MEANR"")")</f>
        <v>12.882513974719901</v>
      </c>
      <c r="L8" cm="1">
        <f t="array" ref="L8">_xll.FDS(D8,"FMA_EVAL_EBIT(LTMA,NOW,NOW,M,""PORTAGG"",""MEANR"")")</f>
        <v>16.6730710815139</v>
      </c>
      <c r="M8">
        <f>HLOOKUP(D8,'Index ROE'!$A$1:$N$25,25,FALSE)</f>
        <v>19.2996868123636</v>
      </c>
      <c r="N8">
        <f>VLOOKUP(A8,'LIQIDITY 2'!$A$3:$E$16,5,FALSE)</f>
        <v>0.65700000000000003</v>
      </c>
      <c r="O8" cm="1">
        <f t="array" ref="O8">IFERROR(_xll.FDS(B8,"IMF_IFS_RCPI_Q(0)"),$D$23)</f>
        <v>1.6172575</v>
      </c>
      <c r="P8">
        <f>VLOOKUP(E8,GDP_GROWTH!$B$10:$W$165,22,FALSE)</f>
        <v>2.077185911672963</v>
      </c>
      <c r="Q8">
        <f t="shared" si="0"/>
        <v>2.6463224273985899</v>
      </c>
      <c r="R8" s="52">
        <f t="shared" si="1"/>
        <v>4.27679248915301</v>
      </c>
      <c r="S8">
        <f t="shared" si="2"/>
        <v>18.6426868123636</v>
      </c>
      <c r="T8">
        <f t="shared" si="3"/>
        <v>17.682429312363599</v>
      </c>
      <c r="U8" cm="1">
        <f t="array" ref="U8">_xlfn.PERCENTRANK.EXC(_xlfn._xlws.FILTER(Q$3:Q$15, ISNUMBER(Q$3:Q$15)),Q8)*100</f>
        <v>92.800000000000011</v>
      </c>
      <c r="V8" cm="1">
        <f t="array" ref="V8">_xlfn.PERCENTRANK.EXC(_xlfn._xlws.FILTER(R$3:R$15, ISNUMBER(R$3:R$15)),R8)*100</f>
        <v>92.800000000000011</v>
      </c>
      <c r="W8" cm="1">
        <f t="array" ref="W8">_xlfn.PERCENTRANK.EXC(_xlfn._xlws.FILTER(S$3:S$15, ISNUMBER(S$3:S$15)),S8)*100</f>
        <v>85.7</v>
      </c>
      <c r="X8" cm="1">
        <f t="array" ref="X8">(1-_xlfn.PERCENTRANK.EXC(_xlfn._xlws.FILTER(G$3:G$15, ISNUMBER(G$3:G$15)),G8))*100</f>
        <v>71.500000000000014</v>
      </c>
      <c r="Y8" cm="1">
        <f t="array" ref="Y8">(1-_xlfn.PERCENTRANK.EXC(_xlfn._xlws.FILTER(H$3:H$15, ISNUMBER(H$3:H$15)),H8))*100</f>
        <v>28.6</v>
      </c>
      <c r="Z8" cm="1">
        <f t="array" ref="Z8">_xlfn.PERCENTRANK.EXC(_xlfn._xlws.FILTER(T$3:T$15, ISNUMBER(T$3:T$15)),T8)*100</f>
        <v>85.7</v>
      </c>
      <c r="AA8" cm="1">
        <f t="array" ref="AA8">_xlfn.PERCENTRANK.EXC(_xlfn._xlws.FILTER(P$3:P$15, ISNUMBER(P$3:P$15)),P8)*100</f>
        <v>64.2</v>
      </c>
      <c r="AB8">
        <f>U8*Assumption!$E$40 + V8*Assumption!$F$40 + X8*Assumption!$G$40 + Y8*Assumption!$H$40 + W8*Assumption!$I$40 +Z8* Assumption!$K$40 + AA8* Assumption!$J$40</f>
        <v>70.004999999999995</v>
      </c>
      <c r="AC8" cm="1">
        <f t="array" ref="AC8">_xlfn.PERCENTRANK.EXC(_xlfn._xlws.FILTER(AB$3:AB$15, ISNUMBER(AB$3:AB$15)),AB8)*100</f>
        <v>78.5</v>
      </c>
    </row>
    <row r="9" spans="1:29" x14ac:dyDescent="0.35">
      <c r="A9" t="s">
        <v>48</v>
      </c>
      <c r="B9" t="s">
        <v>167</v>
      </c>
      <c r="C9" t="str" cm="1">
        <f t="array" ref="C9">_xll.FDS(A9,"FG_COMPANY_NAME")</f>
        <v>iShares MSCI United Kingdom ETF</v>
      </c>
      <c r="D9" t="s">
        <v>48</v>
      </c>
      <c r="E9" t="s">
        <v>719</v>
      </c>
      <c r="F9" s="2" cm="1">
        <f t="array" ref="F9">_xll.FDS(D9,"JULIAN(FMA_DIV_YLD(NTMA,NOW,NOW,M,""PORTAGG"",""MEANR"").dates)")</f>
        <v>45351</v>
      </c>
      <c r="G9" s="4" cm="1">
        <f t="array" ref="G9">_xll.FDS(D9,"FMA_PE(LTM,0,,,""PORTAGG"",""MEANR"")")</f>
        <v>10.5826970733082</v>
      </c>
      <c r="H9" s="4" cm="1">
        <f t="array" ref="H9">_xll.FDS(D9,"FMA_PE(NTMA,0,,,""PORTAGG"",""MEANR"")")</f>
        <v>11.2494469954474</v>
      </c>
      <c r="I9" cm="1">
        <f t="array" ref="I9">_xll.FDS(D9,"FMA_DIV_YLD(NTMA,NOW,NOW,M,""PORTAGG"",""MEANR"")")</f>
        <v>4.20738012417827</v>
      </c>
      <c r="J9" s="52" cm="1">
        <f t="array" ref="J9">IFERROR(_xll.FDS(D9,"FG_FCF_YIELD_NTM(0)"),(1/G9*100))</f>
        <v>6.36977338910678</v>
      </c>
      <c r="K9" s="3" cm="1">
        <f t="array" ref="K9">_xll.FDS(D9,"FMA_EVAL_EBITDA(NTMA,0,,,""PORTAGG"",""MEANR"")")</f>
        <v>7.3742407024451699</v>
      </c>
      <c r="L9" cm="1">
        <f t="array" ref="L9">_xll.FDS(D9,"FMA_EVAL_EBIT(LTMA,NOW,NOW,M,""PORTAGG"",""MEANR"")")</f>
        <v>10.422622124162499</v>
      </c>
      <c r="M9">
        <f>HLOOKUP(D9,'Index ROE'!$A$1:$N$25,25,FALSE)</f>
        <v>14.732463877154</v>
      </c>
      <c r="N9">
        <f>VLOOKUP(A9,'LIQIDITY 2'!$A$3:$E$16,5,FALSE)</f>
        <v>4.1050000000000004</v>
      </c>
      <c r="O9" cm="1">
        <f t="array" ref="O9">IFERROR(_xll.FDS(B9,"IMF_IFS_RCPI_Q(0)"),$D$23)</f>
        <v>4.3536314999999997</v>
      </c>
      <c r="P9">
        <f>VLOOKUP(E9,GDP_GROWTH!$B$10:$W$165,22,FALSE)</f>
        <v>1.0976426250664972</v>
      </c>
      <c r="Q9">
        <f t="shared" si="0"/>
        <v>0.10238012417826958</v>
      </c>
      <c r="R9" s="52">
        <f t="shared" si="1"/>
        <v>2.2647733891067796</v>
      </c>
      <c r="S9">
        <f t="shared" si="2"/>
        <v>10.627463877154</v>
      </c>
      <c r="T9">
        <f t="shared" si="3"/>
        <v>10.378832377154001</v>
      </c>
      <c r="U9" cm="1">
        <f t="array" ref="U9">_xlfn.PERCENTRANK.EXC(_xlfn._xlws.FILTER(Q$3:Q$15, ISNUMBER(Q$3:Q$15)),Q9)*100</f>
        <v>50</v>
      </c>
      <c r="V9" cm="1">
        <f t="array" ref="V9">_xlfn.PERCENTRANK.EXC(_xlfn._xlws.FILTER(R$3:R$15, ISNUMBER(R$3:R$15)),R9)*100</f>
        <v>50</v>
      </c>
      <c r="W9" cm="1">
        <f t="array" ref="W9">_xlfn.PERCENTRANK.EXC(_xlfn._xlws.FILTER(S$3:S$15, ISNUMBER(S$3:S$15)),S9)*100</f>
        <v>64.2</v>
      </c>
      <c r="X9" cm="1">
        <f t="array" ref="X9">(1-_xlfn.PERCENTRANK.EXC(_xlfn._xlws.FILTER(G$3:G$15, ISNUMBER(G$3:G$15)),G9))*100</f>
        <v>92.9</v>
      </c>
      <c r="Y9" cm="1">
        <f t="array" ref="Y9">(1-_xlfn.PERCENTRANK.EXC(_xlfn._xlws.FILTER(H$3:H$15, ISNUMBER(H$3:H$15)),H9))*100</f>
        <v>85.8</v>
      </c>
      <c r="Z9" cm="1">
        <f t="array" ref="Z9">_xlfn.PERCENTRANK.EXC(_xlfn._xlws.FILTER(T$3:T$15, ISNUMBER(T$3:T$15)),T9)*100</f>
        <v>57.099999999999994</v>
      </c>
      <c r="AA9" cm="1">
        <f t="array" ref="AA9">_xlfn.PERCENTRANK.EXC(_xlfn._xlws.FILTER(P$3:P$15, ISNUMBER(P$3:P$15)),P9)*100</f>
        <v>35.699999999999996</v>
      </c>
      <c r="AB9">
        <f>U9*Assumption!$E$40 + V9*Assumption!$F$40 + X9*Assumption!$G$40 + Y9*Assumption!$H$40 + W9*Assumption!$I$40 +Z9* Assumption!$K$40 + AA9* Assumption!$J$40</f>
        <v>71.804999999999993</v>
      </c>
      <c r="AC9" cm="1">
        <f t="array" ref="AC9">_xlfn.PERCENTRANK.EXC(_xlfn._xlws.FILTER(AB$3:AB$15, ISNUMBER(AB$3:AB$15)),AB9)*100</f>
        <v>85.7</v>
      </c>
    </row>
    <row r="10" spans="1:29" x14ac:dyDescent="0.35">
      <c r="A10" t="s">
        <v>51</v>
      </c>
      <c r="B10" t="s">
        <v>170</v>
      </c>
      <c r="C10" t="str" cm="1">
        <f t="array" ref="C10">_xll.FDS(A10,"FG_COMPANY_NAME")</f>
        <v>Invesco QQQ Trust Series I</v>
      </c>
      <c r="D10" t="s">
        <v>51</v>
      </c>
      <c r="E10" t="s">
        <v>720</v>
      </c>
      <c r="F10" s="2" cm="1">
        <f t="array" ref="F10">_xll.FDS(D10,"JULIAN(FMA_DIV_YLD(NTMA,NOW,NOW,M,""PORTAGG"",""MEANR"").dates)")</f>
        <v>45351</v>
      </c>
      <c r="G10" s="4" cm="1">
        <f t="array" ref="G10">_xll.FDS(D10,"FMA_PE(LTM,0,,,""PORTAGG"",""MEANR"")")</f>
        <v>34.578969755343003</v>
      </c>
      <c r="H10" s="4" cm="1">
        <f t="array" ref="H10">_xll.FDS(D10,"FMA_PE(NTMA,0,,,""PORTAGG"",""MEANR"")")</f>
        <v>26.321458119461401</v>
      </c>
      <c r="I10" cm="1">
        <f t="array" ref="I10">_xll.FDS(D10,"FMA_DIV_YLD(NTMA,NOW,NOW,M,""PORTAGG"",""MEANR"")")</f>
        <v>0.88271953787980595</v>
      </c>
      <c r="J10" s="52" cm="1">
        <f t="array" ref="J10">IFERROR(_xll.FDS(D10,"FG_FCF_YIELD_NTM(0)"),(1/G10*100))</f>
        <v>3.6186162301521398</v>
      </c>
      <c r="K10" s="3" cm="1">
        <f t="array" ref="K10">_xll.FDS(D10,"FMA_EVAL_EBITDA(NTMA,0,,,""PORTAGG"",""MEANR"")")</f>
        <v>16.463676466914801</v>
      </c>
      <c r="L10" cm="1">
        <f t="array" ref="L10">_xll.FDS(D10,"FMA_EVAL_EBIT(LTMA,NOW,NOW,M,""PORTAGG"",""MEANR"")")</f>
        <v>25.007801167876298</v>
      </c>
      <c r="M10">
        <f>HLOOKUP(D10,'Index ROE'!$A$1:$N$25,25,FALSE)</f>
        <v>25.301111433536601</v>
      </c>
      <c r="N10">
        <f>VLOOKUP(A10,'LIQIDITY 2'!$A$3:$E$16,5,FALSE)</f>
        <v>4.2743000000000002</v>
      </c>
      <c r="O10" cm="1">
        <f t="array" ref="O10">IFERROR(_xll.FDS(B10,"IMF_IFS_RCPI_Q(0)"),$D$23)</f>
        <v>3.2433991</v>
      </c>
      <c r="P10">
        <f>VLOOKUP(E10,GDP_GROWTH!$B$10:$W$165,22,FALSE)</f>
        <v>2.0868572594445189</v>
      </c>
      <c r="Q10">
        <f t="shared" si="0"/>
        <v>-3.3915804621201944</v>
      </c>
      <c r="R10" s="52">
        <f t="shared" si="1"/>
        <v>-0.65568376984786036</v>
      </c>
      <c r="S10">
        <f t="shared" si="2"/>
        <v>21.026811433536601</v>
      </c>
      <c r="T10">
        <f t="shared" si="3"/>
        <v>22.0577123335366</v>
      </c>
      <c r="U10" cm="1">
        <f t="array" ref="U10">_xlfn.PERCENTRANK.EXC(_xlfn._xlws.FILTER(Q$3:Q$15, ISNUMBER(Q$3:Q$15)),Q10)*100</f>
        <v>7.1</v>
      </c>
      <c r="V10" cm="1">
        <f t="array" ref="V10">_xlfn.PERCENTRANK.EXC(_xlfn._xlws.FILTER(R$3:R$15, ISNUMBER(R$3:R$15)),R10)*100</f>
        <v>14.2</v>
      </c>
      <c r="W10" cm="1">
        <f t="array" ref="W10">_xlfn.PERCENTRANK.EXC(_xlfn._xlws.FILTER(S$3:S$15, ISNUMBER(S$3:S$15)),S10)*100</f>
        <v>92.800000000000011</v>
      </c>
      <c r="X10" cm="1">
        <f t="array" ref="X10">(1-_xlfn.PERCENTRANK.EXC(_xlfn._xlws.FILTER(G$3:G$15, ISNUMBER(G$3:G$15)),G10))*100</f>
        <v>7.1999999999999957</v>
      </c>
      <c r="Y10" cm="1">
        <f t="array" ref="Y10">(1-_xlfn.PERCENTRANK.EXC(_xlfn._xlws.FILTER(H$3:H$15, ISNUMBER(H$3:H$15)),H10))*100</f>
        <v>7.1999999999999957</v>
      </c>
      <c r="Z10" cm="1">
        <f t="array" ref="Z10">_xlfn.PERCENTRANK.EXC(_xlfn._xlws.FILTER(T$3:T$15, ISNUMBER(T$3:T$15)),T10)*100</f>
        <v>92.800000000000011</v>
      </c>
      <c r="AA10" cm="1">
        <f t="array" ref="AA10">_xlfn.PERCENTRANK.EXC(_xlfn._xlws.FILTER(P$3:P$15, ISNUMBER(P$3:P$15)),P10)*100</f>
        <v>71.399999999999991</v>
      </c>
      <c r="AB10">
        <f>U10*Assumption!$E$40 + V10*Assumption!$F$40 + X10*Assumption!$G$40 + Y10*Assumption!$H$40 + W10*Assumption!$I$40 +Z10* Assumption!$K$40 + AA10* Assumption!$J$40</f>
        <v>26.064999999999998</v>
      </c>
      <c r="AC10" cm="1">
        <f t="array" ref="AC10">_xlfn.PERCENTRANK.EXC(_xlfn._xlws.FILTER(AB$3:AB$15, ISNUMBER(AB$3:AB$15)),AB10)*100</f>
        <v>14.2</v>
      </c>
    </row>
    <row r="11" spans="1:29" x14ac:dyDescent="0.35">
      <c r="A11" t="s">
        <v>1</v>
      </c>
      <c r="B11" t="s">
        <v>170</v>
      </c>
      <c r="C11" t="str" cm="1">
        <f t="array" ref="C11">_xll.FDS(A11,"FG_COMPANY_NAME")</f>
        <v>SPDR S&amp;P 500 ETF Trust</v>
      </c>
      <c r="D11" t="s">
        <v>1</v>
      </c>
      <c r="E11" t="s">
        <v>720</v>
      </c>
      <c r="F11" s="2" cm="1">
        <f t="array" ref="F11">_xll.FDS(D11,"JULIAN(FMA_DIV_YLD(NTMA,NOW,NOW,M,""PORTAGG"",""MEANR"").dates)")</f>
        <v>45351</v>
      </c>
      <c r="G11" s="4" cm="1">
        <f t="array" ref="G11">_xll.FDS(D11,"FMA_PE(LTM,0,,,""PORTAGG"",""MEANR"")")</f>
        <v>25.8951431545667</v>
      </c>
      <c r="H11" s="4" cm="1">
        <f t="array" ref="H11">_xll.FDS(D11,"FMA_PE(NTMA,0,,,""PORTAGG"",""MEANR"")")</f>
        <v>20.899401057473</v>
      </c>
      <c r="I11" cm="1">
        <f t="array" ref="I11">_xll.FDS(D11,"FMA_DIV_YLD(NTMA,NOW,NOW,M,""PORTAGG"",""MEANR"")")</f>
        <v>1.4713855947221299</v>
      </c>
      <c r="J11" s="52" cm="1">
        <f t="array" ref="J11">IFERROR(_xll.FDS(D11,"FG_FCF_YIELD_NTM(0)"),(1/G11*100))</f>
        <v>4.1014713955047197</v>
      </c>
      <c r="K11" s="3" cm="1">
        <f t="array" ref="K11">_xll.FDS(D11,"FMA_EVAL_EBITDA(NTMA,0,,,""PORTAGG"",""MEANR"")")</f>
        <v>14.286135185868901</v>
      </c>
      <c r="L11" cm="1">
        <f t="array" ref="L11">_xll.FDS(D11,"FMA_EVAL_EBIT(LTMA,NOW,NOW,M,""PORTAGG"",""MEANR"")")</f>
        <v>20.793622257572999</v>
      </c>
      <c r="M11">
        <f>HLOOKUP(D11,'Index ROE'!$A$1:$N$25,25,FALSE)</f>
        <v>20.343735679668601</v>
      </c>
      <c r="N11">
        <f>VLOOKUP(A11,'LIQIDITY 2'!$A$3:$E$16,5,FALSE)</f>
        <v>4.2743000000000002</v>
      </c>
      <c r="O11" cm="1">
        <f t="array" ref="O11">IFERROR(_xll.FDS(B11,"IMF_IFS_RCPI_Q(0)"),$D$23)</f>
        <v>3.2433991</v>
      </c>
      <c r="P11">
        <f>VLOOKUP(E11,GDP_GROWTH!$B$10:$W$165,22,FALSE)</f>
        <v>2.0868572594445189</v>
      </c>
      <c r="Q11">
        <f t="shared" si="0"/>
        <v>-2.8029144052778703</v>
      </c>
      <c r="R11" s="52">
        <f t="shared" si="1"/>
        <v>-0.17282860449528048</v>
      </c>
      <c r="S11">
        <f t="shared" si="2"/>
        <v>16.069435679668601</v>
      </c>
      <c r="T11">
        <f t="shared" si="3"/>
        <v>17.1003365796686</v>
      </c>
      <c r="U11" cm="1">
        <f t="array" ref="U11">_xlfn.PERCENTRANK.EXC(_xlfn._xlws.FILTER(Q$3:Q$15, ISNUMBER(Q$3:Q$15)),Q11)*100</f>
        <v>14.2</v>
      </c>
      <c r="V11" cm="1">
        <f t="array" ref="V11">_xlfn.PERCENTRANK.EXC(_xlfn._xlws.FILTER(R$3:R$15, ISNUMBER(R$3:R$15)),R11)*100</f>
        <v>21.4</v>
      </c>
      <c r="W11" cm="1">
        <f t="array" ref="W11">_xlfn.PERCENTRANK.EXC(_xlfn._xlws.FILTER(S$3:S$15, ISNUMBER(S$3:S$15)),S11)*100</f>
        <v>78.5</v>
      </c>
      <c r="X11" cm="1">
        <f t="array" ref="X11">(1-_xlfn.PERCENTRANK.EXC(_xlfn._xlws.FILTER(G$3:G$15, ISNUMBER(G$3:G$15)),G11))*100</f>
        <v>21.499999999999996</v>
      </c>
      <c r="Y11" cm="1">
        <f t="array" ref="Y11">(1-_xlfn.PERCENTRANK.EXC(_xlfn._xlws.FILTER(H$3:H$15, ISNUMBER(H$3:H$15)),H11))*100</f>
        <v>21.499999999999996</v>
      </c>
      <c r="Z11" cm="1">
        <f t="array" ref="Z11">_xlfn.PERCENTRANK.EXC(_xlfn._xlws.FILTER(T$3:T$15, ISNUMBER(T$3:T$15)),T11)*100</f>
        <v>78.5</v>
      </c>
      <c r="AA11" cm="1">
        <f t="array" ref="AA11">_xlfn.PERCENTRANK.EXC(_xlfn._xlws.FILTER(P$3:P$15, ISNUMBER(P$3:P$15)),P11)*100</f>
        <v>71.399999999999991</v>
      </c>
      <c r="AB11">
        <f>U11*Assumption!$E$40 + V11*Assumption!$F$40 + X11*Assumption!$G$40 + Y11*Assumption!$H$40 + W11*Assumption!$I$40 +Z11* Assumption!$K$40 + AA11* Assumption!$J$40</f>
        <v>32.51</v>
      </c>
      <c r="AC11" cm="1">
        <f t="array" ref="AC11">_xlfn.PERCENTRANK.EXC(_xlfn._xlws.FILTER(AB$3:AB$15, ISNUMBER(AB$3:AB$15)),AB11)*100</f>
        <v>21.4</v>
      </c>
    </row>
    <row r="12" spans="1:29" x14ac:dyDescent="0.35">
      <c r="A12" t="s">
        <v>865</v>
      </c>
      <c r="B12" t="s">
        <v>869</v>
      </c>
      <c r="C12" t="str" cm="1">
        <f t="array" ref="C12">_xll.FDS(A12,"FG_COMPANY_NAME")</f>
        <v>iShares MSCI France ETF</v>
      </c>
      <c r="D12" t="s">
        <v>865</v>
      </c>
      <c r="E12" t="s">
        <v>621</v>
      </c>
      <c r="F12" s="2" cm="1">
        <f t="array" ref="F12">_xll.FDS(D12,"JULIAN(FMA_DIV_YLD(NTMA,NOW,NOW,M,""PORTAGG"",""MEANR"").dates)")</f>
        <v>45351</v>
      </c>
      <c r="G12" s="4" cm="1">
        <f t="array" ref="G12">_xll.FDS(D12,"FMA_PE(LTM,0,,,""PORTAGG"",""MEANR"")")</f>
        <v>17.0181544074463</v>
      </c>
      <c r="H12" s="4" cm="1">
        <f t="array" ref="H12">_xll.FDS(D12,"FMA_PE(NTMA,0,,,""PORTAGG"",""MEANR"")")</f>
        <v>14.6152923130056</v>
      </c>
      <c r="I12" cm="1">
        <f t="array" ref="I12">_xll.FDS(D12,"FMA_DIV_YLD(NTMA,NOW,NOW,M,""PORTAGG"",""MEANR"")")</f>
        <v>3.1336311838614201</v>
      </c>
      <c r="J12" s="52" cm="1">
        <f t="array" ref="J12">IFERROR(_xll.FDS(D12,"FG_FCF_YIELD_NTM(0)"),(1/G12*100))</f>
        <v>5.5241393562895</v>
      </c>
      <c r="K12" s="3" cm="1">
        <f t="array" ref="K12">_xll.FDS(D12,"FMA_EVAL_EBITDA(NTMA,0,,,""PORTAGG"",""MEANR"")")</f>
        <v>9.3850440417215104</v>
      </c>
      <c r="L12" cm="1">
        <f t="array" ref="L12">_xll.FDS(D12,"FMA_EVAL_EBIT(LTMA,NOW,NOW,M,""PORTAGG"",""MEANR"")")</f>
        <v>13.2389374779686</v>
      </c>
      <c r="M12">
        <f>HLOOKUP(D12,'Index ROE'!$A$1:$N$25,25,FALSE)</f>
        <v>13.221059503291199</v>
      </c>
      <c r="N12">
        <f>VLOOKUP(A12,'LIQIDITY 2'!$A$3:$E$16,5,FALSE)</f>
        <v>2.859</v>
      </c>
      <c r="O12" cm="1">
        <f t="array" ref="O12">IFERROR(_xll.FDS(B12,"IMF_IFS_RCPI_Q(0)"),$D$23)</f>
        <v>3.7187451999999999</v>
      </c>
      <c r="P12">
        <f>VLOOKUP(E12,GDP_GROWTH!$B$10:$W$165,22,FALSE)</f>
        <v>0.9426946158151317</v>
      </c>
      <c r="Q12">
        <f t="shared" ref="Q12:Q15" si="4">I12-N12</f>
        <v>0.27463118386142016</v>
      </c>
      <c r="R12" s="52">
        <f t="shared" ref="R12:R15" si="5">J12-N12</f>
        <v>2.6651393562895</v>
      </c>
      <c r="S12">
        <f t="shared" ref="S12:S15" si="6">M12-N12</f>
        <v>10.362059503291199</v>
      </c>
      <c r="T12">
        <f t="shared" ref="T12:T15" si="7">M12-O12</f>
        <v>9.5023143032912003</v>
      </c>
      <c r="U12" cm="1">
        <f t="array" ref="U12">_xlfn.PERCENTRANK.EXC(_xlfn._xlws.FILTER(Q$3:Q$15, ISNUMBER(Q$3:Q$15)),Q12)*100</f>
        <v>57.099999999999994</v>
      </c>
      <c r="V12" cm="1">
        <f t="array" ref="V12">_xlfn.PERCENTRANK.EXC(_xlfn._xlws.FILTER(R$3:R$15, ISNUMBER(R$3:R$15)),R12)*100</f>
        <v>64.2</v>
      </c>
      <c r="W12" cm="1">
        <f t="array" ref="W12">_xlfn.PERCENTRANK.EXC(_xlfn._xlws.FILTER(S$3:S$15, ISNUMBER(S$3:S$15)),S12)*100</f>
        <v>57.099999999999994</v>
      </c>
      <c r="X12" cm="1">
        <f t="array" ref="X12">(1-_xlfn.PERCENTRANK.EXC(_xlfn._xlws.FILTER(G$3:G$15, ISNUMBER(G$3:G$15)),G12))*100</f>
        <v>42.900000000000006</v>
      </c>
      <c r="Y12" cm="1">
        <f t="array" ref="Y12">(1-_xlfn.PERCENTRANK.EXC(_xlfn._xlws.FILTER(H$3:H$15, ISNUMBER(H$3:H$15)),H12))*100</f>
        <v>64.3</v>
      </c>
      <c r="Z12" cm="1">
        <f t="array" ref="Z12">_xlfn.PERCENTRANK.EXC(_xlfn._xlws.FILTER(T$3:T$15, ISNUMBER(T$3:T$15)),T12)*100</f>
        <v>35.699999999999996</v>
      </c>
      <c r="AA12" cm="1">
        <f t="array" ref="AA12">_xlfn.PERCENTRANK.EXC(_xlfn._xlws.FILTER(P$3:P$15, ISNUMBER(P$3:P$15)),P12)*100</f>
        <v>28.499999999999996</v>
      </c>
      <c r="AB12">
        <f>U12*Assumption!$E$40 + V12*Assumption!$F$40 + X12*Assumption!$G$40 + Y12*Assumption!$H$40 + W12*Assumption!$I$40 +Z12* Assumption!$K$40 + AA12* Assumption!$J$40</f>
        <v>54.984999999999999</v>
      </c>
      <c r="AC12" cm="1">
        <f t="array" ref="AC12">_xlfn.PERCENTRANK.EXC(_xlfn._xlws.FILTER(AB$3:AB$15, ISNUMBER(AB$3:AB$15)),AB12)*100</f>
        <v>50</v>
      </c>
    </row>
    <row r="13" spans="1:29" x14ac:dyDescent="0.35">
      <c r="A13" t="s">
        <v>867</v>
      </c>
      <c r="B13" t="s">
        <v>870</v>
      </c>
      <c r="C13" t="str" cm="1">
        <f t="array" ref="C13">_xll.FDS(A13,"FG_COMPANY_NAME")</f>
        <v>iShares MSCI Netherlands ETF</v>
      </c>
      <c r="D13" t="s">
        <v>867</v>
      </c>
      <c r="E13" t="s">
        <v>673</v>
      </c>
      <c r="F13" s="2" cm="1">
        <f t="array" ref="F13">_xll.FDS(D13,"JULIAN(FMA_DIV_YLD(NTMA,NOW,NOW,M,""PORTAGG"",""MEANR"").dates)")</f>
        <v>45351</v>
      </c>
      <c r="G13" s="4" cm="1">
        <f t="array" ref="G13">_xll.FDS(D13,"FMA_PE(LTM,0,,,""PORTAGG"",""MEANR"")")</f>
        <v>23.566331598408802</v>
      </c>
      <c r="H13" s="4" cm="1">
        <f t="array" ref="H13">_xll.FDS(D13,"FMA_PE(NTMA,0,,,""PORTAGG"",""MEANR"")")</f>
        <v>16.0186150181719</v>
      </c>
      <c r="I13" cm="1">
        <f t="array" ref="I13">_xll.FDS(D13,"FMA_DIV_YLD(NTMA,NOW,NOW,M,""PORTAGG"",""MEANR"")")</f>
        <v>2.4848618906767999</v>
      </c>
      <c r="J13" s="52" cm="1">
        <f t="array" ref="J13">IFERROR(_xll.FDS(D13,"FG_FCF_YIELD_NTM(0)"),(1/G13*100))</f>
        <v>4.0440528182133599</v>
      </c>
      <c r="K13" s="3" cm="1">
        <f t="array" ref="K13">_xll.FDS(D13,"FMA_EVAL_EBITDA(NTMA,0,,,""PORTAGG"",""MEANR"")")</f>
        <v>12.5939224895889</v>
      </c>
      <c r="L13" cm="1">
        <f t="array" ref="L13">_xll.FDS(D13,"FMA_EVAL_EBIT(LTMA,NOW,NOW,M,""PORTAGG"",""MEANR"")")</f>
        <v>22.485264252461899</v>
      </c>
      <c r="M13">
        <f>HLOOKUP(D13,'Index ROE'!$A$1:$N$25,25,FALSE)</f>
        <v>12.7459856653599</v>
      </c>
      <c r="N13">
        <f>VLOOKUP(A13,'LIQIDITY 2'!$A$3:$E$16,5,FALSE)</f>
        <v>2.7080000000000002</v>
      </c>
      <c r="O13" cm="1">
        <f t="array" ref="O13">IFERROR(_xll.FDS(B13,"IMF_IFS_RCPI_Q(0)"),$D$23)</f>
        <v>0.80520855999999996</v>
      </c>
      <c r="P13">
        <f>VLOOKUP(E13,GDP_GROWTH!$B$10:$W$165,22,FALSE)</f>
        <v>1.7793785730007783</v>
      </c>
      <c r="Q13">
        <f t="shared" si="4"/>
        <v>-0.22313810932320033</v>
      </c>
      <c r="R13" s="52">
        <f t="shared" si="5"/>
        <v>1.3360528182133597</v>
      </c>
      <c r="S13">
        <f t="shared" si="6"/>
        <v>10.0379856653599</v>
      </c>
      <c r="T13">
        <f t="shared" si="7"/>
        <v>11.940777105359899</v>
      </c>
      <c r="U13" cm="1">
        <f t="array" ref="U13">_xlfn.PERCENTRANK.EXC(_xlfn._xlws.FILTER(Q$3:Q$15, ISNUMBER(Q$3:Q$15)),Q13)*100</f>
        <v>35.699999999999996</v>
      </c>
      <c r="V13" cm="1">
        <f t="array" ref="V13">_xlfn.PERCENTRANK.EXC(_xlfn._xlws.FILTER(R$3:R$15, ISNUMBER(R$3:R$15)),R13)*100</f>
        <v>35.699999999999996</v>
      </c>
      <c r="W13" cm="1">
        <f t="array" ref="W13">_xlfn.PERCENTRANK.EXC(_xlfn._xlws.FILTER(S$3:S$15, ISNUMBER(S$3:S$15)),S13)*100</f>
        <v>50</v>
      </c>
      <c r="X13" cm="1">
        <f t="array" ref="X13">(1-_xlfn.PERCENTRANK.EXC(_xlfn._xlws.FILTER(G$3:G$15, ISNUMBER(G$3:G$15)),G13))*100</f>
        <v>28.6</v>
      </c>
      <c r="Y13" cm="1">
        <f t="array" ref="Y13">(1-_xlfn.PERCENTRANK.EXC(_xlfn._xlws.FILTER(H$3:H$15, ISNUMBER(H$3:H$15)),H13))*100</f>
        <v>50</v>
      </c>
      <c r="Z13" cm="1">
        <f t="array" ref="Z13">_xlfn.PERCENTRANK.EXC(_xlfn._xlws.FILTER(T$3:T$15, ISNUMBER(T$3:T$15)),T13)*100</f>
        <v>64.2</v>
      </c>
      <c r="AA13" cm="1">
        <f t="array" ref="AA13">_xlfn.PERCENTRANK.EXC(_xlfn._xlws.FILTER(P$3:P$15, ISNUMBER(P$3:P$15)),P13)*100</f>
        <v>50</v>
      </c>
      <c r="AB13">
        <f>U13*Assumption!$E$40 + V13*Assumption!$F$40 + X13*Assumption!$G$40 + Y13*Assumption!$H$40 + W13*Assumption!$I$40 +Z13* Assumption!$K$40 + AA13* Assumption!$J$40</f>
        <v>41.78</v>
      </c>
      <c r="AC13" cm="1">
        <f t="array" ref="AC13">_xlfn.PERCENTRANK.EXC(_xlfn._xlws.FILTER(AB$3:AB$15, ISNUMBER(AB$3:AB$15)),AB13)*100</f>
        <v>35.699999999999996</v>
      </c>
    </row>
    <row r="14" spans="1:29" x14ac:dyDescent="0.35">
      <c r="A14" t="s">
        <v>864</v>
      </c>
      <c r="B14" t="s">
        <v>273</v>
      </c>
      <c r="C14" t="str" cm="1">
        <f t="array" ref="C14">_xll.FDS(A14,"FG_COMPANY_NAME")</f>
        <v>iShares MSCI Sweden ETF</v>
      </c>
      <c r="D14" t="s">
        <v>864</v>
      </c>
      <c r="E14" t="s">
        <v>705</v>
      </c>
      <c r="F14" s="2" cm="1">
        <f t="array" ref="F14">_xll.FDS(D14,"JULIAN(FMA_DIV_YLD(NTMA,NOW,NOW,M,""PORTAGG"",""MEANR"").dates)")</f>
        <v>45351</v>
      </c>
      <c r="G14" s="4" cm="1">
        <f t="array" ref="G14">_xll.FDS(D14,"FMA_PE(LTM,0,,,""PORTAGG"",""MEANR"")")</f>
        <v>15.0608295744507</v>
      </c>
      <c r="H14" s="4" cm="1">
        <f t="array" ref="H14">_xll.FDS(D14,"FMA_PE(NTMA,0,,,""PORTAGG"",""MEANR"")")</f>
        <v>16.4969837914038</v>
      </c>
      <c r="I14" cm="1">
        <f t="array" ref="I14">_xll.FDS(D14,"FMA_DIV_YLD(NTMA,NOW,NOW,M,""PORTAGG"",""MEANR"")")</f>
        <v>3.2960502632678099</v>
      </c>
      <c r="J14" s="52" cm="1">
        <f t="array" ref="J14">IFERROR(_xll.FDS(D14,"FG_FCF_YIELD_NTM(0)"),(1/G14*100))</f>
        <v>5.1558484707433498</v>
      </c>
      <c r="K14" s="3" cm="1">
        <f t="array" ref="K14">_xll.FDS(D14,"FMA_EVAL_EBITDA(NTMA,0,,,""PORTAGG"",""MEANR"")")</f>
        <v>11.2873925226541</v>
      </c>
      <c r="L14" cm="1">
        <f t="array" ref="L14">_xll.FDS(D14,"FMA_EVAL_EBIT(LTMA,NOW,NOW,M,""PORTAGG"",""MEANR"")")</f>
        <v>15.891919424764</v>
      </c>
      <c r="M14">
        <f>HLOOKUP(D14,'Index ROE'!$A$1:$N$25,25,FALSE)</f>
        <v>15.368050603555201</v>
      </c>
      <c r="N14">
        <f>VLOOKUP(A14,'LIQIDITY 2'!$A$3:$E$16,5,FALSE)</f>
        <v>2.4009999999999998</v>
      </c>
      <c r="O14" cm="1">
        <f t="array" ref="O14">IFERROR(_xll.FDS(B14,"IMF_IFS_RCPI_Q(0)"),$D$23)</f>
        <v>5.5508369999999996</v>
      </c>
      <c r="P14">
        <f>VLOOKUP(E14,GDP_GROWTH!$B$10:$W$165,22,FALSE)</f>
        <v>1.8182767577278436</v>
      </c>
      <c r="Q14">
        <f t="shared" si="4"/>
        <v>0.89505026326781012</v>
      </c>
      <c r="R14" s="52">
        <f t="shared" si="5"/>
        <v>2.75484847074335</v>
      </c>
      <c r="S14">
        <f t="shared" si="6"/>
        <v>12.967050603555201</v>
      </c>
      <c r="T14">
        <f t="shared" si="7"/>
        <v>9.8172136035552011</v>
      </c>
      <c r="U14" cm="1">
        <f t="array" ref="U14">_xlfn.PERCENTRANK.EXC(_xlfn._xlws.FILTER(Q$3:Q$15, ISNUMBER(Q$3:Q$15)),Q14)*100</f>
        <v>64.2</v>
      </c>
      <c r="V14" cm="1">
        <f t="array" ref="V14">_xlfn.PERCENTRANK.EXC(_xlfn._xlws.FILTER(R$3:R$15, ISNUMBER(R$3:R$15)),R14)*100</f>
        <v>71.399999999999991</v>
      </c>
      <c r="W14" cm="1">
        <f t="array" ref="W14">_xlfn.PERCENTRANK.EXC(_xlfn._xlws.FILTER(S$3:S$15, ISNUMBER(S$3:S$15)),S14)*100</f>
        <v>71.399999999999991</v>
      </c>
      <c r="X14" cm="1">
        <f t="array" ref="X14">(1-_xlfn.PERCENTRANK.EXC(_xlfn._xlws.FILTER(G$3:G$15, ISNUMBER(G$3:G$15)),G14))*100</f>
        <v>64.3</v>
      </c>
      <c r="Y14" cm="1">
        <f t="array" ref="Y14">(1-_xlfn.PERCENTRANK.EXC(_xlfn._xlws.FILTER(H$3:H$15, ISNUMBER(H$3:H$15)),H14))*100</f>
        <v>35.799999999999997</v>
      </c>
      <c r="Z14" cm="1">
        <f t="array" ref="Z14">_xlfn.PERCENTRANK.EXC(_xlfn._xlws.FILTER(T$3:T$15, ISNUMBER(T$3:T$15)),T14)*100</f>
        <v>42.8</v>
      </c>
      <c r="AA14" cm="1">
        <f t="array" ref="AA14">_xlfn.PERCENTRANK.EXC(_xlfn._xlws.FILTER(P$3:P$15, ISNUMBER(P$3:P$15)),P14)*100</f>
        <v>57.099999999999994</v>
      </c>
      <c r="AB14">
        <f>U14*Assumption!$E$40 + V14*Assumption!$F$40 + X14*Assumption!$G$40 + Y14*Assumption!$H$40 + W14*Assumption!$I$40 +Z14* Assumption!$K$40 + AA14* Assumption!$J$40</f>
        <v>57.504999999999995</v>
      </c>
      <c r="AC14" cm="1">
        <f t="array" ref="AC14">_xlfn.PERCENTRANK.EXC(_xlfn._xlws.FILTER(AB$3:AB$15, ISNUMBER(AB$3:AB$15)),AB14)*100</f>
        <v>64.2</v>
      </c>
    </row>
    <row r="15" spans="1:29" x14ac:dyDescent="0.35">
      <c r="A15" t="s">
        <v>866</v>
      </c>
      <c r="B15" t="s">
        <v>868</v>
      </c>
      <c r="C15" t="str" cm="1">
        <f t="array" ref="C15">_xll.FDS(A15,"FG_COMPANY_NAME")</f>
        <v>iShares MSCI Italy ETF</v>
      </c>
      <c r="D15" t="s">
        <v>866</v>
      </c>
      <c r="E15" t="s">
        <v>641</v>
      </c>
      <c r="F15" s="2" cm="1">
        <f t="array" ref="F15">_xll.FDS(D15,"JULIAN(FMA_DIV_YLD(NTMA,NOW,NOW,M,""PORTAGG"",""MEANR"").dates)")</f>
        <v>45351</v>
      </c>
      <c r="G15" s="4" cm="1">
        <f t="array" ref="G15">_xll.FDS(D15,"FMA_PE(LTM,0,,,""PORTAGG"",""MEANR"")")</f>
        <v>10.8395535632734</v>
      </c>
      <c r="H15" s="4" cm="1">
        <f t="array" ref="H15">_xll.FDS(D15,"FMA_PE(NTMA,0,,,""PORTAGG"",""MEANR"")")</f>
        <v>9.7316402312476296</v>
      </c>
      <c r="I15" cm="1">
        <f t="array" ref="I15">_xll.FDS(D15,"FMA_DIV_YLD(NTMA,NOW,NOW,M,""PORTAGG"",""MEANR"")")</f>
        <v>5.3248534316678899</v>
      </c>
      <c r="J15" s="52" cm="1">
        <f t="array" ref="J15">IFERROR(_xll.FDS(D15,"FG_FCF_YIELD_NTM(0)"),(1/G15*100))</f>
        <v>6.2179128274370603</v>
      </c>
      <c r="K15" s="3" cm="1">
        <f t="array" ref="K15">_xll.FDS(D15,"FMA_EVAL_EBITDA(NTMA,0,,,""PORTAGG"",""MEANR"")")</f>
        <v>7.4306541598422102</v>
      </c>
      <c r="L15" cm="1">
        <f t="array" ref="L15">_xll.FDS(D15,"FMA_EVAL_EBIT(LTMA,NOW,NOW,M,""PORTAGG"",""MEANR"")")</f>
        <v>11.2684586911266</v>
      </c>
      <c r="M15">
        <f>HLOOKUP(D15,'Index ROE'!$A$1:$N$25,25,FALSE)</f>
        <v>13.3572177464321</v>
      </c>
      <c r="N15">
        <f>VLOOKUP(A15,'LIQIDITY 2'!$A$3:$E$16,5,FALSE)</f>
        <v>3.6789999999999998</v>
      </c>
      <c r="O15" cm="1">
        <f t="array" ref="O15">IFERROR(_xll.FDS(B15,"IMF_IFS_RCPI_Q(0)"),$D$23)</f>
        <v>0.98369783</v>
      </c>
      <c r="P15">
        <f>VLOOKUP(E15,GDP_GROWTH!$B$10:$W$165,22,FALSE)</f>
        <v>0.32855305426654491</v>
      </c>
      <c r="Q15">
        <f t="shared" si="4"/>
        <v>1.6458534316678901</v>
      </c>
      <c r="R15" s="52">
        <f t="shared" si="5"/>
        <v>2.5389128274370605</v>
      </c>
      <c r="S15">
        <f t="shared" si="6"/>
        <v>9.6782177464321002</v>
      </c>
      <c r="T15">
        <f t="shared" si="7"/>
        <v>12.3735199164321</v>
      </c>
      <c r="U15" cm="1">
        <f t="array" ref="U15">_xlfn.PERCENTRANK.EXC(_xlfn._xlws.FILTER(Q$3:Q$15, ISNUMBER(Q$3:Q$15)),Q15)*100</f>
        <v>85.7</v>
      </c>
      <c r="V15" cm="1">
        <f t="array" ref="V15">_xlfn.PERCENTRANK.EXC(_xlfn._xlws.FILTER(R$3:R$15, ISNUMBER(R$3:R$15)),R15)*100</f>
        <v>57.099999999999994</v>
      </c>
      <c r="W15" cm="1">
        <f t="array" ref="W15">_xlfn.PERCENTRANK.EXC(_xlfn._xlws.FILTER(S$3:S$15, ISNUMBER(S$3:S$15)),S15)*100</f>
        <v>42.8</v>
      </c>
      <c r="X15" cm="1">
        <f t="array" ref="X15">(1-_xlfn.PERCENTRANK.EXC(_xlfn._xlws.FILTER(G$3:G$15, ISNUMBER(G$3:G$15)),G15))*100</f>
        <v>85.8</v>
      </c>
      <c r="Y15" cm="1">
        <f t="array" ref="Y15">(1-_xlfn.PERCENTRANK.EXC(_xlfn._xlws.FILTER(H$3:H$15, ISNUMBER(H$3:H$15)),H15))*100</f>
        <v>92.9</v>
      </c>
      <c r="Z15" cm="1">
        <f t="array" ref="Z15">_xlfn.PERCENTRANK.EXC(_xlfn._xlws.FILTER(T$3:T$15, ISNUMBER(T$3:T$15)),T15)*100</f>
        <v>71.399999999999991</v>
      </c>
      <c r="AA15" cm="1">
        <f t="array" ref="AA15">_xlfn.PERCENTRANK.EXC(_xlfn._xlws.FILTER(P$3:P$15, ISNUMBER(P$3:P$15)),P15)*100</f>
        <v>14.2</v>
      </c>
      <c r="AB15">
        <f>U15*Assumption!$E$40 + V15*Assumption!$F$40 + X15*Assumption!$G$40 + Y15*Assumption!$H$40 + W15*Assumption!$I$40 +Z15* Assumption!$K$40 + AA15* Assumption!$J$40</f>
        <v>74.655000000000001</v>
      </c>
      <c r="AC15" cm="1">
        <f t="array" ref="AC15">_xlfn.PERCENTRANK.EXC(_xlfn._xlws.FILTER(AB$3:AB$15, ISNUMBER(AB$3:AB$15)),AB15)*100</f>
        <v>92.800000000000011</v>
      </c>
    </row>
    <row r="16" spans="1:29" x14ac:dyDescent="0.35">
      <c r="F16" s="2"/>
      <c r="G16" s="4"/>
      <c r="H16" s="4"/>
      <c r="J16" s="52"/>
      <c r="K16" s="3"/>
    </row>
    <row r="17" spans="1:12" x14ac:dyDescent="0.35">
      <c r="F17" s="2"/>
      <c r="G17" s="4"/>
      <c r="H17" s="4"/>
      <c r="J17" s="52"/>
      <c r="K17" s="3"/>
    </row>
    <row r="18" spans="1:12" x14ac:dyDescent="0.35">
      <c r="A18" t="s">
        <v>535</v>
      </c>
      <c r="F18" s="2"/>
      <c r="G18" s="4"/>
      <c r="H18" s="4"/>
      <c r="J18" s="52"/>
      <c r="K18" s="3"/>
    </row>
    <row r="19" spans="1:12" x14ac:dyDescent="0.35">
      <c r="A19" t="s">
        <v>536</v>
      </c>
      <c r="B19" t="s">
        <v>161</v>
      </c>
      <c r="C19" t="s">
        <v>537</v>
      </c>
      <c r="D19" t="str">
        <f>A19</f>
        <v>VGK</v>
      </c>
      <c r="F19" s="2" cm="1">
        <f t="array" ref="F19">_xll.FDS(D19,"JULIAN(FMA_DIV_YLD(NTMA,NOW,NOW,M,""PORTAGG"",""MEANR"").dates)")</f>
        <v>45322</v>
      </c>
      <c r="G19" s="4" cm="1">
        <f t="array" ref="G19">_xll.FDS(D19,"FG_PE(0)")</f>
        <v>12.318178360318299</v>
      </c>
      <c r="H19" s="4" cm="1">
        <f t="array" ref="H19">_xll.FDS(D19,"FG_PE_NTM(0,,,90,0)")</f>
        <v>13.622687817867099</v>
      </c>
      <c r="I19" cm="1">
        <f t="array" ref="I19">_xll.FDS(D19,"FMA_DIV_YLD(NTMA,NOW,NOW,M,""PORTAGG"",""MEANR"")")</f>
        <v>3.6322339371427899</v>
      </c>
      <c r="J19" s="52" cm="1">
        <f t="array" ref="J19">_xll.FDS(D19,"FG_FCF_YIELD_NTM(0)")</f>
        <v>5.0461454730443904</v>
      </c>
      <c r="K19" s="3" cm="1">
        <f t="array" ref="K19">_xll.FDS(D19,"FMA_EVAL_EBITDA(NTMA,0,,,""PORTAGG"",""MEANR"")")</f>
        <v>8.7719665946126</v>
      </c>
      <c r="L19" cm="1">
        <f t="array" ref="L19">_xll.FDS(D19,"FMA_EVAL_EBIT(LTMA,NOW,NOW,M,""PORTAGG"",""MEANR"")")</f>
        <v>13.068161161292</v>
      </c>
    </row>
    <row r="20" spans="1:12" x14ac:dyDescent="0.35">
      <c r="A20" t="s">
        <v>6</v>
      </c>
      <c r="C20" t="s">
        <v>538</v>
      </c>
      <c r="D20" t="str">
        <f>A20</f>
        <v>VWO</v>
      </c>
      <c r="F20" s="2" cm="1">
        <f t="array" ref="F20">_xll.FDS(D20,"JULIAN(FMA_DIV_YLD(NTMA,NOW,NOW,M,""PORTAGG"",""MEANR"").dates)")</f>
        <v>45322</v>
      </c>
      <c r="G20" s="4" cm="1">
        <f t="array" ref="G20">_xll.FDS(D20,"FG_PE(0)")</f>
        <v>12.8647740050643</v>
      </c>
      <c r="H20" s="4" cm="1">
        <f t="array" ref="H20">_xll.FDS(D20,"FG_PE_NTM(0,,,90,0)")</f>
        <v>13.5921407535063</v>
      </c>
      <c r="I20" cm="1">
        <f t="array" ref="I20">_xll.FDS(D20,"FMA_DIV_YLD(NTMA,NOW,NOW,M,""PORTAGG"",""MEANR"")")</f>
        <v>3.1541561217555198</v>
      </c>
      <c r="J20" s="52" cm="1">
        <f t="array" ref="J20">_xll.FDS(D20,"FG_FCF_YIELD_NTM(0)")</f>
        <v>5.0635495552145402</v>
      </c>
      <c r="K20" s="3" cm="1">
        <f t="array" ref="K20">_xll.FDS(D20,"FMA_EVAL_EBITDA(NTMA,0,,,""PORTAGG"",""MEANR"")")</f>
        <v>8.1956514820053794</v>
      </c>
      <c r="L20" cm="1">
        <f t="array" ref="L20">_xll.FDS(D20,"FMA_EVAL_EBIT(LTMA,NOW,NOW,M,""PORTAGG"",""MEANR"")")</f>
        <v>13.9146839212733</v>
      </c>
    </row>
    <row r="21" spans="1:12" x14ac:dyDescent="0.35">
      <c r="F21" s="2"/>
      <c r="G21" s="4"/>
      <c r="H21" s="4"/>
      <c r="J21" s="52"/>
      <c r="K21" s="3"/>
    </row>
    <row r="22" spans="1:12" x14ac:dyDescent="0.35">
      <c r="B22" t="s">
        <v>776</v>
      </c>
      <c r="C22" t="s">
        <v>544</v>
      </c>
      <c r="D22" t="s">
        <v>777</v>
      </c>
      <c r="F22" s="2"/>
      <c r="G22" s="4"/>
      <c r="H22" s="4"/>
      <c r="J22" s="52"/>
      <c r="K22" s="3"/>
    </row>
    <row r="23" spans="1:12" x14ac:dyDescent="0.35">
      <c r="B23" t="s">
        <v>170</v>
      </c>
      <c r="C23" t="s">
        <v>720</v>
      </c>
      <c r="D23" cm="1">
        <f t="array" ref="D23">_xll.FDS(B23,"IMF_IFS_RCPI_Q(0)")</f>
        <v>3.2433991</v>
      </c>
    </row>
    <row r="33" spans="4:5" x14ac:dyDescent="0.35">
      <c r="D33" s="1"/>
      <c r="E33" s="1"/>
    </row>
    <row r="40" spans="4:5" x14ac:dyDescent="0.35">
      <c r="D40" s="1"/>
      <c r="E40" s="1"/>
    </row>
    <row r="45" spans="4:5" x14ac:dyDescent="0.35">
      <c r="D45" s="1"/>
      <c r="E45" s="1"/>
    </row>
    <row r="50" spans="4:5" x14ac:dyDescent="0.35">
      <c r="D50" s="1"/>
      <c r="E50" s="1"/>
    </row>
    <row r="51" spans="4:5" x14ac:dyDescent="0.35">
      <c r="D51" s="1"/>
      <c r="E51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1"/>
  <sheetViews>
    <sheetView topLeftCell="A2" zoomScale="145" zoomScaleNormal="145" workbookViewId="0">
      <selection activeCell="G3" sqref="G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525</v>
      </c>
      <c r="G2" s="25" t="s">
        <v>907</v>
      </c>
      <c r="H2" s="25" t="s">
        <v>381</v>
      </c>
      <c r="I2" s="25" t="s">
        <v>490</v>
      </c>
      <c r="L2" s="25" t="s">
        <v>526</v>
      </c>
      <c r="S2" s="5" t="s">
        <v>459</v>
      </c>
      <c r="T2" s="5" t="s">
        <v>458</v>
      </c>
      <c r="U2" t="s">
        <v>382</v>
      </c>
      <c r="V2" s="46"/>
      <c r="X2" t="s">
        <v>552</v>
      </c>
    </row>
    <row r="3" spans="1:24" x14ac:dyDescent="0.35">
      <c r="A3" t="s">
        <v>431</v>
      </c>
      <c r="B3" t="s">
        <v>197</v>
      </c>
      <c r="C3" t="s">
        <v>449</v>
      </c>
      <c r="D3" s="26" t="str" cm="1">
        <f t="array" ref="D3">_xll.FDSB(C3,"FG_YIELD_NAME")</f>
        <v>New Zealand Benchmark Bond - 10 Year</v>
      </c>
      <c r="E3" s="26" cm="1">
        <f t="array" ref="E3">IFERROR(_xll.FDS(C3,"FG_YIELD(0,,,,""YTM"")"),$E$18)</f>
        <v>4.5852000000000004</v>
      </c>
      <c r="G3" s="26" cm="1">
        <f t="array" ref="G3">_xll.FDSB(C3,"PCTCHG(FG_YIELD(0,,,,""YTM""),FG_YIELD(-1AM,,,,""YTM""))")</f>
        <v>-5.1606154000000002</v>
      </c>
      <c r="H3" s="26" cm="1">
        <f t="array" ref="H3">_xll.FDSB(C3,"PCTCHG(FG_YIELD(0,,,,""YTM""),FG_YIELD(-3AM,,,,""YTM""))")</f>
        <v>2.3664930000000002</v>
      </c>
      <c r="I3" s="26"/>
      <c r="J3" s="26" t="str">
        <f>VLOOKUP(B3,mnemonics!$A$4:$D$78, 4, FALSE)</f>
        <v>REFNZOCR-FDS</v>
      </c>
      <c r="K3" s="26" t="str" cm="1">
        <f t="array" ref="K3">_xll.FDSB(J3,"PROPER_NAME(0,,,""SECURITY"",""NAME"")")</f>
        <v>New Zealand Official Cash Rate</v>
      </c>
      <c r="L3" s="26" cm="1">
        <f t="array" ref="L3">_xll.FDSB(J3,"FG_YIELD(NOW,,,0)")</f>
        <v>5.5</v>
      </c>
      <c r="M3" s="36" cm="1">
        <f t="array" ref="M3">_xll.FDSB(J3,"(SUBARRAY(NOT_NA(NO_REPEAT_F(FG_YIELD(now,-10AY,D))),0,1)-SUBARRAY(NOT_NA(NO_REPEAT_F(FG_YIELD(now,-10AY,D))),1,1))*100")</f>
        <v>25</v>
      </c>
      <c r="N3" s="38">
        <f t="shared" ref="N3:N15" si="0">M3*-1</f>
        <v>-25</v>
      </c>
      <c r="O3" s="26">
        <f>L3-E3</f>
        <v>0.91479999999999961</v>
      </c>
      <c r="S3">
        <f t="shared" ref="S3:S15" si="1">IF(M3&gt; 0, 0, 1)</f>
        <v>0</v>
      </c>
      <c r="T3">
        <f t="shared" ref="T3:T15" si="2">IF(G3&lt;0, 1, 0)</f>
        <v>1</v>
      </c>
      <c r="U3">
        <f t="shared" ref="U3:U15" si="3">IF(H3&lt;0, 1, 0)</f>
        <v>0</v>
      </c>
      <c r="V3" s="47">
        <f t="shared" ref="V3:V15" si="4">SUMPRODUCT($S$1:$U$1,S3:U3)</f>
        <v>0.25</v>
      </c>
      <c r="X3">
        <f>_xlfn.PERCENTRANK.EXC($V$3:$V$15,V3)*100</f>
        <v>28.499999999999996</v>
      </c>
    </row>
    <row r="4" spans="1:24" x14ac:dyDescent="0.35">
      <c r="A4" t="s">
        <v>44</v>
      </c>
      <c r="B4" t="s">
        <v>113</v>
      </c>
      <c r="C4" t="s">
        <v>138</v>
      </c>
      <c r="D4" s="26" t="str" cm="1">
        <f t="array" ref="D4">_xll.FDSB(C4,"FG_YIELD_NAME")</f>
        <v>Australia Benchmark Bond - 10 Year</v>
      </c>
      <c r="E4" s="26" cm="1">
        <f t="array" ref="E4">IFERROR(_xll.FDS(C4,"FG_YIELD(0,,,,""YTM"")"),$E$18)</f>
        <v>4.0910000000000002</v>
      </c>
      <c r="G4" s="26" cm="1">
        <f t="array" ref="G4">_xll.FDSB(C4,"PCTCHG(FG_YIELD(0,,,,""YTM""),FG_YIELD(-1AM,,,,""YTM""))")</f>
        <v>-1.9650079</v>
      </c>
      <c r="H4" s="26" cm="1">
        <f t="array" ref="H4">_xll.FDSB(C4,"PCTCHG(FG_YIELD(0,,,,""YTM""),FG_YIELD(-3AM,,,,""YTM""))")</f>
        <v>1.8168230999999999</v>
      </c>
      <c r="I4" s="26"/>
      <c r="J4" s="26" t="str">
        <f>VLOOKUP(B4,mnemonics!$A$4:$D$78, 4, FALSE)</f>
        <v>REFAUCASH-FDS</v>
      </c>
      <c r="K4" s="26" t="str" cm="1">
        <f t="array" ref="K4">_xll.FDSB(J4,"PROPER_NAME(0,,,""SECURITY"",""NAME"")")</f>
        <v>Australia Target Cash Rate</v>
      </c>
      <c r="L4" s="26" cm="1">
        <f t="array" ref="L4">_xll.FDSB(J4,"FG_YIELD(NOW,,,0)")</f>
        <v>4.3499999999999996</v>
      </c>
      <c r="M4" s="36" cm="1">
        <f t="array" ref="M4">_xll.FDSB(J4,"(SUBARRAY(NOT_NA(NO_REPEAT_F(FG_YIELD(now,-10AY,D))),0,1)-SUBARRAY(NOT_NA(NO_REPEAT_F(FG_YIELD(now,-10AY,D))),1,1))*100")</f>
        <v>25</v>
      </c>
      <c r="N4" s="38">
        <f t="shared" si="0"/>
        <v>-25</v>
      </c>
      <c r="O4" s="26">
        <f t="shared" ref="O4:O15" si="5">L4-E4</f>
        <v>0.25899999999999945</v>
      </c>
      <c r="S4">
        <f t="shared" si="1"/>
        <v>0</v>
      </c>
      <c r="T4">
        <f t="shared" si="2"/>
        <v>1</v>
      </c>
      <c r="U4">
        <f t="shared" si="3"/>
        <v>0</v>
      </c>
      <c r="V4" s="47">
        <f t="shared" si="4"/>
        <v>0.25</v>
      </c>
      <c r="X4">
        <f t="shared" ref="X4:X15" si="6">_xlfn.PERCENTRANK.EXC($V$3:$V$15,V4)*100</f>
        <v>28.499999999999996</v>
      </c>
    </row>
    <row r="5" spans="1:24" x14ac:dyDescent="0.35">
      <c r="A5" t="s">
        <v>49</v>
      </c>
      <c r="B5" t="s">
        <v>116</v>
      </c>
      <c r="C5" t="s">
        <v>142</v>
      </c>
      <c r="D5" s="26" t="str" cm="1">
        <f t="array" ref="D5">_xll.FDSB(C5,"FG_YIELD_NAME")</f>
        <v>Canada Benchmark Bond - 10 Year</v>
      </c>
      <c r="E5" s="26" cm="1">
        <f t="array" ref="E5">IFERROR(_xll.FDS(C5,"FG_YIELD(0,,,,""YTM"")"),$E$18)</f>
        <v>3.5122</v>
      </c>
      <c r="G5" s="26" cm="1">
        <f t="array" ref="G5">_xll.FDSB(C5,"PCTCHG(FG_YIELD(0,,,,""YTM""),FG_YIELD(-1AM,,,,""YTM""))")</f>
        <v>-0.95877049999999997</v>
      </c>
      <c r="H5" s="26" cm="1">
        <f t="array" ref="H5">_xll.FDSB(C5,"PCTCHG(FG_YIELD(0,,,,""YTM""),FG_YIELD(-3AM,,,,""YTM""))")</f>
        <v>13.030607</v>
      </c>
      <c r="I5" s="26"/>
      <c r="J5" s="26" t="str">
        <f>VLOOKUP(B5,mnemonics!$A$4:$D$78, 4, FALSE)</f>
        <v>REFCATARG-FDS</v>
      </c>
      <c r="K5" s="26" t="str" cm="1">
        <f t="array" ref="K5">_xll.FDSB(J5,"PROPER_NAME(0,,,""SECURITY"",""NAME"")")</f>
        <v>Canada Target Rate</v>
      </c>
      <c r="L5" s="26" cm="1">
        <f t="array" ref="L5">_xll.FDSB(J5,"FG_YIELD(NOW,,,0)")</f>
        <v>5</v>
      </c>
      <c r="M5" s="36" cm="1">
        <f t="array" ref="M5">_xll.FDSB(J5,"(SUBARRAY(NOT_NA(NO_REPEAT_F(FG_YIELD(now,-10AY,D))),0,1)-SUBARRAY(NOT_NA(NO_REPEAT_F(FG_YIELD(now,-10AY,D))),1,1))*100")</f>
        <v>25</v>
      </c>
      <c r="N5" s="38">
        <f t="shared" si="0"/>
        <v>-25</v>
      </c>
      <c r="O5" s="26">
        <f t="shared" si="5"/>
        <v>1.4878</v>
      </c>
      <c r="S5">
        <f t="shared" si="1"/>
        <v>0</v>
      </c>
      <c r="T5">
        <f t="shared" si="2"/>
        <v>1</v>
      </c>
      <c r="U5">
        <f t="shared" si="3"/>
        <v>0</v>
      </c>
      <c r="V5" s="47">
        <f t="shared" si="4"/>
        <v>0.25</v>
      </c>
      <c r="X5">
        <f t="shared" si="6"/>
        <v>28.499999999999996</v>
      </c>
    </row>
    <row r="6" spans="1:24" x14ac:dyDescent="0.35">
      <c r="A6" t="s">
        <v>11</v>
      </c>
      <c r="B6" t="s">
        <v>102</v>
      </c>
      <c r="C6" t="s">
        <v>19</v>
      </c>
      <c r="D6" s="26" t="str" cm="1">
        <f t="array" ref="D6">_xll.FDSB(C6,"FG_YIELD_NAME")</f>
        <v>Germany Benchmark Bond - 10 Year</v>
      </c>
      <c r="E6" s="26" cm="1">
        <f t="array" ref="E6">IFERROR(_xll.FDS(C6,"FG_YIELD(0,,,,""YTM"")"),$E$18)</f>
        <v>2.4159999999999999</v>
      </c>
      <c r="G6" s="26" cm="1">
        <f t="array" ref="G6">_xll.FDSB(C6,"PCTCHG(FG_YIELD(0,,,,""YTM""),FG_YIELD(-1AM,,,,""YTM""))")</f>
        <v>8.2844033999999997E-2</v>
      </c>
      <c r="H6" s="26" cm="1">
        <f t="array" ref="H6">_xll.FDSB(C6,"PCTCHG(FG_YIELD(0,,,,""YTM""),FG_YIELD(-3AM,,,,""YTM""))")</f>
        <v>22.577368</v>
      </c>
      <c r="I6" s="26"/>
      <c r="J6" s="26" t="str">
        <f>VLOOKUP(B6,mnemonics!$A$4:$D$78, 4, FALSE)</f>
        <v>REFEUREFI-FDS</v>
      </c>
      <c r="K6" s="26" t="str" cm="1">
        <f t="array" ref="K6">_xll.FDSB(J6,"PROPER_NAME(0,,,""SECURITY"",""NAME"")")</f>
        <v>Eurozone Main Refinancing Operations Minimum Bid Rate</v>
      </c>
      <c r="L6" s="26" cm="1">
        <f t="array" ref="L6">_xll.FDSB(J6,"FG_YIELD(NOW,,,0)")</f>
        <v>4.5</v>
      </c>
      <c r="M6" s="36" cm="1">
        <f t="array" ref="M6">_xll.FDSB(J6,"(SUBARRAY(NOT_NA(NO_REPEAT_F(FG_YIELD(now,-10AY,D))),0,1)-SUBARRAY(NOT_NA(NO_REPEAT_F(FG_YIELD(now,-10AY,D))),1,1))*100")</f>
        <v>25</v>
      </c>
      <c r="N6" s="38">
        <f t="shared" si="0"/>
        <v>-25</v>
      </c>
      <c r="O6" s="26">
        <f t="shared" si="5"/>
        <v>2.0840000000000001</v>
      </c>
      <c r="S6">
        <f t="shared" si="1"/>
        <v>0</v>
      </c>
      <c r="T6">
        <f t="shared" si="2"/>
        <v>0</v>
      </c>
      <c r="U6">
        <f t="shared" si="3"/>
        <v>0</v>
      </c>
      <c r="V6" s="47">
        <f t="shared" si="4"/>
        <v>0</v>
      </c>
      <c r="X6">
        <f t="shared" si="6"/>
        <v>7.1</v>
      </c>
    </row>
    <row r="7" spans="1:24" x14ac:dyDescent="0.35">
      <c r="A7" t="s">
        <v>46</v>
      </c>
      <c r="B7" t="s">
        <v>114</v>
      </c>
      <c r="C7" t="s">
        <v>139</v>
      </c>
      <c r="D7" s="26" t="str" cm="1">
        <f t="array" ref="D7">_xll.FDSB(C7,"FG_YIELD_NAME")</f>
        <v>Japan Benchmark Bond - 10 Year</v>
      </c>
      <c r="E7" s="26" cm="1">
        <f t="array" ref="E7">IFERROR(_xll.FDS(C7,"FG_YIELD(0,,,,""YTM"")"),$E$18)</f>
        <v>0.7349</v>
      </c>
      <c r="G7" s="26" cm="1">
        <f t="array" ref="G7">_xll.FDSB(C7,"PCTCHG(FG_YIELD(0,,,,""YTM""),FG_YIELD(-1AM,,,,""YTM""))")</f>
        <v>1.2258935</v>
      </c>
      <c r="H7" s="26" cm="1">
        <f t="array" ref="H7">_xll.FDSB(C7,"PCTCHG(FG_YIELD(0,,,,""YTM""),FG_YIELD(-3AM,,,,""YTM""))")</f>
        <v>29.315501999999999</v>
      </c>
      <c r="I7" s="26"/>
      <c r="J7" s="26" t="str">
        <f>VLOOKUP(B7,mnemonics!$A$4:$D$78, 4, FALSE)</f>
        <v>REFJPTON-FDS</v>
      </c>
      <c r="K7" s="26" t="str" cm="1">
        <f t="array" ref="K7">_xll.FDSB(J7,"PROPER_NAME(0,,,""SECURITY"",""NAME"")")</f>
        <v>Japan Policy Rate</v>
      </c>
      <c r="L7" s="26" cm="1">
        <f t="array" ref="L7">_xll.FDSB(J7,"FG_YIELD(NOW,,,0)")</f>
        <v>0.1</v>
      </c>
      <c r="M7" s="36" cm="1">
        <f t="array" ref="M7">_xll.FDSB(J7,"(SUBARRAY(NOT_NA(NO_REPEAT_F(FG_YIELD(now,-10AY,D))),0,1)-SUBARRAY(NOT_NA(NO_REPEAT_F(FG_YIELD(now,-10AY,D))),1,1))*100")</f>
        <v>20</v>
      </c>
      <c r="N7" s="38">
        <f t="shared" si="0"/>
        <v>-20</v>
      </c>
      <c r="O7" s="26">
        <f t="shared" si="5"/>
        <v>-0.63490000000000002</v>
      </c>
      <c r="S7">
        <f t="shared" si="1"/>
        <v>0</v>
      </c>
      <c r="T7">
        <f t="shared" si="2"/>
        <v>0</v>
      </c>
      <c r="U7">
        <f t="shared" si="3"/>
        <v>0</v>
      </c>
      <c r="V7" s="47">
        <f t="shared" si="4"/>
        <v>0</v>
      </c>
      <c r="X7">
        <f t="shared" si="6"/>
        <v>7.1</v>
      </c>
    </row>
    <row r="8" spans="1:24" x14ac:dyDescent="0.35">
      <c r="A8" t="s">
        <v>42</v>
      </c>
      <c r="B8" t="s">
        <v>110</v>
      </c>
      <c r="C8" t="s">
        <v>135</v>
      </c>
      <c r="D8" s="26" t="str" cm="1">
        <f t="array" ref="D8">_xll.FDSB(C8,"FG_YIELD_NAME")</f>
        <v>Treasury - Switzerland Benchmark Bond 10Y</v>
      </c>
      <c r="E8" s="26" cm="1">
        <f t="array" ref="E8">IFERROR(_xll.FDS(C8,"FG_YIELD(0,,,,""YTM"")"),$E$18)</f>
        <v>0.65700000000000003</v>
      </c>
      <c r="G8" s="26" cm="1">
        <f t="array" ref="G8">_xll.FDSB(C8,"PCTCHG(FG_YIELD(0,,,,""YTM""),FG_YIELD(-1AM,,,,""YTM""))")</f>
        <v>-24.65596</v>
      </c>
      <c r="H8" s="26" cm="1">
        <f t="array" ref="H8">_xll.FDSB(C8,"PCTCHG(FG_YIELD(0,,,,""YTM""),FG_YIELD(-3AM,,,,""YTM""))")</f>
        <v>-7.5949397000000003</v>
      </c>
      <c r="I8" s="26"/>
      <c r="J8" s="26" t="str">
        <f>VLOOKUP(B8,mnemonics!$A$4:$D$78, 4, FALSE)</f>
        <v>REFCHMPR-FDS</v>
      </c>
      <c r="K8" s="26" t="str" cm="1">
        <f t="array" ref="K8">_xll.FDSB(J8,"PROPER_NAME(0,,,""SECURITY"",""NAME"")")</f>
        <v>Swiss Policy Rate - Sight Deposit Rate</v>
      </c>
      <c r="L8" s="26" cm="1">
        <f t="array" ref="L8">_xll.FDSB(J8,"FG_YIELD(NOW,,,0)")</f>
        <v>1.5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O8" s="26">
        <f t="shared" si="5"/>
        <v>0.84299999999999997</v>
      </c>
      <c r="S8">
        <f t="shared" si="1"/>
        <v>1</v>
      </c>
      <c r="T8">
        <f t="shared" si="2"/>
        <v>1</v>
      </c>
      <c r="U8">
        <f t="shared" si="3"/>
        <v>1</v>
      </c>
      <c r="V8" s="47">
        <f t="shared" si="4"/>
        <v>1</v>
      </c>
      <c r="X8">
        <f t="shared" si="6"/>
        <v>92.800000000000011</v>
      </c>
    </row>
    <row r="9" spans="1:24" x14ac:dyDescent="0.35">
      <c r="A9" t="s">
        <v>48</v>
      </c>
      <c r="B9" t="s">
        <v>115</v>
      </c>
      <c r="C9" t="s">
        <v>141</v>
      </c>
      <c r="D9" s="26" t="str" cm="1">
        <f t="array" ref="D9">_xll.FDSB(C9,"FG_YIELD_NAME")</f>
        <v>United Kingdom Benchmark Bond - 10 Year</v>
      </c>
      <c r="E9" s="26" cm="1">
        <f t="array" ref="E9">IFERROR(_xll.FDS(C9,"FG_YIELD(0,,,,""YTM"")"),$E$18)</f>
        <v>4.1050000000000004</v>
      </c>
      <c r="G9" s="26" cm="1">
        <f t="array" ref="G9">_xll.FDSB(C9,"PCTCHG(FG_YIELD(0,,,,""YTM""),FG_YIELD(-1AM,,,,""YTM""))")</f>
        <v>0.73620147000000002</v>
      </c>
      <c r="H9" s="26" cm="1">
        <f t="array" ref="H9">_xll.FDSB(C9,"PCTCHG(FG_YIELD(0,,,,""YTM""),FG_YIELD(-3AM,,,,""YTM""))")</f>
        <v>16.058810000000001</v>
      </c>
      <c r="I9" s="26"/>
      <c r="J9" s="26" t="str">
        <f>VLOOKUP(B9,mnemonics!$A$4:$D$78, 4, FALSE)</f>
        <v>REFGBBANK-FDS</v>
      </c>
      <c r="K9" s="26" t="str" cm="1">
        <f t="array" ref="K9">_xll.FDSB(J9,"PROPER_NAME(0,,,""SECURITY"",""NAME"")")</f>
        <v>UK Bank Rate</v>
      </c>
      <c r="L9" s="26" cm="1">
        <f t="array" ref="L9">_xll.FDSB(J9,"FG_YIELD(NOW,,,0)")</f>
        <v>5.25</v>
      </c>
      <c r="M9" s="36" cm="1">
        <f t="array" ref="M9">_xll.FDSB(J9,"(SUBARRAY(NOT_NA(NO_REPEAT_F(FG_YIELD(now,-10AY,D))),0,1)-SUBARRAY(NOT_NA(NO_REPEAT_F(FG_YIELD(now,-10AY,D))),1,1))*100")</f>
        <v>25</v>
      </c>
      <c r="N9" s="38">
        <f t="shared" si="0"/>
        <v>-25</v>
      </c>
      <c r="O9" s="26">
        <f t="shared" si="5"/>
        <v>1.1449999999999996</v>
      </c>
      <c r="S9">
        <f t="shared" si="1"/>
        <v>0</v>
      </c>
      <c r="T9">
        <f t="shared" si="2"/>
        <v>0</v>
      </c>
      <c r="U9">
        <f t="shared" si="3"/>
        <v>0</v>
      </c>
      <c r="V9" s="47">
        <f t="shared" si="4"/>
        <v>0</v>
      </c>
      <c r="X9">
        <f t="shared" si="6"/>
        <v>7.1</v>
      </c>
    </row>
    <row r="10" spans="1:24" x14ac:dyDescent="0.35">
      <c r="A10" t="s">
        <v>51</v>
      </c>
      <c r="B10" t="s">
        <v>119</v>
      </c>
      <c r="C10" t="s">
        <v>14</v>
      </c>
      <c r="D10" s="26" t="str" cm="1">
        <f t="array" ref="D10">_xll.FDSB(C10,"FG_YIELD_NAME")</f>
        <v>US Benchmark Bond - 10 Year</v>
      </c>
      <c r="E10" s="26" cm="1">
        <f t="array" ref="E10">IFERROR(_xll.FDS(C10,"FG_YIELD(0,,,,""YTM"")"),$E$18)</f>
        <v>4.2743000000000002</v>
      </c>
      <c r="G10" s="26" cm="1">
        <f t="array" ref="G10">_xll.FDSB(C10,"PCTCHG(FG_YIELD(0,,,,""YTM""),FG_YIELD(-1AM,,,,""YTM""))")</f>
        <v>-1.1859637000000001</v>
      </c>
      <c r="H10" s="26" cm="1">
        <f t="array" ref="H10">_xll.FDSB(C10,"PCTCHG(FG_YIELD(0,,,,""YTM""),FG_YIELD(-3AM,,,,""YTM""))")</f>
        <v>10.065925</v>
      </c>
      <c r="I10" s="26"/>
      <c r="J10" s="26" t="str">
        <f>VLOOKUP(B10,mnemonics!$A$4:$D$78, 4, FALSE)</f>
        <v>REFFFUND-FDS</v>
      </c>
      <c r="K10" s="26" t="str" cm="1">
        <f t="array" ref="K10">_xll.FDSB(J10,"PROPER_NAME(0,,,""SECURITY"",""NAME"")")</f>
        <v>US Federal Funds Target Rate</v>
      </c>
      <c r="L10" s="26" cm="1">
        <f t="array" ref="L10">_xll.FDSB(J10,"FG_YIELD(NOW,,,0)")</f>
        <v>5.5</v>
      </c>
      <c r="M10" s="36" cm="1">
        <f t="array" ref="M10">_xll.FDSB(J10,"(SUBARRAY(NOT_NA(NO_REPEAT_F(FG_YIELD(now,-10AY,D))),0,1)-SUBARRAY(NOT_NA(NO_REPEAT_F(FG_YIELD(now,-10AY,D))),1,1))*100")</f>
        <v>25</v>
      </c>
      <c r="N10" s="38">
        <f t="shared" si="0"/>
        <v>-25</v>
      </c>
      <c r="O10" s="26">
        <f t="shared" si="5"/>
        <v>1.2256999999999998</v>
      </c>
      <c r="S10">
        <f t="shared" si="1"/>
        <v>0</v>
      </c>
      <c r="T10">
        <f t="shared" si="2"/>
        <v>1</v>
      </c>
      <c r="U10">
        <f t="shared" si="3"/>
        <v>0</v>
      </c>
      <c r="V10" s="47">
        <f t="shared" si="4"/>
        <v>0.25</v>
      </c>
      <c r="X10">
        <f t="shared" si="6"/>
        <v>28.499999999999996</v>
      </c>
    </row>
    <row r="11" spans="1:24" x14ac:dyDescent="0.35">
      <c r="A11" t="s">
        <v>1</v>
      </c>
      <c r="B11" t="s">
        <v>119</v>
      </c>
      <c r="C11" t="s">
        <v>14</v>
      </c>
      <c r="D11" s="26" t="str" cm="1">
        <f t="array" ref="D11">_xll.FDSB(C11,"FG_YIELD_NAME")</f>
        <v>US Benchmark Bond - 10 Year</v>
      </c>
      <c r="E11" s="26" cm="1">
        <f t="array" ref="E11">IFERROR(_xll.FDS(C11,"FG_YIELD(0,,,,""YTM"")"),$E$18)</f>
        <v>4.2743000000000002</v>
      </c>
      <c r="G11" s="26" cm="1">
        <f t="array" ref="G11">_xll.FDSB(C11,"PCTCHG(FG_YIELD(0,,,,""YTM""),FG_YIELD(-1AM,,,,""YTM""))")</f>
        <v>-1.1859637000000001</v>
      </c>
      <c r="H11" s="26" cm="1">
        <f t="array" ref="H11">_xll.FDSB(C11,"PCTCHG(FG_YIELD(0,,,,""YTM""),FG_YIELD(-3AM,,,,""YTM""))")</f>
        <v>10.065925</v>
      </c>
      <c r="I11" s="26"/>
      <c r="J11" s="26" t="str">
        <f>VLOOKUP(B11,mnemonics!$A$4:$D$78, 4, FALSE)</f>
        <v>REFFFUND-FDS</v>
      </c>
      <c r="K11" s="26" t="str" cm="1">
        <f t="array" ref="K11">_xll.FDSB(J11,"PROPER_NAME(0,,,""SECURITY"",""NAME"")")</f>
        <v>US Federal Funds Target Rate</v>
      </c>
      <c r="L11" s="26" cm="1">
        <f t="array" ref="L11">_xll.FDSB(J11,"FG_YIELD(NOW,,,0)")</f>
        <v>5.5</v>
      </c>
      <c r="M11" s="36" cm="1">
        <f t="array" ref="M11">_xll.FDSB(J11,"(SUBARRAY(NOT_NA(NO_REPEAT_F(FG_YIELD(now,-10AY,D))),0,1)-SUBARRAY(NOT_NA(NO_REPEAT_F(FG_YIELD(now,-10AY,D))),1,1))*100")</f>
        <v>25</v>
      </c>
      <c r="N11" s="38">
        <f t="shared" si="0"/>
        <v>-25</v>
      </c>
      <c r="O11" s="26">
        <f t="shared" si="5"/>
        <v>1.2256999999999998</v>
      </c>
      <c r="S11">
        <f t="shared" si="1"/>
        <v>0</v>
      </c>
      <c r="T11">
        <f t="shared" si="2"/>
        <v>1</v>
      </c>
      <c r="U11">
        <f t="shared" si="3"/>
        <v>0</v>
      </c>
      <c r="V11" s="47">
        <f t="shared" si="4"/>
        <v>0.25</v>
      </c>
      <c r="X11">
        <f t="shared" si="6"/>
        <v>28.499999999999996</v>
      </c>
    </row>
    <row r="12" spans="1:24" x14ac:dyDescent="0.35">
      <c r="A12" t="s">
        <v>865</v>
      </c>
      <c r="B12" t="s">
        <v>106</v>
      </c>
      <c r="C12" t="s">
        <v>133</v>
      </c>
      <c r="D12" s="26" t="str" cm="1">
        <f t="array" ref="D12">_xll.FDSB(C12,"FG_YIELD_NAME")</f>
        <v>France Benchmark Bond - 10 Year</v>
      </c>
      <c r="E12" s="26" cm="1">
        <f t="array" ref="E12">IFERROR(_xll.FDS(C12,"FG_YIELD(0,,,,""YTM"")"),$E$18)</f>
        <v>2.859</v>
      </c>
      <c r="G12" s="26" cm="1">
        <f t="array" ref="G12">_xll.FDSB(C12,"PCTCHG(FG_YIELD(0,,,,""YTM""),FG_YIELD(-1AM,,,,""YTM""))")</f>
        <v>-1.3457569</v>
      </c>
      <c r="H12" s="26" cm="1">
        <f t="array" ref="H12">_xll.FDSB(C12,"PCTCHG(FG_YIELD(0,,,,""YTM""),FG_YIELD(-3AM,,,,""YTM""))")</f>
        <v>15.515154000000001</v>
      </c>
      <c r="I12" s="26"/>
      <c r="J12" s="26" t="str">
        <f>VLOOKUP(B12,mnemonics!$A$4:$D$78, 4, FALSE)</f>
        <v>REFEUREFI-FDS</v>
      </c>
      <c r="K12" s="26" t="str" cm="1">
        <f t="array" ref="K12">_xll.FDSB(J12,"PROPER_NAME(0,,,""SECURITY"",""NAME"")")</f>
        <v>Eurozone Main Refinancing Operations Minimum Bid Rate</v>
      </c>
      <c r="L12" s="26" cm="1">
        <f t="array" ref="L12">_xll.FDSB(J12,"FG_YIELD(NOW,,,0)")</f>
        <v>4.5</v>
      </c>
      <c r="M12" s="36" cm="1">
        <f t="array" ref="M12">_xll.FDSB(J12,"(SUBARRAY(NOT_NA(NO_REPEAT_F(FG_YIELD(now,-10AY,D))),0,1)-SUBARRAY(NOT_NA(NO_REPEAT_F(FG_YIELD(now,-10AY,D))),1,1))*100")</f>
        <v>25</v>
      </c>
      <c r="N12" s="38">
        <f t="shared" si="0"/>
        <v>-25</v>
      </c>
      <c r="O12" s="26">
        <f t="shared" si="5"/>
        <v>1.641</v>
      </c>
      <c r="S12">
        <f t="shared" si="1"/>
        <v>0</v>
      </c>
      <c r="T12">
        <f t="shared" si="2"/>
        <v>1</v>
      </c>
      <c r="U12">
        <f t="shared" si="3"/>
        <v>0</v>
      </c>
      <c r="V12" s="47">
        <f t="shared" si="4"/>
        <v>0.25</v>
      </c>
      <c r="X12">
        <f t="shared" si="6"/>
        <v>28.499999999999996</v>
      </c>
    </row>
    <row r="13" spans="1:24" x14ac:dyDescent="0.35">
      <c r="A13" t="s">
        <v>867</v>
      </c>
      <c r="B13" t="s">
        <v>875</v>
      </c>
      <c r="C13" t="s">
        <v>877</v>
      </c>
      <c r="D13" s="26" t="str" cm="1">
        <f t="array" ref="D13">_xll.FDSB(C13,"FG_YIELD_NAME")</f>
        <v>Netherlands Benchmark Bond - 10 Year</v>
      </c>
      <c r="E13" s="26" cm="1">
        <f t="array" ref="E13">IFERROR(_xll.FDS(C13,"FG_YIELD(0,,,,""YTM"")"),$E$18)</f>
        <v>2.7080000000000002</v>
      </c>
      <c r="G13" s="26" cm="1">
        <f t="array" ref="G13">_xll.FDSB(C13,"PCTCHG(FG_YIELD(0,,,,""YTM""),FG_YIELD(-1AM,,,,""YTM""))")</f>
        <v>-0.80586349999999995</v>
      </c>
      <c r="H13" s="26" cm="1">
        <f t="array" ref="H13">_xll.FDSB(C13,"PCTCHG(FG_YIELD(0,,,,""YTM""),FG_YIELD(-3AM,,,,""YTM""))")</f>
        <v>19.400355999999999</v>
      </c>
      <c r="I13" s="26"/>
      <c r="J13" s="26" t="str">
        <f>VLOOKUP(B13,mnemonics!$A$4:$D$78, 4, FALSE)</f>
        <v>REFEUREFI-FDS</v>
      </c>
      <c r="K13" s="26" t="str" cm="1">
        <f t="array" ref="K13">_xll.FDSB(J13,"PROPER_NAME(0,,,""SECURITY"",""NAME"")")</f>
        <v>Eurozone Main Refinancing Operations Minimum Bid Rate</v>
      </c>
      <c r="L13" s="26" cm="1">
        <f t="array" ref="L13">_xll.FDSB(J13,"FG_YIELD(NOW,,,0)")</f>
        <v>4.5</v>
      </c>
      <c r="M13" s="36" cm="1">
        <f t="array" ref="M13">_xll.FDSB(J13,"(SUBARRAY(NOT_NA(NO_REPEAT_F(FG_YIELD(now,-10AY,D))),0,1)-SUBARRAY(NOT_NA(NO_REPEAT_F(FG_YIELD(now,-10AY,D))),1,1))*100")</f>
        <v>25</v>
      </c>
      <c r="N13" s="38">
        <f t="shared" si="0"/>
        <v>-25</v>
      </c>
      <c r="O13" s="26">
        <f t="shared" si="5"/>
        <v>1.7919999999999998</v>
      </c>
      <c r="S13">
        <f t="shared" si="1"/>
        <v>0</v>
      </c>
      <c r="T13">
        <f t="shared" si="2"/>
        <v>1</v>
      </c>
      <c r="U13">
        <f t="shared" si="3"/>
        <v>0</v>
      </c>
      <c r="V13" s="47">
        <f t="shared" si="4"/>
        <v>0.25</v>
      </c>
      <c r="X13">
        <f t="shared" si="6"/>
        <v>28.499999999999996</v>
      </c>
    </row>
    <row r="14" spans="1:24" x14ac:dyDescent="0.35">
      <c r="A14" t="s">
        <v>864</v>
      </c>
      <c r="B14" t="s">
        <v>272</v>
      </c>
      <c r="C14" t="s">
        <v>878</v>
      </c>
      <c r="D14" s="26" t="str" cm="1">
        <f t="array" ref="D14">_xll.FDSB(C14,"FG_YIELD_NAME")</f>
        <v>Sweden Benchmark Bond - 10 Year</v>
      </c>
      <c r="E14" s="26" cm="1">
        <f t="array" ref="E14">IFERROR(_xll.FDS(C14,"FG_YIELD(0,,,,""YTM"")"),$E$18)</f>
        <v>2.4009999999999998</v>
      </c>
      <c r="G14" s="26" cm="1">
        <f t="array" ref="G14">_xll.FDSB(C14,"PCTCHG(FG_YIELD(0,,,,""YTM""),FG_YIELD(-1AM,,,,""YTM""))")</f>
        <v>-1.3963007000000001</v>
      </c>
      <c r="H14" s="26" cm="1">
        <f t="array" ref="H14">_xll.FDSB(C14,"PCTCHG(FG_YIELD(0,,,,""YTM""),FG_YIELD(-3AM,,,,""YTM""))")</f>
        <v>20.532131</v>
      </c>
      <c r="I14" s="26"/>
      <c r="J14" s="26" t="str">
        <f>VLOOKUP(B14,mnemonics!$A$4:$D$78, 4, FALSE)</f>
        <v>REFSEREPO-FDS</v>
      </c>
      <c r="K14" s="26" t="str" cm="1">
        <f t="array" ref="K14">_xll.FDSB(J14,"PROPER_NAME(0,,,""SECURITY"",""NAME"")")</f>
        <v>Sweden Repo Rate</v>
      </c>
      <c r="L14" s="26" cm="1">
        <f t="array" ref="L14">_xll.FDSB(J14,"FG_YIELD(NOW,,,0)")</f>
        <v>4</v>
      </c>
      <c r="M14" s="36" cm="1">
        <f t="array" ref="M14">_xll.FDSB(J14,"(SUBARRAY(NOT_NA(NO_REPEAT_F(FG_YIELD(now,-10AY,D))),0,1)-SUBARRAY(NOT_NA(NO_REPEAT_F(FG_YIELD(now,-10AY,D))),1,1))*100")</f>
        <v>25</v>
      </c>
      <c r="N14" s="38">
        <f t="shared" si="0"/>
        <v>-25</v>
      </c>
      <c r="O14" s="26">
        <f t="shared" si="5"/>
        <v>1.5990000000000002</v>
      </c>
      <c r="S14">
        <f t="shared" si="1"/>
        <v>0</v>
      </c>
      <c r="T14">
        <f t="shared" si="2"/>
        <v>1</v>
      </c>
      <c r="U14">
        <f t="shared" si="3"/>
        <v>0</v>
      </c>
      <c r="V14" s="47">
        <f t="shared" si="4"/>
        <v>0.25</v>
      </c>
      <c r="X14">
        <f t="shared" si="6"/>
        <v>28.499999999999996</v>
      </c>
    </row>
    <row r="15" spans="1:24" x14ac:dyDescent="0.35">
      <c r="A15" t="s">
        <v>866</v>
      </c>
      <c r="B15" t="s">
        <v>876</v>
      </c>
      <c r="C15" t="s">
        <v>879</v>
      </c>
      <c r="D15" s="26" t="str" cm="1">
        <f t="array" ref="D15">_xll.FDSB(C15,"FG_YIELD_NAME")</f>
        <v>Italy Benchmark Bond - 10 Year</v>
      </c>
      <c r="E15" s="26" cm="1">
        <f t="array" ref="E15">IFERROR(_xll.FDS(C15,"FG_YIELD(0,,,,""YTM"")"),$E$18)</f>
        <v>3.6789999999999998</v>
      </c>
      <c r="G15" s="26" cm="1">
        <f t="array" ref="G15">_xll.FDSB(C15,"PCTCHG(FG_YIELD(0,,,,""YTM""),FG_YIELD(-1AM,,,,""YTM""))")</f>
        <v>-5.9079328000000002</v>
      </c>
      <c r="H15" s="26" cm="1">
        <f t="array" ref="H15">_xll.FDSB(C15,"PCTCHG(FG_YIELD(0,,,,""YTM""),FG_YIELD(-3AM,,,,""YTM""))")</f>
        <v>2.4505658000000001</v>
      </c>
      <c r="I15" s="26"/>
      <c r="J15" s="26" t="str">
        <f>VLOOKUP(B15,mnemonics!$A$4:$D$78,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4.5</v>
      </c>
      <c r="M15" s="36" cm="1">
        <f t="array" ref="M15">_xll.FDSB(J15,"(SUBARRAY(NOT_NA(NO_REPEAT_F(FG_YIELD(now,-10AY,D))),0,1)-SUBARRAY(NOT_NA(NO_REPEAT_F(FG_YIELD(now,-10AY,D))),1,1))*100")</f>
        <v>25</v>
      </c>
      <c r="N15" s="38">
        <f t="shared" si="0"/>
        <v>-25</v>
      </c>
      <c r="O15" s="26">
        <f t="shared" si="5"/>
        <v>0.82100000000000017</v>
      </c>
      <c r="S15">
        <f t="shared" si="1"/>
        <v>0</v>
      </c>
      <c r="T15">
        <f t="shared" si="2"/>
        <v>1</v>
      </c>
      <c r="U15">
        <f t="shared" si="3"/>
        <v>0</v>
      </c>
      <c r="V15" s="47">
        <f t="shared" si="4"/>
        <v>0.25</v>
      </c>
      <c r="X15">
        <f t="shared" si="6"/>
        <v>28.499999999999996</v>
      </c>
    </row>
    <row r="16" spans="1:24" x14ac:dyDescent="0.35">
      <c r="D16" s="26"/>
      <c r="E16" s="26"/>
      <c r="G16" s="26"/>
      <c r="H16" s="26"/>
      <c r="J16" s="26"/>
      <c r="K16" s="26"/>
      <c r="L16" s="26"/>
      <c r="M16" s="36"/>
      <c r="N16" s="38"/>
      <c r="V16" s="50"/>
    </row>
    <row r="17" spans="1:22" x14ac:dyDescent="0.35">
      <c r="D17" s="26"/>
      <c r="E17" s="26"/>
      <c r="G17" s="26"/>
      <c r="H17" s="26"/>
      <c r="J17" s="26"/>
      <c r="K17" s="26"/>
      <c r="L17" s="26"/>
      <c r="M17" s="36"/>
      <c r="N17" s="38"/>
      <c r="V17" s="50"/>
    </row>
    <row r="18" spans="1:22" x14ac:dyDescent="0.35">
      <c r="A18" t="s">
        <v>1</v>
      </c>
      <c r="B18" t="s">
        <v>119</v>
      </c>
      <c r="C18" t="s">
        <v>14</v>
      </c>
      <c r="D18" s="26" t="str" cm="1">
        <f t="array" ref="D18">_xll.FDSB(C18,"FG_YIELD_NAME")</f>
        <v>US Benchmark Bond - 10 Year</v>
      </c>
      <c r="E18" s="26" cm="1">
        <f t="array" ref="E18">IFERROR(_xll.FDS(C18,"FG_YIELD(0,,,,""YTM"")"),E47)</f>
        <v>4.2743000000000002</v>
      </c>
      <c r="G18" s="26"/>
      <c r="H18" s="26"/>
      <c r="J18" s="26"/>
      <c r="K18" s="26"/>
      <c r="L18" s="26"/>
      <c r="M18" s="36"/>
      <c r="N18" s="38"/>
      <c r="V18" s="50"/>
    </row>
    <row r="19" spans="1:22" x14ac:dyDescent="0.35">
      <c r="D19" s="26"/>
      <c r="E19" s="26"/>
      <c r="G19" s="26"/>
      <c r="H19" s="26"/>
      <c r="J19" s="26"/>
      <c r="K19" s="26"/>
      <c r="L19" s="26"/>
      <c r="M19" s="36"/>
      <c r="N19" s="38"/>
      <c r="V19" s="50"/>
    </row>
    <row r="20" spans="1:22" x14ac:dyDescent="0.35">
      <c r="D20" s="26"/>
      <c r="E20" s="26"/>
      <c r="G20" s="26"/>
      <c r="H20" s="26"/>
      <c r="J20" s="26"/>
      <c r="K20" s="26"/>
      <c r="L20" s="26"/>
      <c r="M20" s="36"/>
      <c r="N20" s="38"/>
      <c r="V20" s="50"/>
    </row>
    <row r="21" spans="1:22" x14ac:dyDescent="0.35">
      <c r="D21" s="26"/>
      <c r="E21" s="26"/>
      <c r="G21" s="26"/>
      <c r="H21" s="26"/>
      <c r="J21" s="26"/>
      <c r="K21" s="26"/>
      <c r="L21" s="26"/>
      <c r="M21" s="36"/>
      <c r="N21" s="38"/>
      <c r="V21" s="50"/>
    </row>
    <row r="22" spans="1:22" x14ac:dyDescent="0.35">
      <c r="D22" s="26"/>
      <c r="E22" s="26"/>
      <c r="G22" s="26"/>
      <c r="H22" s="26"/>
      <c r="J22" s="26"/>
      <c r="K22" s="26"/>
      <c r="L22" s="26"/>
      <c r="M22" s="36"/>
      <c r="N22" s="38"/>
      <c r="V22" s="50"/>
    </row>
    <row r="27" spans="1:22" ht="18.5" x14ac:dyDescent="0.45">
      <c r="A27" s="34"/>
      <c r="B27" s="35"/>
      <c r="C27" s="35"/>
      <c r="D27" s="35"/>
      <c r="E27" s="35"/>
      <c r="F27" s="35"/>
      <c r="G27" s="35"/>
      <c r="H27" s="35"/>
    </row>
    <row r="34" spans="3:6" x14ac:dyDescent="0.35">
      <c r="C34" s="1"/>
      <c r="D34" s="1"/>
      <c r="E34" s="1"/>
      <c r="F34" s="1"/>
    </row>
    <row r="35" spans="3:6" x14ac:dyDescent="0.35">
      <c r="C35" s="1"/>
      <c r="D35" s="1"/>
      <c r="E35" s="1"/>
      <c r="F35" s="1"/>
    </row>
    <row r="36" spans="3:6" x14ac:dyDescent="0.35">
      <c r="C36" s="1"/>
      <c r="D36" s="1"/>
      <c r="E36" s="1"/>
      <c r="F36" s="1"/>
    </row>
    <row r="55" spans="3:6" x14ac:dyDescent="0.35">
      <c r="C55" s="1"/>
      <c r="D55" s="1"/>
      <c r="E55" s="1"/>
      <c r="F55" s="1"/>
    </row>
    <row r="71" spans="4:6" x14ac:dyDescent="0.35">
      <c r="D71" s="1"/>
      <c r="E71" s="1"/>
      <c r="F71" s="1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N3:N22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14"/>
  <sheetViews>
    <sheetView workbookViewId="0">
      <selection activeCell="A2" sqref="A2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0.453125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4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2" t="s">
        <v>531</v>
      </c>
      <c r="B1" s="72" t="s">
        <v>518</v>
      </c>
      <c r="C1" s="72" t="s">
        <v>519</v>
      </c>
      <c r="D1" s="72" t="s">
        <v>96</v>
      </c>
      <c r="E1" s="72" t="s">
        <v>97</v>
      </c>
      <c r="F1" s="72" t="s">
        <v>98</v>
      </c>
      <c r="G1" s="75" t="s">
        <v>380</v>
      </c>
      <c r="H1" s="75" t="s">
        <v>408</v>
      </c>
      <c r="I1" s="75" t="s">
        <v>529</v>
      </c>
      <c r="J1" s="75" t="s">
        <v>532</v>
      </c>
      <c r="K1" s="76" t="s">
        <v>735</v>
      </c>
      <c r="L1" s="75" t="s">
        <v>528</v>
      </c>
      <c r="M1" s="75" t="s">
        <v>540</v>
      </c>
      <c r="N1" s="72" t="s">
        <v>733</v>
      </c>
      <c r="O1" s="72" t="s">
        <v>734</v>
      </c>
      <c r="P1" s="72" t="s">
        <v>736</v>
      </c>
      <c r="Q1" s="72" t="s">
        <v>533</v>
      </c>
      <c r="R1" s="72" t="s">
        <v>534</v>
      </c>
      <c r="S1" s="72" t="s">
        <v>542</v>
      </c>
    </row>
    <row r="2" spans="1:19" x14ac:dyDescent="0.35">
      <c r="A2" t="s">
        <v>431</v>
      </c>
      <c r="B2" t="s">
        <v>431</v>
      </c>
      <c r="C2" t="str" cm="1">
        <f t="array" ref="C2">_xll.FDS(B2,"FG_COMPANY_NAME")</f>
        <v>iShares MSCI New Zealand ETF</v>
      </c>
      <c r="D2" t="s">
        <v>197</v>
      </c>
      <c r="E2" t="s">
        <v>449</v>
      </c>
      <c r="F2" t="str" cm="1">
        <f t="array" ref="F2">_xll.FDS(E2,"FG_YIELD_NAME")</f>
        <v>New Zealand Benchmark Bond - 10 Year</v>
      </c>
      <c r="G2">
        <f>VLOOKUP(A2,'LIQIDITY 2'!$A$3:$E$15,5,FALSE)</f>
        <v>4.5852000000000004</v>
      </c>
      <c r="H2" cm="1">
        <f t="array" ref="H2">_xll.FDS(B2,"FG_ROE(0)")</f>
        <v>5.5528526938547298</v>
      </c>
      <c r="I2">
        <f>HLOOKUP(B2,'Index ROE'!$B$1:$N$25,24,FALSE)</f>
        <v>9.8238973987983247</v>
      </c>
      <c r="J2" cm="1">
        <f t="array" ref="J2">_xll.FDS(B2, "FMA_RBICS_REV_CURRENT(30, LOC, ""PORTAGG"")")</f>
        <v>13.7517044499309</v>
      </c>
      <c r="K2" s="74">
        <f>HLOOKUP(B2,'Index earnings'!$B$1:$N$25,25,FALSE)</f>
        <v>-9.3828148339384354E-3</v>
      </c>
      <c r="L2">
        <f>HLOOKUP(A2,'Yearly returns'!$B$1:$N$128,126,FALSE)</f>
        <v>-33.132182999999998</v>
      </c>
      <c r="M2">
        <f t="shared" ref="M2:M10" si="0">I2-G2</f>
        <v>5.2386973987983243</v>
      </c>
      <c r="N2" cm="1">
        <f t="array" ref="N2">_xlfn.PERCENTRANK.EXC(_xlfn._xlws.FILTER(M$2:M$14, ISNUMBER(M$2:M$14)),M2)*100</f>
        <v>7.1</v>
      </c>
      <c r="O2" cm="1">
        <f t="array" ref="O2">(1-_xlfn.PERCENTRANK.EXC(_xlfn._xlws.FILTER(J$2:J$14, ISNUMBER(J$2:J$14)),J2))*100</f>
        <v>71.500000000000014</v>
      </c>
      <c r="P2" cm="1">
        <f t="array" ref="P2">_xlfn.PERCENTRANK.EXC(_xlfn._xlws.FILTER(K$2:K$14, ISNUMBER(K$2:K$14)),K2)*100</f>
        <v>7.1</v>
      </c>
      <c r="Q2" cm="1">
        <f t="array" ref="Q2">_xlfn.PERCENTRANK.EXC(_xlfn._xlws.FILTER(L$2:L$14, ISNUMBER(L$2:L$14)),L2)*100</f>
        <v>42.8</v>
      </c>
      <c r="R2">
        <f>N2*Assumption!$F$64 + O2*Assumption!$F$61 + P2*Assumption!$F$62 + Q2*Assumption!$F$63</f>
        <v>32.125</v>
      </c>
      <c r="S2" cm="1">
        <f t="array" ref="S2">_xlfn.PERCENTRANK.EXC(_xlfn._xlws.FILTER(R$2:R$14, ISNUMBER(R$2:R$14)),R2)*100</f>
        <v>21.4</v>
      </c>
    </row>
    <row r="3" spans="1:19" x14ac:dyDescent="0.35">
      <c r="A3" t="s">
        <v>44</v>
      </c>
      <c r="B3" t="s">
        <v>44</v>
      </c>
      <c r="C3" t="str" cm="1">
        <f t="array" ref="C3">_xll.FDS(B3,"FG_COMPANY_NAME")</f>
        <v>iShares MSCI Australia ETF</v>
      </c>
      <c r="D3" t="s">
        <v>113</v>
      </c>
      <c r="E3" t="s">
        <v>138</v>
      </c>
      <c r="F3" t="str" cm="1">
        <f t="array" ref="F3">_xll.FDS(E3,"FG_YIELD_NAME")</f>
        <v>Australia Benchmark Bond - 10 Year</v>
      </c>
      <c r="G3">
        <f>VLOOKUP(A3,'LIQIDITY 2'!$A$3:$E$15,5,FALSE)</f>
        <v>4.0910000000000002</v>
      </c>
      <c r="H3" cm="1">
        <f t="array" ref="H3">_xll.FDS(B3,"FG_ROE(0)")</f>
        <v>12.894826753035</v>
      </c>
      <c r="I3">
        <f>HLOOKUP(B3,'Index ROE'!$B$1:$N$25,24,FALSE)</f>
        <v>13.020733299173699</v>
      </c>
      <c r="J3" cm="1">
        <f t="array" ref="J3">_xll.FDS(B3, "FMA_RBICS_REV_CURRENT(30, LOC, ""PORTAGG"")")</f>
        <v>40.715109646394801</v>
      </c>
      <c r="K3" s="74">
        <f>HLOOKUP(B3,'Index earnings'!$B$1:$N$25,25,FALSE)</f>
        <v>1.1173841089814562E-2</v>
      </c>
      <c r="L3">
        <f>HLOOKUP(A3,'Yearly returns'!$B$1:$N$128,126,FALSE)</f>
        <v>-35.075560000000003</v>
      </c>
      <c r="M3">
        <f t="shared" si="0"/>
        <v>8.929733299173698</v>
      </c>
      <c r="N3" cm="1">
        <f t="array" ref="N3">_xlfn.PERCENTRANK.EXC(_xlfn._xlws.FILTER(M$2:M$14, ISNUMBER(M$2:M$14)),M3)*100</f>
        <v>35.699999999999996</v>
      </c>
      <c r="O3" cm="1">
        <f t="array" ref="O3">(1-_xlfn.PERCENTRANK.EXC(_xlfn._xlws.FILTER(J$2:J$14, ISNUMBER(J$2:J$14)),J3))*100</f>
        <v>14.3</v>
      </c>
      <c r="P3" cm="1">
        <f t="array" ref="P3">_xlfn.PERCENTRANK.EXC(_xlfn._xlws.FILTER(K$2:K$14, ISNUMBER(K$2:K$14)),K3)*100</f>
        <v>28.499999999999996</v>
      </c>
      <c r="Q3" cm="1">
        <f t="array" ref="Q3">_xlfn.PERCENTRANK.EXC(_xlfn._xlws.FILTER(L$2:L$14, ISNUMBER(L$2:L$14)),L3)*100</f>
        <v>35.699999999999996</v>
      </c>
      <c r="R3">
        <f>N3*Assumption!$F$64 + O3*Assumption!$F$61 + P3*Assumption!$F$62 + Q3*Assumption!$F$63</f>
        <v>28.549999999999997</v>
      </c>
      <c r="S3" cm="1">
        <f t="array" ref="S3">_xlfn.PERCENTRANK.EXC(_xlfn._xlws.FILTER(R$2:R$14, ISNUMBER(R$2:R$14)),R3)*100</f>
        <v>14.2</v>
      </c>
    </row>
    <row r="4" spans="1:19" x14ac:dyDescent="0.35">
      <c r="A4" t="s">
        <v>49</v>
      </c>
      <c r="B4" t="s">
        <v>49</v>
      </c>
      <c r="C4" t="str" cm="1">
        <f t="array" ref="C4">_xll.FDS(B4,"FG_COMPANY_NAME")</f>
        <v>iShares MSCI Canada ETF</v>
      </c>
      <c r="D4" t="s">
        <v>116</v>
      </c>
      <c r="E4" t="s">
        <v>142</v>
      </c>
      <c r="F4" t="str" cm="1">
        <f t="array" ref="F4">_xll.FDS(E4,"FG_YIELD_NAME")</f>
        <v>Canada Benchmark Bond - 10 Year</v>
      </c>
      <c r="G4">
        <f>VLOOKUP(A4,'LIQIDITY 2'!$A$3:$E$15,5,FALSE)</f>
        <v>3.5122</v>
      </c>
      <c r="H4" cm="1">
        <f t="array" ref="H4">_xll.FDS(B4,"FG_ROE(0)")</f>
        <v>11.363791469946401</v>
      </c>
      <c r="I4">
        <f>HLOOKUP(B4,'Index ROE'!$B$1:$N$25,24,FALSE)</f>
        <v>12.7516875895064</v>
      </c>
      <c r="J4" cm="1">
        <f t="array" ref="J4">_xll.FDS(B4, "FMA_RBICS_REV_CURRENT(30, LOC, ""PORTAGG"")")</f>
        <v>40.919830747367499</v>
      </c>
      <c r="K4" s="74">
        <f>HLOOKUP(B4,'Index earnings'!$B$1:$N$25,25,FALSE)</f>
        <v>4.0909866878857226E-2</v>
      </c>
      <c r="L4">
        <f>HLOOKUP(A4,'Yearly returns'!$B$1:$N$128,126,FALSE)</f>
        <v>-31.267834000000001</v>
      </c>
      <c r="M4">
        <f t="shared" si="0"/>
        <v>9.2394875895063997</v>
      </c>
      <c r="N4" cm="1">
        <f t="array" ref="N4">_xlfn.PERCENTRANK.EXC(_xlfn._xlws.FILTER(M$2:M$14, ISNUMBER(M$2:M$14)),M4)*100</f>
        <v>42.8</v>
      </c>
      <c r="O4" cm="1">
        <f t="array" ref="O4">(1-_xlfn.PERCENTRANK.EXC(_xlfn._xlws.FILTER(J$2:J$14, ISNUMBER(J$2:J$14)),J4))*100</f>
        <v>7.1999999999999957</v>
      </c>
      <c r="P4" cm="1">
        <f t="array" ref="P4">_xlfn.PERCENTRANK.EXC(_xlfn._xlws.FILTER(K$2:K$14, ISNUMBER(K$2:K$14)),K4)*100</f>
        <v>71.399999999999991</v>
      </c>
      <c r="Q4" cm="1">
        <f t="array" ref="Q4">_xlfn.PERCENTRANK.EXC(_xlfn._xlws.FILTER(L$2:L$14, ISNUMBER(L$2:L$14)),L4)*100</f>
        <v>57.099999999999994</v>
      </c>
      <c r="R4">
        <f>N4*Assumption!$F$64 + O4*Assumption!$F$61 + P4*Assumption!$F$62 + Q4*Assumption!$F$63</f>
        <v>44.624999999999993</v>
      </c>
      <c r="S4" cm="1">
        <f t="array" ref="S4">_xlfn.PERCENTRANK.EXC(_xlfn._xlws.FILTER(R$2:R$14, ISNUMBER(R$2:R$14)),R4)*100</f>
        <v>42.8</v>
      </c>
    </row>
    <row r="5" spans="1:19" x14ac:dyDescent="0.35">
      <c r="A5" t="s">
        <v>11</v>
      </c>
      <c r="B5" t="s">
        <v>11</v>
      </c>
      <c r="C5" t="str" cm="1">
        <f t="array" ref="C5">_xll.FDS(B5,"FG_COMPANY_NAME")</f>
        <v>iShares MSCI Germany ETF</v>
      </c>
      <c r="D5" t="s">
        <v>102</v>
      </c>
      <c r="E5" t="s">
        <v>19</v>
      </c>
      <c r="F5" t="str" cm="1">
        <f t="array" ref="F5">_xll.FDS(E5,"FG_YIELD_NAME")</f>
        <v>Germany Benchmark Bond - 10 Year</v>
      </c>
      <c r="G5">
        <f>VLOOKUP(A5,'LIQIDITY 2'!$A$3:$E$15,5,FALSE)</f>
        <v>2.4159999999999999</v>
      </c>
      <c r="H5" cm="1">
        <f t="array" ref="H5">_xll.FDS(B5,"FG_ROE(0)")</f>
        <v>12.3288954686977</v>
      </c>
      <c r="I5">
        <f>HLOOKUP(B5,'Index ROE'!$B$1:$N$25,24,FALSE)</f>
        <v>11.98466060872375</v>
      </c>
      <c r="J5" cm="1">
        <f t="array" ref="J5">_xll.FDS(B5, "FMA_RBICS_REV_CURRENT(30, LOC, ""PORTAGG"")")</f>
        <v>22.665656730961999</v>
      </c>
      <c r="K5" s="74">
        <f>HLOOKUP(B5,'Index earnings'!$B$1:$N$25,25,FALSE)</f>
        <v>2.829167218053974E-2</v>
      </c>
      <c r="L5">
        <f>HLOOKUP(A5,'Yearly returns'!$B$1:$N$128,126,FALSE)</f>
        <v>-35.099125000000001</v>
      </c>
      <c r="M5">
        <f t="shared" si="0"/>
        <v>9.56866060872375</v>
      </c>
      <c r="N5" cm="1">
        <f t="array" ref="N5">_xlfn.PERCENTRANK.EXC(_xlfn._xlws.FILTER(M$2:M$14, ISNUMBER(M$2:M$14)),M5)*100</f>
        <v>50</v>
      </c>
      <c r="O5" cm="1">
        <f t="array" ref="O5">(1-_xlfn.PERCENTRANK.EXC(_xlfn._xlws.FILTER(J$2:J$14, ISNUMBER(J$2:J$14)),J5))*100</f>
        <v>42.900000000000006</v>
      </c>
      <c r="P5" cm="1">
        <f t="array" ref="P5">_xlfn.PERCENTRANK.EXC(_xlfn._xlws.FILTER(K$2:K$14, ISNUMBER(K$2:K$14)),K5)*100</f>
        <v>57.099999999999994</v>
      </c>
      <c r="Q5" cm="1">
        <f t="array" ref="Q5">_xlfn.PERCENTRANK.EXC(_xlfn._xlws.FILTER(L$2:L$14, ISNUMBER(L$2:L$14)),L5)*100</f>
        <v>28.499999999999996</v>
      </c>
      <c r="R5">
        <f>N5*Assumption!$F$64 + O5*Assumption!$F$61 + P5*Assumption!$F$62 + Q5*Assumption!$F$63</f>
        <v>44.625</v>
      </c>
      <c r="S5" cm="1">
        <f t="array" ref="S5">_xlfn.PERCENTRANK.EXC(_xlfn._xlws.FILTER(R$2:R$14, ISNUMBER(R$2:R$14)),R5)*100</f>
        <v>50</v>
      </c>
    </row>
    <row r="6" spans="1:19" x14ac:dyDescent="0.35">
      <c r="A6" t="s">
        <v>46</v>
      </c>
      <c r="B6" t="s">
        <v>46</v>
      </c>
      <c r="C6" t="str" cm="1">
        <f t="array" ref="C6">_xll.FDS(B6,"FG_COMPANY_NAME")</f>
        <v>iShares MSCI Japan ETF</v>
      </c>
      <c r="D6" t="s">
        <v>114</v>
      </c>
      <c r="E6" t="s">
        <v>139</v>
      </c>
      <c r="F6" t="str" cm="1">
        <f t="array" ref="F6">_xll.FDS(E6,"FG_YIELD_NAME")</f>
        <v>Japan Benchmark Bond - 10 Year</v>
      </c>
      <c r="G6">
        <f>VLOOKUP(A6,'LIQIDITY 2'!$A$3:$E$15,5,FALSE)</f>
        <v>0.7349</v>
      </c>
      <c r="H6" cm="1">
        <f t="array" ref="H6">_xll.FDS(B6,"FG_ROE(0)")</f>
        <v>9.8241045946934094</v>
      </c>
      <c r="I6">
        <f>HLOOKUP(B6,'Index ROE'!$B$1:$N$25,24,FALSE)</f>
        <v>8.994618118763011</v>
      </c>
      <c r="J6" cm="1">
        <f t="array" ref="J6">_xll.FDS(B6, "FMA_RBICS_REV_CURRENT(30, LOC, ""PORTAGG"")")</f>
        <v>17.709190961877798</v>
      </c>
      <c r="K6" s="74">
        <f>HLOOKUP(B6,'Index earnings'!$B$1:$N$25,25,FALSE)</f>
        <v>2.4097091687938166E-2</v>
      </c>
      <c r="L6">
        <f>HLOOKUP(A6,'Yearly returns'!$B$1:$N$128,126,FALSE)</f>
        <v>-28.998816000000001</v>
      </c>
      <c r="M6">
        <f t="shared" si="0"/>
        <v>8.2597181187630113</v>
      </c>
      <c r="N6" cm="1">
        <f t="array" ref="N6">_xlfn.PERCENTRANK.EXC(_xlfn._xlws.FILTER(M$2:M$14, ISNUMBER(M$2:M$14)),M6)*100</f>
        <v>21.4</v>
      </c>
      <c r="O6" cm="1">
        <f t="array" ref="O6">(1-_xlfn.PERCENTRANK.EXC(_xlfn._xlws.FILTER(J$2:J$14, ISNUMBER(J$2:J$14)),J6))*100</f>
        <v>64.3</v>
      </c>
      <c r="P6" cm="1">
        <f t="array" ref="P6">_xlfn.PERCENTRANK.EXC(_xlfn._xlws.FILTER(K$2:K$14, ISNUMBER(K$2:K$14)),K6)*100</f>
        <v>42.8</v>
      </c>
      <c r="Q6" cm="1">
        <f t="array" ref="Q6">_xlfn.PERCENTRANK.EXC(_xlfn._xlws.FILTER(L$2:L$14, ISNUMBER(L$2:L$14)),L6)*100</f>
        <v>78.5</v>
      </c>
      <c r="R6">
        <f>N6*Assumption!$F$64 + O6*Assumption!$F$61 + P6*Assumption!$F$62 + Q6*Assumption!$F$63</f>
        <v>51.75</v>
      </c>
      <c r="S6" cm="1">
        <f t="array" ref="S6">_xlfn.PERCENTRANK.EXC(_xlfn._xlws.FILTER(R$2:R$14, ISNUMBER(R$2:R$14)),R6)*100</f>
        <v>64.2</v>
      </c>
    </row>
    <row r="7" spans="1:19" x14ac:dyDescent="0.35">
      <c r="A7" t="s">
        <v>42</v>
      </c>
      <c r="B7" t="s">
        <v>42</v>
      </c>
      <c r="C7" t="str" cm="1">
        <f t="array" ref="C7">_xll.FDS(B7,"FG_COMPANY_NAME")</f>
        <v>iShares MSCI Switzerland ETF</v>
      </c>
      <c r="D7" t="s">
        <v>110</v>
      </c>
      <c r="E7" t="s">
        <v>135</v>
      </c>
      <c r="F7" t="str" cm="1">
        <f t="array" ref="F7">_xll.FDS(E7,"FG_YIELD_NAME")</f>
        <v>Treasury - Switzerland Benchmark Bond 10Y</v>
      </c>
      <c r="G7">
        <f>VLOOKUP(A7,'LIQIDITY 2'!$A$3:$E$15,5,FALSE)</f>
        <v>0.65700000000000003</v>
      </c>
      <c r="H7" cm="1">
        <f t="array" ref="H7">_xll.FDS(B7,"FG_ROE(0)")</f>
        <v>24.826296360306198</v>
      </c>
      <c r="I7">
        <f>HLOOKUP(B7,'Index ROE'!$B$1:$N$25,24,FALSE)</f>
        <v>15.55096443559315</v>
      </c>
      <c r="J7" cm="1">
        <f t="array" ref="J7">_xll.FDS(B7, "FMA_RBICS_REV_CURRENT(30, LOC, ""PORTAGG"")")</f>
        <v>18.538187285443701</v>
      </c>
      <c r="K7" s="74">
        <f>HLOOKUP(B7,'Index earnings'!$B$1:$N$25,25,FALSE)</f>
        <v>4.6608631187242899E-2</v>
      </c>
      <c r="L7">
        <f>HLOOKUP(A7,'Yearly returns'!$B$1:$N$128,126,FALSE)</f>
        <v>-20.911532999999999</v>
      </c>
      <c r="M7">
        <f t="shared" si="0"/>
        <v>14.89396443559315</v>
      </c>
      <c r="N7" cm="1">
        <f t="array" ref="N7">_xlfn.PERCENTRANK.EXC(_xlfn._xlws.FILTER(M$2:M$14, ISNUMBER(M$2:M$14)),M7)*100</f>
        <v>85.7</v>
      </c>
      <c r="O7" cm="1">
        <f t="array" ref="O7">(1-_xlfn.PERCENTRANK.EXC(_xlfn._xlws.FILTER(J$2:J$14, ISNUMBER(J$2:J$14)),J7))*100</f>
        <v>50</v>
      </c>
      <c r="P7" cm="1">
        <f t="array" ref="P7">_xlfn.PERCENTRANK.EXC(_xlfn._xlws.FILTER(K$2:K$14, ISNUMBER(K$2:K$14)),K7)*100</f>
        <v>78.5</v>
      </c>
      <c r="Q7" cm="1">
        <f t="array" ref="Q7">_xlfn.PERCENTRANK.EXC(_xlfn._xlws.FILTER(L$2:L$14, ISNUMBER(L$2:L$14)),L7)*100</f>
        <v>85.7</v>
      </c>
      <c r="R7">
        <f>N7*Assumption!$F$64 + O7*Assumption!$F$61 + P7*Assumption!$F$62 + Q7*Assumption!$F$63</f>
        <v>74.974999999999994</v>
      </c>
      <c r="S7" cm="1">
        <f t="array" ref="S7">_xlfn.PERCENTRANK.EXC(_xlfn._xlws.FILTER(R$2:R$14, ISNUMBER(R$2:R$14)),R7)*100</f>
        <v>78.5</v>
      </c>
    </row>
    <row r="8" spans="1:19" x14ac:dyDescent="0.35">
      <c r="A8" t="s">
        <v>48</v>
      </c>
      <c r="B8" t="s">
        <v>48</v>
      </c>
      <c r="C8" t="str" cm="1">
        <f t="array" ref="C8">_xll.FDS(B8,"FG_COMPANY_NAME")</f>
        <v>iShares MSCI United Kingdom ETF</v>
      </c>
      <c r="D8" t="s">
        <v>115</v>
      </c>
      <c r="E8" t="s">
        <v>141</v>
      </c>
      <c r="F8" t="str" cm="1">
        <f t="array" ref="F8">_xll.FDS(E8,"FG_YIELD_NAME")</f>
        <v>United Kingdom Benchmark Bond - 10 Year</v>
      </c>
      <c r="G8">
        <f>VLOOKUP(A8,'LIQIDITY 2'!$A$3:$E$15,5,FALSE)</f>
        <v>4.1050000000000004</v>
      </c>
      <c r="H8" cm="1">
        <f t="array" ref="H8">_xll.FDS(B8,"FG_ROE(0)")</f>
        <v>16.871836407329599</v>
      </c>
      <c r="I8">
        <f>HLOOKUP(B8,'Index ROE'!$B$1:$N$25,24,FALSE)</f>
        <v>14.561964916400001</v>
      </c>
      <c r="J8" cm="1">
        <f t="array" ref="J8">_xll.FDS(B8, "FMA_RBICS_REV_CURRENT(30, LOC, ""PORTAGG"")")</f>
        <v>17.713937164803198</v>
      </c>
      <c r="K8" s="74">
        <f>HLOOKUP(B8,'Index earnings'!$B$1:$N$25,25,FALSE)</f>
        <v>3.7532801015660588E-3</v>
      </c>
      <c r="L8">
        <f>HLOOKUP(A8,'Yearly returns'!$B$1:$N$128,126,FALSE)</f>
        <v>-37.581949999999999</v>
      </c>
      <c r="M8">
        <f t="shared" si="0"/>
        <v>10.4569649164</v>
      </c>
      <c r="N8" cm="1">
        <f t="array" ref="N8">_xlfn.PERCENTRANK.EXC(_xlfn._xlws.FILTER(M$2:M$14, ISNUMBER(M$2:M$14)),M8)*100</f>
        <v>64.2</v>
      </c>
      <c r="O8" cm="1">
        <f t="array" ref="O8">(1-_xlfn.PERCENTRANK.EXC(_xlfn._xlws.FILTER(J$2:J$14, ISNUMBER(J$2:J$14)),J8))*100</f>
        <v>57.2</v>
      </c>
      <c r="P8" cm="1">
        <f t="array" ref="P8">_xlfn.PERCENTRANK.EXC(_xlfn._xlws.FILTER(K$2:K$14, ISNUMBER(K$2:K$14)),K8)*100</f>
        <v>14.2</v>
      </c>
      <c r="Q8" cm="1">
        <f t="array" ref="Q8">_xlfn.PERCENTRANK.EXC(_xlfn._xlws.FILTER(L$2:L$14, ISNUMBER(L$2:L$14)),L8)*100</f>
        <v>7.1</v>
      </c>
      <c r="R8">
        <f>N8*Assumption!$F$64 + O8*Assumption!$F$61 + P8*Assumption!$F$62 + Q8*Assumption!$F$63</f>
        <v>35.674999999999997</v>
      </c>
      <c r="S8" cm="1">
        <f t="array" ref="S8">_xlfn.PERCENTRANK.EXC(_xlfn._xlws.FILTER(R$2:R$14, ISNUMBER(R$2:R$14)),R8)*100</f>
        <v>28.499999999999996</v>
      </c>
    </row>
    <row r="9" spans="1:19" x14ac:dyDescent="0.35">
      <c r="A9" t="s">
        <v>51</v>
      </c>
      <c r="B9" t="s">
        <v>51</v>
      </c>
      <c r="C9" t="str" cm="1">
        <f t="array" ref="C9">_xll.FDS(B9,"FG_COMPANY_NAME")</f>
        <v>Invesco QQQ Trust Series I</v>
      </c>
      <c r="D9" t="s">
        <v>119</v>
      </c>
      <c r="E9" t="s">
        <v>14</v>
      </c>
      <c r="F9" t="str" cm="1">
        <f t="array" ref="F9">_xll.FDS(E9,"FG_YIELD_NAME")</f>
        <v>US Benchmark Bond - 10 Year</v>
      </c>
      <c r="G9">
        <f>VLOOKUP(A9,'LIQIDITY 2'!$A$3:$E$15,5,FALSE)</f>
        <v>4.2743000000000002</v>
      </c>
      <c r="H9" cm="1">
        <f t="array" ref="H9">_xll.FDS(B9,"FG_ROE(0)")</f>
        <v>21.551641039939199</v>
      </c>
      <c r="I9">
        <f>HLOOKUP(B9,'Index ROE'!$B$1:$N$25,24,FALSE)</f>
        <v>21.036882269896502</v>
      </c>
      <c r="J9" cm="1">
        <f t="array" ref="J9">_xll.FDS(B9, "FMA_RBICS_REV_CURRENT(30, LOC, ""PORTAGG"")")</f>
        <v>0.86103906844516198</v>
      </c>
      <c r="K9" s="74">
        <f>HLOOKUP(B9,'Index earnings'!$B$1:$N$25,25,FALSE)</f>
        <v>0.1298893227578648</v>
      </c>
      <c r="L9">
        <f>HLOOKUP(A9,'Yearly returns'!$B$1:$N$128,126,FALSE)</f>
        <v>-29.790766000000001</v>
      </c>
      <c r="M9">
        <f t="shared" si="0"/>
        <v>16.762582269896502</v>
      </c>
      <c r="N9" cm="1">
        <f t="array" ref="N9">_xlfn.PERCENTRANK.EXC(_xlfn._xlws.FILTER(M$2:M$14, ISNUMBER(M$2:M$14)),M9)*100</f>
        <v>92.800000000000011</v>
      </c>
      <c r="O9" cm="1">
        <f t="array" ref="O9">(1-_xlfn.PERCENTRANK.EXC(_xlfn._xlws.FILTER(J$2:J$14, ISNUMBER(J$2:J$14)),J9))*100</f>
        <v>92.9</v>
      </c>
      <c r="P9" cm="1">
        <f t="array" ref="P9">_xlfn.PERCENTRANK.EXC(_xlfn._xlws.FILTER(K$2:K$14, ISNUMBER(K$2:K$14)),K9)*100</f>
        <v>92.800000000000011</v>
      </c>
      <c r="Q9" cm="1">
        <f t="array" ref="Q9">_xlfn.PERCENTRANK.EXC(_xlfn._xlws.FILTER(L$2:L$14, ISNUMBER(L$2:L$14)),L9)*100</f>
        <v>71.399999999999991</v>
      </c>
      <c r="R9">
        <f>N9*Assumption!$F$64 + O9*Assumption!$F$61 + P9*Assumption!$F$62 + Q9*Assumption!$F$63</f>
        <v>87.474999999999994</v>
      </c>
      <c r="S9" cm="1">
        <f t="array" ref="S9">_xlfn.PERCENTRANK.EXC(_xlfn._xlws.FILTER(R$2:R$14, ISNUMBER(R$2:R$14)),R9)*100</f>
        <v>92.800000000000011</v>
      </c>
    </row>
    <row r="10" spans="1:19" x14ac:dyDescent="0.35">
      <c r="A10" t="s">
        <v>1</v>
      </c>
      <c r="B10" t="s">
        <v>1</v>
      </c>
      <c r="C10" t="str" cm="1">
        <f t="array" ref="C10">_xll.FDS(B10,"FG_COMPANY_NAME")</f>
        <v>SPDR S&amp;P 500 ETF Trust</v>
      </c>
      <c r="D10" t="s">
        <v>119</v>
      </c>
      <c r="E10" t="s">
        <v>14</v>
      </c>
      <c r="F10" t="str" cm="1">
        <f t="array" ref="F10">_xll.FDS(E10,"FG_YIELD_NAME")</f>
        <v>US Benchmark Bond - 10 Year</v>
      </c>
      <c r="G10">
        <f>VLOOKUP(A10,'LIQIDITY 2'!$A$3:$E$15,5,FALSE)</f>
        <v>4.2743000000000002</v>
      </c>
      <c r="H10" cm="1">
        <f t="array" ref="H10">_xll.FDS(B10,"FG_ROE(0)")</f>
        <v>18.039660970103402</v>
      </c>
      <c r="I10">
        <f>HLOOKUP(B10,'Index ROE'!$B$1:$N$25,24,FALSE)</f>
        <v>16.391058174766847</v>
      </c>
      <c r="J10" cm="1">
        <f t="array" ref="J10">_xll.FDS(B10, "FMA_RBICS_REV_CURRENT(30, LOC, ""PORTAGG"")")</f>
        <v>12.5169610337793</v>
      </c>
      <c r="K10" s="74">
        <f>HLOOKUP(B10,'Index earnings'!$B$1:$N$25,25,FALSE)</f>
        <v>5.9891784775607526E-2</v>
      </c>
      <c r="L10">
        <f>HLOOKUP(A10,'Yearly returns'!$B$1:$N$128,126,FALSE)</f>
        <v>-17.05302</v>
      </c>
      <c r="M10">
        <f t="shared" si="0"/>
        <v>12.116758174766847</v>
      </c>
      <c r="N10" cm="1">
        <f t="array" ref="N10">_xlfn.PERCENTRANK.EXC(_xlfn._xlws.FILTER(M$2:M$14, ISNUMBER(M$2:M$14)),M10)*100</f>
        <v>78.5</v>
      </c>
      <c r="O10" cm="1">
        <f t="array" ref="O10">(1-_xlfn.PERCENTRANK.EXC(_xlfn._xlws.FILTER(J$2:J$14, ISNUMBER(J$2:J$14)),J10))*100</f>
        <v>78.600000000000009</v>
      </c>
      <c r="P10" cm="1">
        <f t="array" ref="P10">_xlfn.PERCENTRANK.EXC(_xlfn._xlws.FILTER(K$2:K$14, ISNUMBER(K$2:K$14)),K10)*100</f>
        <v>85.7</v>
      </c>
      <c r="Q10" cm="1">
        <f t="array" ref="Q10">_xlfn.PERCENTRANK.EXC(_xlfn._xlws.FILTER(L$2:L$14, ISNUMBER(L$2:L$14)),L10)*100</f>
        <v>92.800000000000011</v>
      </c>
      <c r="R10">
        <f>N10*Assumption!$F$64 + O10*Assumption!$F$61 + P10*Assumption!$F$62 + Q10*Assumption!$F$63</f>
        <v>83.9</v>
      </c>
      <c r="S10" cm="1">
        <f t="array" ref="S10">_xlfn.PERCENTRANK.EXC(_xlfn._xlws.FILTER(R$2:R$14, ISNUMBER(R$2:R$14)),R10)*100</f>
        <v>85.7</v>
      </c>
    </row>
    <row r="11" spans="1:19" x14ac:dyDescent="0.35">
      <c r="A11" t="s">
        <v>865</v>
      </c>
      <c r="B11" t="s">
        <v>865</v>
      </c>
      <c r="C11" t="str" cm="1">
        <f t="array" ref="C11">_xll.FDS(B11,"FG_COMPANY_NAME")</f>
        <v>iShares MSCI France ETF</v>
      </c>
      <c r="D11" t="s">
        <v>106</v>
      </c>
      <c r="E11" t="s">
        <v>133</v>
      </c>
      <c r="F11" t="str" cm="1">
        <f t="array" ref="F11">_xll.FDS(E11,"FG_YIELD_NAME")</f>
        <v>France Benchmark Bond - 10 Year</v>
      </c>
      <c r="G11">
        <f>VLOOKUP(A11,'LIQIDITY 2'!$A$3:$E$15,5,FALSE)</f>
        <v>2.859</v>
      </c>
      <c r="H11" cm="1">
        <f t="array" ref="H11">_xll.FDS(B11,"FG_ROE(0)")</f>
        <v>12.509993867261599</v>
      </c>
      <c r="I11">
        <f>HLOOKUP(B11,'Index ROE'!$B$1:$N$25,24,FALSE)</f>
        <v>11.16089938202855</v>
      </c>
      <c r="J11" cm="1">
        <f t="array" ref="J11">_xll.FDS(B11, "FMA_RBICS_REV_CURRENT(30, LOC, ""PORTAGG"")")</f>
        <v>10.7535343809749</v>
      </c>
      <c r="K11" s="74">
        <f>HLOOKUP(B11,'Index earnings'!$B$1:$N$25,25,FALSE)</f>
        <v>1.8533725345370788E-2</v>
      </c>
      <c r="L11">
        <f>HLOOKUP(A11,'Yearly returns'!$B$1:$N$128,126,FALSE)</f>
        <v>-30.573844999999999</v>
      </c>
      <c r="M11">
        <f t="shared" ref="M11:M14" si="1">I11-G11</f>
        <v>8.3018993820285498</v>
      </c>
      <c r="N11" cm="1">
        <f t="array" ref="N11">_xlfn.PERCENTRANK.EXC(_xlfn._xlws.FILTER(M$2:M$14, ISNUMBER(M$2:M$14)),M11)*100</f>
        <v>28.499999999999996</v>
      </c>
      <c r="O11" cm="1">
        <f t="array" ref="O11">(1-_xlfn.PERCENTRANK.EXC(_xlfn._xlws.FILTER(J$2:J$14, ISNUMBER(J$2:J$14)),J11))*100</f>
        <v>85.8</v>
      </c>
      <c r="P11" cm="1">
        <f t="array" ref="P11">_xlfn.PERCENTRANK.EXC(_xlfn._xlws.FILTER(K$2:K$14, ISNUMBER(K$2:K$14)),K11)*100</f>
        <v>35.699999999999996</v>
      </c>
      <c r="Q11" cm="1">
        <f t="array" ref="Q11">_xlfn.PERCENTRANK.EXC(_xlfn._xlws.FILTER(L$2:L$14, ISNUMBER(L$2:L$14)),L11)*100</f>
        <v>64.2</v>
      </c>
      <c r="R11">
        <f>N11*Assumption!$F$64 + O11*Assumption!$F$61 + P11*Assumption!$F$62 + Q11*Assumption!$F$63</f>
        <v>53.55</v>
      </c>
      <c r="S11" cm="1">
        <f t="array" ref="S11">_xlfn.PERCENTRANK.EXC(_xlfn._xlws.FILTER(R$2:R$14, ISNUMBER(R$2:R$14)),R11)*100</f>
        <v>71.399999999999991</v>
      </c>
    </row>
    <row r="12" spans="1:19" x14ac:dyDescent="0.35">
      <c r="A12" t="s">
        <v>867</v>
      </c>
      <c r="B12" t="s">
        <v>867</v>
      </c>
      <c r="C12" t="str" cm="1">
        <f t="array" ref="C12">_xll.FDS(B12,"FG_COMPANY_NAME")</f>
        <v>iShares MSCI Netherlands ETF</v>
      </c>
      <c r="D12" t="s">
        <v>875</v>
      </c>
      <c r="E12" t="s">
        <v>877</v>
      </c>
      <c r="F12" t="str" cm="1">
        <f t="array" ref="F12">_xll.FDS(E12,"FG_YIELD_NAME")</f>
        <v>Netherlands Benchmark Bond - 10 Year</v>
      </c>
      <c r="G12">
        <f>VLOOKUP(A12,'LIQIDITY 2'!$A$3:$E$15,5,FALSE)</f>
        <v>2.7080000000000002</v>
      </c>
      <c r="H12" cm="1">
        <f t="array" ref="H12">_xll.FDS(B12,"FG_ROE(0)")</f>
        <v>9.4898405193267106</v>
      </c>
      <c r="I12">
        <f>HLOOKUP(B12,'Index ROE'!$B$1:$N$25,24,FALSE)</f>
        <v>13.049660814670499</v>
      </c>
      <c r="J12" cm="1">
        <f t="array" ref="J12">_xll.FDS(B12, "FMA_RBICS_REV_CURRENT(30, LOC, ""PORTAGG"")")</f>
        <v>24.720039405119099</v>
      </c>
      <c r="K12" s="74">
        <f>HLOOKUP(B12,'Index earnings'!$B$1:$N$25,25,FALSE)</f>
        <v>3.4801405278536146E-2</v>
      </c>
      <c r="L12">
        <f>HLOOKUP(A12,'Yearly returns'!$B$1:$N$128,126,FALSE)</f>
        <v>-37.135117000000001</v>
      </c>
      <c r="M12">
        <f t="shared" si="1"/>
        <v>10.341660814670499</v>
      </c>
      <c r="N12" cm="1">
        <f t="array" ref="N12">_xlfn.PERCENTRANK.EXC(_xlfn._xlws.FILTER(M$2:M$14, ISNUMBER(M$2:M$14)),M12)*100</f>
        <v>57.099999999999994</v>
      </c>
      <c r="O12" cm="1">
        <f t="array" ref="O12">(1-_xlfn.PERCENTRANK.EXC(_xlfn._xlws.FILTER(J$2:J$14, ISNUMBER(J$2:J$14)),J12))*100</f>
        <v>35.799999999999997</v>
      </c>
      <c r="P12" cm="1">
        <f t="array" ref="P12">_xlfn.PERCENTRANK.EXC(_xlfn._xlws.FILTER(K$2:K$14, ISNUMBER(K$2:K$14)),K12)*100</f>
        <v>64.2</v>
      </c>
      <c r="Q12" cm="1">
        <f t="array" ref="Q12">_xlfn.PERCENTRANK.EXC(_xlfn._xlws.FILTER(L$2:L$14, ISNUMBER(L$2:L$14)),L12)*100</f>
        <v>21.4</v>
      </c>
      <c r="R12">
        <f>N12*Assumption!$F$64 + O12*Assumption!$F$61 + P12*Assumption!$F$62 + Q12*Assumption!$F$63</f>
        <v>44.625</v>
      </c>
      <c r="S12" cm="1">
        <f t="array" ref="S12">_xlfn.PERCENTRANK.EXC(_xlfn._xlws.FILTER(R$2:R$14, ISNUMBER(R$2:R$14)),R12)*100</f>
        <v>50</v>
      </c>
    </row>
    <row r="13" spans="1:19" x14ac:dyDescent="0.35">
      <c r="A13" t="s">
        <v>864</v>
      </c>
      <c r="B13" t="s">
        <v>864</v>
      </c>
      <c r="C13" t="str" cm="1">
        <f t="array" ref="C13">_xll.FDS(B13,"FG_COMPANY_NAME")</f>
        <v>iShares MSCI Sweden ETF</v>
      </c>
      <c r="D13" t="s">
        <v>272</v>
      </c>
      <c r="E13" t="s">
        <v>878</v>
      </c>
      <c r="F13" t="str" cm="1">
        <f t="array" ref="F13">_xll.FDS(E13,"FG_YIELD_NAME")</f>
        <v>Sweden Benchmark Bond - 10 Year</v>
      </c>
      <c r="G13">
        <f>VLOOKUP(A13,'LIQIDITY 2'!$A$3:$E$15,5,FALSE)</f>
        <v>2.4009999999999998</v>
      </c>
      <c r="H13" cm="1">
        <f t="array" ref="H13">_xll.FDS(B13,"FG_ROE(0)")</f>
        <v>15.9942624856014</v>
      </c>
      <c r="I13">
        <f>HLOOKUP(B13,'Index ROE'!$B$1:$N$25,24,FALSE)</f>
        <v>14.44282304978255</v>
      </c>
      <c r="J13" cm="1">
        <f t="array" ref="J13">_xll.FDS(B13, "FMA_RBICS_REV_CURRENT(30, LOC, ""PORTAGG"")")</f>
        <v>27.199824277955098</v>
      </c>
      <c r="K13" s="74">
        <f>HLOOKUP(B13,'Index earnings'!$B$1:$N$25,25,FALSE)</f>
        <v>2.4305006324402134E-2</v>
      </c>
      <c r="L13">
        <f>HLOOKUP(A13,'Yearly returns'!$B$1:$N$128,126,FALSE)</f>
        <v>-37.448647000000001</v>
      </c>
      <c r="M13">
        <f t="shared" si="1"/>
        <v>12.04182304978255</v>
      </c>
      <c r="N13" cm="1">
        <f t="array" ref="N13">_xlfn.PERCENTRANK.EXC(_xlfn._xlws.FILTER(M$2:M$14, ISNUMBER(M$2:M$14)),M13)*100</f>
        <v>71.399999999999991</v>
      </c>
      <c r="O13" cm="1">
        <f t="array" ref="O13">(1-_xlfn.PERCENTRANK.EXC(_xlfn._xlws.FILTER(J$2:J$14, ISNUMBER(J$2:J$14)),J13))*100</f>
        <v>28.6</v>
      </c>
      <c r="P13" cm="1">
        <f t="array" ref="P13">_xlfn.PERCENTRANK.EXC(_xlfn._xlws.FILTER(K$2:K$14, ISNUMBER(K$2:K$14)),K13)*100</f>
        <v>50</v>
      </c>
      <c r="Q13" cm="1">
        <f t="array" ref="Q13">_xlfn.PERCENTRANK.EXC(_xlfn._xlws.FILTER(L$2:L$14, ISNUMBER(L$2:L$14)),L13)*100</f>
        <v>14.2</v>
      </c>
      <c r="R13">
        <f>N13*Assumption!$F$64 + O13*Assumption!$F$61 + P13*Assumption!$F$62 + Q13*Assumption!$F$63</f>
        <v>41.05</v>
      </c>
      <c r="S13" cm="1">
        <f t="array" ref="S13">_xlfn.PERCENTRANK.EXC(_xlfn._xlws.FILTER(R$2:R$14, ISNUMBER(R$2:R$14)),R13)*100</f>
        <v>35.699999999999996</v>
      </c>
    </row>
    <row r="14" spans="1:19" x14ac:dyDescent="0.35">
      <c r="A14" t="s">
        <v>866</v>
      </c>
      <c r="B14" t="s">
        <v>866</v>
      </c>
      <c r="C14" t="str" cm="1">
        <f t="array" ref="C14">_xll.FDS(B14,"FG_COMPANY_NAME")</f>
        <v>iShares MSCI Italy ETF</v>
      </c>
      <c r="D14" t="s">
        <v>876</v>
      </c>
      <c r="E14" t="s">
        <v>879</v>
      </c>
      <c r="F14" t="str" cm="1">
        <f t="array" ref="F14">_xll.FDS(E14,"FG_YIELD_NAME")</f>
        <v>Italy Benchmark Bond - 10 Year</v>
      </c>
      <c r="G14">
        <f>VLOOKUP(A14,'LIQIDITY 2'!$A$3:$E$15,5,FALSE)</f>
        <v>3.6789999999999998</v>
      </c>
      <c r="H14" cm="1">
        <f t="array" ref="H14">_xll.FDS(B14,"FG_ROE(0)")</f>
        <v>13.3038801537616</v>
      </c>
      <c r="I14">
        <f>HLOOKUP(B14,'Index ROE'!$B$1:$N$25,24,FALSE)</f>
        <v>9.6445775045501065</v>
      </c>
      <c r="J14" cm="1">
        <f t="array" ref="J14">_xll.FDS(B14, "FMA_RBICS_REV_CURRENT(30, LOC, ""PORTAGG"")")</f>
        <v>34.5462492743982</v>
      </c>
      <c r="K14" s="74">
        <f>HLOOKUP(B14,'Index earnings'!$B$1:$N$25,25,FALSE)</f>
        <v>9.2744046638129074E-3</v>
      </c>
      <c r="L14">
        <f>HLOOKUP(A14,'Yearly returns'!$B$1:$N$128,126,FALSE)</f>
        <v>-31.481148000000001</v>
      </c>
      <c r="M14">
        <f t="shared" si="1"/>
        <v>5.9655775045501063</v>
      </c>
      <c r="N14" cm="1">
        <f t="array" ref="N14">_xlfn.PERCENTRANK.EXC(_xlfn._xlws.FILTER(M$2:M$14, ISNUMBER(M$2:M$14)),M14)*100</f>
        <v>14.2</v>
      </c>
      <c r="O14" cm="1">
        <f t="array" ref="O14">(1-_xlfn.PERCENTRANK.EXC(_xlfn._xlws.FILTER(J$2:J$14, ISNUMBER(J$2:J$14)),J14))*100</f>
        <v>21.499999999999996</v>
      </c>
      <c r="P14" cm="1">
        <f t="array" ref="P14">_xlfn.PERCENTRANK.EXC(_xlfn._xlws.FILTER(K$2:K$14, ISNUMBER(K$2:K$14)),K14)*100</f>
        <v>21.4</v>
      </c>
      <c r="Q14" cm="1">
        <f t="array" ref="Q14">_xlfn.PERCENTRANK.EXC(_xlfn._xlws.FILTER(L$2:L$14, ISNUMBER(L$2:L$14)),L14)*100</f>
        <v>50</v>
      </c>
      <c r="R14">
        <f>N14*Assumption!$F$64 + O14*Assumption!$F$61 + P14*Assumption!$F$62 + Q14*Assumption!$F$63</f>
        <v>26.774999999999999</v>
      </c>
      <c r="S14" cm="1">
        <f t="array" ref="S14">_xlfn.PERCENTRANK.EXC(_xlfn._xlws.FILTER(R$2:R$14, ISNUMBER(R$2:R$14)),R14)*100</f>
        <v>7.1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57"/>
  <sheetViews>
    <sheetView zoomScale="95" zoomScaleNormal="130" workbookViewId="0">
      <pane xSplit="1" topLeftCell="W1" activePane="topRight" state="frozen"/>
      <selection pane="topRight" activeCell="AE23" sqref="AE23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5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12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7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49" t="s">
        <v>861</v>
      </c>
      <c r="E1" s="72" t="s">
        <v>862</v>
      </c>
      <c r="F1" s="72" t="s">
        <v>16</v>
      </c>
      <c r="G1" s="72" t="s">
        <v>66</v>
      </c>
      <c r="H1" s="72" t="s">
        <v>62</v>
      </c>
      <c r="I1" s="72" t="s">
        <v>69</v>
      </c>
      <c r="J1" s="72" t="s">
        <v>77</v>
      </c>
      <c r="K1" t="s">
        <v>68</v>
      </c>
      <c r="L1" t="s">
        <v>389</v>
      </c>
      <c r="M1" t="s">
        <v>390</v>
      </c>
      <c r="N1" t="s">
        <v>908</v>
      </c>
      <c r="O1" t="s">
        <v>4</v>
      </c>
      <c r="P1" t="s">
        <v>5</v>
      </c>
      <c r="Q1" t="s">
        <v>9</v>
      </c>
      <c r="R1" t="s">
        <v>501</v>
      </c>
      <c r="S1" t="s">
        <v>72</v>
      </c>
      <c r="T1" t="s">
        <v>506</v>
      </c>
      <c r="U1" t="s">
        <v>507</v>
      </c>
      <c r="V1" t="s">
        <v>502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391</v>
      </c>
      <c r="AD1" t="s">
        <v>392</v>
      </c>
      <c r="AE1" s="72" t="s">
        <v>863</v>
      </c>
      <c r="AF1" s="72" t="s">
        <v>765</v>
      </c>
      <c r="AG1" s="72" t="s">
        <v>909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00">
        <f>Assumption!F24</f>
        <v>0</v>
      </c>
      <c r="Z2" s="22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431</v>
      </c>
      <c r="B3" t="str" cm="1">
        <f t="array" ref="B3">_xll.FDS(A3,"FG_COMPANY_NAME")</f>
        <v>iShares MSCI New Zealand ETF</v>
      </c>
      <c r="C3" t="s">
        <v>431</v>
      </c>
      <c r="D3" s="142">
        <f>VLOOKUP(C3,'Market Capitalisation'!$C$2:$G$14,5,FALSE)</f>
        <v>91464.14</v>
      </c>
      <c r="E3" cm="1">
        <f t="array" ref="E3">_xll.FDS(C3,"FMA_COS_UP(""EPS"",""1M"",+1,0,,,""PORTAGG"",""MEANR"")")</f>
        <v>5</v>
      </c>
      <c r="F3" cm="1">
        <f t="array" ref="F3">_xll.FDS(C3,"FMA_COS_DOWN(""EPS"",""1M"",+1,0,,,""PORTAGG"",""MEANR"")")</f>
        <v>7</v>
      </c>
      <c r="G3" cm="1">
        <f t="array" ref="G3">_xll.FDS(A3,"SIZE(FG_CONSTITUENTS)")</f>
        <v>14</v>
      </c>
      <c r="H3" s="9">
        <f t="shared" ref="H3:H11" si="0">E3/$G3</f>
        <v>0.35714285714285715</v>
      </c>
      <c r="I3" s="9">
        <f t="shared" ref="I3:I11" si="1">F3/$G3</f>
        <v>0.5</v>
      </c>
      <c r="J3" s="9">
        <f t="shared" ref="J3:J11" si="2">H3-I3</f>
        <v>-0.14285714285714285</v>
      </c>
      <c r="K3" s="5" cm="1">
        <f t="array" ref="K3">_xll.FDS(A3,"FMA_PCT_ABOVE_MAVG(200,0,,,,""PORTAGG"")")/100</f>
        <v>0.5</v>
      </c>
      <c r="L3" s="41" cm="1">
        <f t="array" ref="L3">_xll.FDSB(A3,"PERCENT_CHANGE(FMA_EPS(+1,0,,,,""PORTAGG"",""MEAN""),FMA_EPS(+1,-1AM,,,,""PORTAGG"",""MEAN""))")</f>
        <v>-11.6405994719938</v>
      </c>
      <c r="M3" s="41" cm="1">
        <f t="array" ref="M3">_xll.FDSB(A3,"PERCENT_CHANGE(FMA_EPS(+1,0,,,,""PORTAGG"",""MEAN""),FMA_EPS(+1,-3AM,,,,""PORTAGG"",""MEAN""))")</f>
        <v>-15.998780790158801</v>
      </c>
      <c r="N3" s="3" cm="1">
        <f t="array" ref="N3">_xll.FDS(C3,"FG_TOTAL_RETURNC(0,-1AM)")</f>
        <v>1.0078311</v>
      </c>
      <c r="O3" s="3" cm="1">
        <f t="array" ref="O3">_xll.FDS(C3,"FG_TOTAL_RETURNC(0,-3AM)")</f>
        <v>-5.5101633000000003</v>
      </c>
      <c r="P3" s="3" cm="1">
        <f t="array" ref="P3">_xll.FDS(C3,"FG_TOTAL_RETURNC(0,-6AM)")</f>
        <v>4.1831493000000002</v>
      </c>
      <c r="Q3" s="9" cm="1">
        <f t="array" ref="Q3">_xll.FDS(C3,"P_PRICE(0)/P_PRICE_HIGH_PR(0,,,USD,,,""PRICE"",""INTRA"",""52W"")")</f>
        <v>0.87914230000000004</v>
      </c>
      <c r="R3" s="9" cm="1">
        <f t="array" ref="R3">_xll.FDS(C3,"P_PRICE(0)/P_PRICE_low_PR(0,,,USD,,,""PRICE"",""INTRA"",""52W"")-1")</f>
        <v>9.919298E-2</v>
      </c>
      <c r="S3" s="3" cm="1">
        <f t="array" ref="S3">_xll.FDS(C3,"FG_TOTAL_RETURNC(0,-12AM)")</f>
        <v>-2.9240309999999998</v>
      </c>
      <c r="T3" s="4" cm="1">
        <f t="array" ref="T3">_xlfn.PERCENTRANK.EXC(_xlfn._xlws.FILTER($R$3:$R$15, ISNUMBER($R$3:$R$15)),R3)*100</f>
        <v>7.1</v>
      </c>
      <c r="U3" s="4">
        <f t="shared" ref="U3:U11" si="3">100-T3</f>
        <v>92.9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7.1</v>
      </c>
      <c r="X3" s="4" cm="1">
        <f t="array" ref="X3">_xlfn.PERCENTRANK.EXC(_xlfn._xlws.FILTER($P$3:$P$15, ISNUMBER($P$3:$P$15)),P3)*100</f>
        <v>7.1</v>
      </c>
      <c r="Y3" s="201" cm="1">
        <f t="array" ref="Y3">_xlfn.PERCENTRANK.EXC(_xlfn._xlws.FILTER($S$3:$S$15, ISNUMBER($S$3:$S$15)),S3)*100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42.8</v>
      </c>
      <c r="AB3" s="4" cm="1">
        <f t="array" ref="AB3">_xlfn.PERCENTRANK.EXC(_xlfn._xlws.FILTER($J$3:$J$15, ISNUMBER($J$3:$J$15)),J3)*100</f>
        <v>21.4</v>
      </c>
      <c r="AC3" s="4">
        <f t="shared" ref="AC3:AC15" si="4">_xlfn.PERCENTRANK.EXC($L$3:$L$15,L3)*100</f>
        <v>7.1</v>
      </c>
      <c r="AD3" s="4">
        <f t="shared" ref="AD3:AD15" si="5">_xlfn.PERCENTRANK.EXC($M$3:$M$15,M3)*100</f>
        <v>7.1</v>
      </c>
      <c r="AE3" s="4">
        <f t="shared" ref="AE3:AE15" si="6">_xlfn.PERCENTRANK.EXC($D$3:$D$15,D3)*100</f>
        <v>7.1</v>
      </c>
      <c r="AF3" s="4">
        <f>'Economic Momentum'!Q4</f>
        <v>57.099999999999994</v>
      </c>
      <c r="AG3" s="4">
        <f ca="1">'Economic Momentum'!R4</f>
        <v>14.2</v>
      </c>
      <c r="AH3" s="4">
        <f t="shared" ref="AH3:AH15" ca="1" si="7">SUMPRODUCT($U$2:$AG$2,U3:AG3)</f>
        <v>7.1</v>
      </c>
      <c r="AJ3" s="3" cm="1">
        <f t="array" aca="1" ref="AJ3" ca="1">_xlfn.PERCENTRANK.EXC(_xlfn._xlws.FILTER($AH$3:$AH$15, ISNUMBER($AH$3:$AH$15)),AH3)*100</f>
        <v>7.1</v>
      </c>
      <c r="AK3">
        <f t="shared" ref="AK3:AK15" si="8">COUNTIF(V3:AB3,"&gt;70")</f>
        <v>0</v>
      </c>
      <c r="AM3" s="4"/>
    </row>
    <row r="4" spans="1:39" x14ac:dyDescent="0.35">
      <c r="A4" t="s">
        <v>44</v>
      </c>
      <c r="B4" t="str" cm="1">
        <f t="array" ref="B4">_xll.FDS(A4,"FG_COMPANY_NAME")</f>
        <v>iShares MSCI Australia ETF</v>
      </c>
      <c r="C4" t="s">
        <v>44</v>
      </c>
      <c r="D4" s="142">
        <f>VLOOKUP(C4,'Market Capitalisation'!$C$2:$G$14,5,FALSE)</f>
        <v>1677679.8</v>
      </c>
      <c r="E4" cm="1">
        <f t="array" ref="E4">_xll.FDS(C4,"FMA_COS_UP(""EPS"",""1M"",+1,0,,,""PORTAGG"",""MEANR"")")</f>
        <v>22</v>
      </c>
      <c r="F4" cm="1">
        <f t="array" ref="F4">_xll.FDS(C4,"FMA_COS_DOWN(""EPS"",""1M"",+1,0,,,""PORTAGG"",""MEANR"")")</f>
        <v>23</v>
      </c>
      <c r="G4" cm="1">
        <f t="array" ref="G4">_xll.FDS(A4,"SIZE(FG_CONSTITUENTS)")</f>
        <v>60</v>
      </c>
      <c r="H4" s="9">
        <f t="shared" si="0"/>
        <v>0.36666666666666664</v>
      </c>
      <c r="I4" s="9">
        <f t="shared" si="1"/>
        <v>0.38333333333333336</v>
      </c>
      <c r="J4" s="9">
        <f t="shared" si="2"/>
        <v>-1.6666666666666718E-2</v>
      </c>
      <c r="K4" s="5" cm="1">
        <f t="array" ref="K4">_xll.FDS(A4,"FMA_PCT_ABOVE_MAVG(200,0,,,,""PORTAGG"")")/100</f>
        <v>0.71186440677966101</v>
      </c>
      <c r="L4" s="41" cm="1">
        <f t="array" ref="L4">_xll.FDSB(A4,"PERCENT_CHANGE(FMA_EPS(+1,0,,,,""PORTAGG"",""MEAN""),FMA_EPS(+1,-1AM,,,,""PORTAGG"",""MEAN""))")</f>
        <v>1.8510751399169101</v>
      </c>
      <c r="M4" s="41" cm="1">
        <f t="array" ref="M4">_xll.FDSB(A4,"PERCENT_CHANGE(FMA_EPS(+1,0,,,,""PORTAGG"",""MEAN""),FMA_EPS(+1,-3AM,,,,""PORTAGG"",""MEAN""))")</f>
        <v>-1.7705663329838499</v>
      </c>
      <c r="N4" s="3" cm="1">
        <f t="array" ref="N4">_xll.FDS(C4,"FG_TOTAL_RETURNC(0,-1AM)")</f>
        <v>3.3432126000000002</v>
      </c>
      <c r="O4" s="3" cm="1">
        <f t="array" ref="O4">_xll.FDS(C4,"FG_TOTAL_RETURNC(0,-3AM)")</f>
        <v>0.99256040000000001</v>
      </c>
      <c r="P4" s="3" cm="1">
        <f t="array" ref="P4">_xll.FDS(C4,"FG_TOTAL_RETURNC(0,-6AM)")</f>
        <v>16.735994000000002</v>
      </c>
      <c r="Q4" s="9" cm="1">
        <f t="array" ref="Q4">_xll.FDS(C4,"P_PRICE(0)/P_PRICE_HIGH_PR(0,,,USD,,,""PRICE"",""INTRA"",""52W"")")</f>
        <v>0.97523959999999998</v>
      </c>
      <c r="R4" s="9" cm="1">
        <f t="array" ref="R4">_xll.FDS(C4,"P_PRICE(0)/P_PRICE_low_PR(0,,,USD,,,""PRICE"",""INTRA"",""52W"")-1")</f>
        <v>0.19354843999999999</v>
      </c>
      <c r="S4" s="3" cm="1">
        <f t="array" ref="S4">_xll.FDS(C4,"FG_TOTAL_RETURNC(0,-12AM)")</f>
        <v>14.080083999999999</v>
      </c>
      <c r="T4" s="4" cm="1">
        <f t="array" ref="T4">_xlfn.PERCENTRANK.EXC(_xlfn._xlws.FILTER($R$3:$R$15, ISNUMBER($R$3:$R$15)),R4)*100</f>
        <v>28.499999999999996</v>
      </c>
      <c r="U4" s="4">
        <f t="shared" si="3"/>
        <v>71.5</v>
      </c>
      <c r="V4" s="4" cm="1">
        <f t="array" ref="V4">_xlfn.PERCENTRANK.EXC(_xlfn._xlws.FILTER($Q$3:$Q$15, ISNUMBER($Q$3:$Q$15)),Q4)*100</f>
        <v>21.4</v>
      </c>
      <c r="W4" s="4" cm="1">
        <f t="array" ref="W4">_xlfn.PERCENTRANK.EXC(_xlfn._xlws.FILTER($O$3:$O$15, ISNUMBER($O$3:$O$15)),O4)*100</f>
        <v>21.4</v>
      </c>
      <c r="X4" s="4" cm="1">
        <f t="array" ref="X4">_xlfn.PERCENTRANK.EXC(_xlfn._xlws.FILTER($P$3:$P$15, ISNUMBER($P$3:$P$15)),P4)*100</f>
        <v>42.8</v>
      </c>
      <c r="Y4" s="201" cm="1">
        <f t="array" ref="Y4">_xlfn.PERCENTRANK.EXC(_xlfn._xlws.FILTER($S$3:$S$15, ISNUMBER($S$3:$S$15)),S4)*100</f>
        <v>28.499999999999996</v>
      </c>
      <c r="Z4" s="4" cm="1">
        <f t="array" ref="Z4">_xlfn.PERCENTRANK.EXC(_xlfn._xlws.FILTER($K$3:$K$15, ISNUMBER($K$3:$K$15)),K4)*100</f>
        <v>42.8</v>
      </c>
      <c r="AA4" s="4" cm="1">
        <f t="array" ref="AA4">_xlfn.PERCENTRANK.EXC(_xlfn._xlws.FILTER($H$3:$H$15, ISNUMBER($H$3:$H$15)),H4)*100</f>
        <v>57.099999999999994</v>
      </c>
      <c r="AB4" s="4" cm="1">
        <f t="array" ref="AB4">_xlfn.PERCENTRANK.EXC(_xlfn._xlws.FILTER($J$3:$J$15, ISNUMBER($J$3:$J$15)),J4)*100</f>
        <v>71.399999999999991</v>
      </c>
      <c r="AC4" s="4">
        <f t="shared" si="4"/>
        <v>85.7</v>
      </c>
      <c r="AD4" s="4">
        <f t="shared" si="5"/>
        <v>64.2</v>
      </c>
      <c r="AE4" s="4">
        <f t="shared" si="6"/>
        <v>35.699999999999996</v>
      </c>
      <c r="AF4" s="4">
        <f>'Economic Momentum'!Q5</f>
        <v>42.8</v>
      </c>
      <c r="AG4" s="4">
        <f ca="1">'Economic Momentum'!R5</f>
        <v>21.4</v>
      </c>
      <c r="AH4" s="4">
        <f t="shared" ca="1" si="7"/>
        <v>27.82</v>
      </c>
      <c r="AJ4" s="3" cm="1">
        <f t="array" aca="1" ref="AJ4" ca="1">_xlfn.PERCENTRANK.EXC(_xlfn._xlws.FILTER($AH$3:$AH$15, ISNUMBER($AH$3:$AH$15)),AH4)*100</f>
        <v>21.4</v>
      </c>
      <c r="AK4">
        <f t="shared" si="8"/>
        <v>1</v>
      </c>
      <c r="AM4" s="4"/>
    </row>
    <row r="5" spans="1:39" x14ac:dyDescent="0.35">
      <c r="A5" t="s">
        <v>49</v>
      </c>
      <c r="B5" t="str" cm="1">
        <f t="array" ref="B5">_xll.FDS(A5,"FG_COMPANY_NAME")</f>
        <v>iShares MSCI Canada ETF</v>
      </c>
      <c r="C5" t="s">
        <v>49</v>
      </c>
      <c r="D5" s="142">
        <f>VLOOKUP(C5,'Market Capitalisation'!$C$2:$G$14,5,FALSE)</f>
        <v>2733940</v>
      </c>
      <c r="E5" cm="1">
        <f t="array" ref="E5">_xll.FDS(C5,"FMA_COS_UP(""EPS"",""1M"",+1,0,,,""PORTAGG"",""MEANR"")")</f>
        <v>32</v>
      </c>
      <c r="F5" cm="1">
        <f t="array" ref="F5">_xll.FDS(C5,"FMA_COS_DOWN(""EPS"",""1M"",+1,0,,,""PORTAGG"",""MEANR"")")</f>
        <v>35</v>
      </c>
      <c r="G5" cm="1">
        <f t="array" ref="G5">_xll.FDS(A5,"SIZE(FG_CONSTITUENTS)")</f>
        <v>88</v>
      </c>
      <c r="H5" s="9">
        <f t="shared" si="0"/>
        <v>0.36363636363636365</v>
      </c>
      <c r="I5" s="9">
        <f t="shared" si="1"/>
        <v>0.39772727272727271</v>
      </c>
      <c r="J5" s="9">
        <f t="shared" si="2"/>
        <v>-3.4090909090909061E-2</v>
      </c>
      <c r="K5" s="5" cm="1">
        <f t="array" ref="K5">_xll.FDS(A5,"FMA_PCT_ABOVE_MAVG(200,0,,,,""PORTAGG"")")/100</f>
        <v>0.67045454545454508</v>
      </c>
      <c r="L5" s="41" cm="1">
        <f t="array" ref="L5">_xll.FDSB(A5,"PERCENT_CHANGE(FMA_EPS(+1,0,,,,""PORTAGG"",""MEAN""),FMA_EPS(+1,-1AM,,,,""PORTAGG"",""MEAN""))")</f>
        <v>-0.93070552026169295</v>
      </c>
      <c r="M5" s="41" cm="1">
        <f t="array" ref="M5">_xll.FDSB(A5,"PERCENT_CHANGE(FMA_EPS(+1,0,,,,""PORTAGG"",""MEAN""),FMA_EPS(+1,-3AM,,,,""PORTAGG"",""MEAN""))")</f>
        <v>-4.9040078430676903</v>
      </c>
      <c r="N5" s="3" cm="1">
        <f t="array" ref="N5">_xll.FDS(C5,"FG_TOTAL_RETURNC(0,-1AM)")</f>
        <v>4.6862124999999999</v>
      </c>
      <c r="O5" s="3" cm="1">
        <f t="array" ref="O5">_xll.FDS(C5,"FG_TOTAL_RETURNC(0,-3AM)")</f>
        <v>5.6415914999999996</v>
      </c>
      <c r="P5" s="3" cm="1">
        <f t="array" ref="P5">_xll.FDS(C5,"FG_TOTAL_RETURNC(0,-6AM)")</f>
        <v>13.850296</v>
      </c>
      <c r="Q5" s="9" cm="1">
        <f t="array" ref="Q5">_xll.FDS(C5,"P_PRICE(0)/P_PRICE_HIGH_PR(0,,,USD,,,""PRICE"",""INTRA"",""52W"")")</f>
        <v>0.99323976000000003</v>
      </c>
      <c r="R5" s="9" cm="1">
        <f t="array" ref="R5">_xll.FDS(C5,"P_PRICE(0)/P_PRICE_low_PR(0,,,USD,,,""PRICE"",""INTRA"",""52W"")-1")</f>
        <v>0.21617317</v>
      </c>
      <c r="S5" s="3" cm="1">
        <f t="array" ref="S5">_xll.FDS(C5,"FG_TOTAL_RETURNC(0,-12AM)")</f>
        <v>18.775569999999998</v>
      </c>
      <c r="T5" s="4" cm="1">
        <f t="array" ref="T5">_xlfn.PERCENTRANK.EXC(_xlfn._xlws.FILTER($R$3:$R$15, ISNUMBER($R$3:$R$15)),R5)*100</f>
        <v>35.699999999999996</v>
      </c>
      <c r="U5" s="4">
        <f t="shared" si="3"/>
        <v>64.300000000000011</v>
      </c>
      <c r="V5" s="4" cm="1">
        <f t="array" ref="V5">_xlfn.PERCENTRANK.EXC(_xlfn._xlws.FILTER($Q$3:$Q$15, ISNUMBER($Q$3:$Q$15)),Q5)*100</f>
        <v>64.2</v>
      </c>
      <c r="W5" s="4" cm="1">
        <f t="array" ref="W5">_xlfn.PERCENTRANK.EXC(_xlfn._xlws.FILTER($O$3:$O$15, ISNUMBER($O$3:$O$15)),O5)*100</f>
        <v>50</v>
      </c>
      <c r="X5" s="4" cm="1">
        <f t="array" ref="X5">_xlfn.PERCENTRANK.EXC(_xlfn._xlws.FILTER($P$3:$P$15, ISNUMBER($P$3:$P$15)),P5)*100</f>
        <v>28.499999999999996</v>
      </c>
      <c r="Y5" s="201" cm="1">
        <f t="array" ref="Y5">_xlfn.PERCENTRANK.EXC(_xlfn._xlws.FILTER($S$3:$S$15, ISNUMBER($S$3:$S$15)),S5)*100</f>
        <v>50</v>
      </c>
      <c r="Z5" s="4" cm="1">
        <f t="array" ref="Z5">_xlfn.PERCENTRANK.EXC(_xlfn._xlws.FILTER($K$3:$K$15, ISNUMBER($K$3:$K$15)),K5)*100</f>
        <v>35.699999999999996</v>
      </c>
      <c r="AA5" s="4" cm="1">
        <f t="array" ref="AA5">_xlfn.PERCENTRANK.EXC(_xlfn._xlws.FILTER($H$3:$H$15, ISNUMBER($H$3:$H$15)),H5)*100</f>
        <v>50</v>
      </c>
      <c r="AB5" s="4" cm="1">
        <f t="array" ref="AB5">_xlfn.PERCENTRANK.EXC(_xlfn._xlws.FILTER($J$3:$J$15, ISNUMBER($J$3:$J$15)),J5)*100</f>
        <v>57.099999999999994</v>
      </c>
      <c r="AC5" s="4">
        <f t="shared" si="4"/>
        <v>14.2</v>
      </c>
      <c r="AD5" s="4">
        <f t="shared" si="5"/>
        <v>42.8</v>
      </c>
      <c r="AE5" s="4">
        <f t="shared" si="6"/>
        <v>57.099999999999994</v>
      </c>
      <c r="AF5" s="4">
        <f>'Economic Momentum'!Q6</f>
        <v>71.399999999999991</v>
      </c>
      <c r="AG5" s="4">
        <f ca="1">'Economic Momentum'!R6</f>
        <v>28.499999999999996</v>
      </c>
      <c r="AH5" s="4">
        <f t="shared" ca="1" si="7"/>
        <v>49.230000000000004</v>
      </c>
      <c r="AJ5" s="3" cm="1">
        <f t="array" aca="1" ref="AJ5" ca="1">_xlfn.PERCENTRANK.EXC(_xlfn._xlws.FILTER($AH$3:$AH$15, ISNUMBER($AH$3:$AH$15)),AH5)*100</f>
        <v>42.8</v>
      </c>
      <c r="AK5">
        <f t="shared" si="8"/>
        <v>0</v>
      </c>
      <c r="AM5" s="4"/>
    </row>
    <row r="6" spans="1:39" x14ac:dyDescent="0.35">
      <c r="A6" t="s">
        <v>11</v>
      </c>
      <c r="B6" t="str" cm="1">
        <f t="array" ref="B6">_xll.FDS(A6,"FG_COMPANY_NAME")</f>
        <v>iShares MSCI Germany ETF</v>
      </c>
      <c r="C6" t="s">
        <v>11</v>
      </c>
      <c r="D6" s="142">
        <f>VLOOKUP(C6,'Market Capitalisation'!$C$2:$G$14,5,FALSE)</f>
        <v>2304464.5</v>
      </c>
      <c r="E6" cm="1">
        <f t="array" ref="E6">_xll.FDS(C6,"FMA_COS_UP(""EPS"",""1M"",+1,0,,,""PORTAGG"",""MEANR"")")</f>
        <v>22</v>
      </c>
      <c r="F6" cm="1">
        <f t="array" ref="F6">_xll.FDS(C6,"FMA_COS_DOWN(""EPS"",""1M"",+1,0,,,""PORTAGG"",""MEANR"")")</f>
        <v>30</v>
      </c>
      <c r="G6" cm="1">
        <f t="array" ref="G6">_xll.FDS(A6,"SIZE(FG_CONSTITUENTS)")</f>
        <v>57</v>
      </c>
      <c r="H6" s="9">
        <f t="shared" si="0"/>
        <v>0.38596491228070173</v>
      </c>
      <c r="I6" s="9">
        <f t="shared" si="1"/>
        <v>0.52631578947368418</v>
      </c>
      <c r="J6" s="9">
        <f t="shared" si="2"/>
        <v>-0.14035087719298245</v>
      </c>
      <c r="K6" s="5" cm="1">
        <f t="array" ref="K6">_xll.FDS(A6,"FMA_PCT_ABOVE_MAVG(200,0,,,,""PORTAGG"")")/100</f>
        <v>0.73684210526315796</v>
      </c>
      <c r="L6" s="41" cm="1">
        <f t="array" ref="L6">_xll.FDSB(A6,"PERCENT_CHANGE(FMA_EPS(+1,0,,,,""PORTAGG"",""MEAN""),FMA_EPS(+1,-1AM,,,,""PORTAGG"",""MEAN""))")</f>
        <v>-0.43490856829531599</v>
      </c>
      <c r="M6" s="41" cm="1">
        <f t="array" ref="M6">_xll.FDSB(A6,"PERCENT_CHANGE(FMA_EPS(+1,0,,,,""PORTAGG"",""MEAN""),FMA_EPS(+1,-3AM,,,,""PORTAGG"",""MEAN""))")</f>
        <v>-5.4625459597108899</v>
      </c>
      <c r="N6" s="3" cm="1">
        <f t="array" ref="N6">_xll.FDS(C6,"FG_TOTAL_RETURNC(0,-1AM)")</f>
        <v>5.3853989999999996</v>
      </c>
      <c r="O6" s="3" cm="1">
        <f t="array" ref="O6">_xll.FDS(C6,"FG_TOTAL_RETURNC(0,-3AM)")</f>
        <v>5.9918760000000004</v>
      </c>
      <c r="P6" s="3" cm="1">
        <f t="array" ref="P6">_xll.FDS(C6,"FG_TOTAL_RETURNC(0,-6AM)")</f>
        <v>17.359960000000001</v>
      </c>
      <c r="Q6" s="9" cm="1">
        <f t="array" ref="Q6">_xll.FDS(C6,"P_PRICE(0)/P_PRICE_HIGH_PR(0,,,USD,,,""PRICE"",""INTRA"",""52W"")")</f>
        <v>0.99396825</v>
      </c>
      <c r="R6" s="9" cm="1">
        <f t="array" ref="R6">_xll.FDS(C6,"P_PRICE(0)/P_PRICE_low_PR(0,,,USD,,,""PRICE"",""INTRA"",""52W"")-1")</f>
        <v>0.26735472999999998</v>
      </c>
      <c r="S6" s="3" cm="1">
        <f t="array" ref="S6">_xll.FDS(C6,"FG_TOTAL_RETURNC(0,-12AM)")</f>
        <v>17.072116999999999</v>
      </c>
      <c r="T6" s="4" cm="1">
        <f t="array" ref="T6">_xlfn.PERCENTRANK.EXC(_xlfn._xlws.FILTER($R$3:$R$15, ISNUMBER($R$3:$R$15)),R6)*100</f>
        <v>50</v>
      </c>
      <c r="U6" s="4">
        <f t="shared" si="3"/>
        <v>50</v>
      </c>
      <c r="V6" s="4" cm="1">
        <f t="array" ref="V6">_xlfn.PERCENTRANK.EXC(_xlfn._xlws.FILTER($Q$3:$Q$15, ISNUMBER($Q$3:$Q$15)),Q6)*100</f>
        <v>71.399999999999991</v>
      </c>
      <c r="W6" s="4" cm="1">
        <f t="array" ref="W6">_xlfn.PERCENTRANK.EXC(_xlfn._xlws.FILTER($O$3:$O$15, ISNUMBER($O$3:$O$15)),O6)*100</f>
        <v>57.099999999999994</v>
      </c>
      <c r="X6" s="4" cm="1">
        <f t="array" ref="X6">_xlfn.PERCENTRANK.EXC(_xlfn._xlws.FILTER($P$3:$P$15, ISNUMBER($P$3:$P$15)),P6)*100</f>
        <v>50</v>
      </c>
      <c r="Y6" s="201" cm="1">
        <f t="array" ref="Y6">_xlfn.PERCENTRANK.EXC(_xlfn._xlws.FILTER($S$3:$S$15, ISNUMBER($S$3:$S$15)),S6)*100</f>
        <v>42.8</v>
      </c>
      <c r="Z6" s="4" cm="1">
        <f t="array" ref="Z6">_xlfn.PERCENTRANK.EXC(_xlfn._xlws.FILTER($K$3:$K$15, ISNUMBER($K$3:$K$15)),K6)*100</f>
        <v>64.2</v>
      </c>
      <c r="AA6" s="4" cm="1">
        <f t="array" ref="AA6">_xlfn.PERCENTRANK.EXC(_xlfn._xlws.FILTER($H$3:$H$15, ISNUMBER($H$3:$H$15)),H6)*100</f>
        <v>64.2</v>
      </c>
      <c r="AB6" s="4" cm="1">
        <f t="array" ref="AB6">_xlfn.PERCENTRANK.EXC(_xlfn._xlws.FILTER($J$3:$J$15, ISNUMBER($J$3:$J$15)),J6)*100</f>
        <v>28.499999999999996</v>
      </c>
      <c r="AC6" s="4">
        <f t="shared" si="4"/>
        <v>50</v>
      </c>
      <c r="AD6" s="4">
        <f t="shared" si="5"/>
        <v>21.4</v>
      </c>
      <c r="AE6" s="4">
        <f t="shared" si="6"/>
        <v>50</v>
      </c>
      <c r="AF6" s="4">
        <f>'Economic Momentum'!Q7</f>
        <v>7.1</v>
      </c>
      <c r="AG6" s="4">
        <f ca="1">'Economic Momentum'!R7</f>
        <v>92.800000000000011</v>
      </c>
      <c r="AH6" s="4">
        <f t="shared" ca="1" si="7"/>
        <v>60.69</v>
      </c>
      <c r="AJ6" s="3" cm="1">
        <f t="array" aca="1" ref="AJ6" ca="1">_xlfn.PERCENTRANK.EXC(_xlfn._xlws.FILTER($AH$3:$AH$15, ISNUMBER($AH$3:$AH$15)),AH6)*100</f>
        <v>64.2</v>
      </c>
      <c r="AK6">
        <f t="shared" si="8"/>
        <v>1</v>
      </c>
      <c r="AM6" s="4"/>
    </row>
    <row r="7" spans="1:39" x14ac:dyDescent="0.35">
      <c r="A7" t="s">
        <v>46</v>
      </c>
      <c r="B7" t="str" cm="1">
        <f t="array" ref="B7">_xll.FDS(A7,"FG_COMPANY_NAME")</f>
        <v>iShares MSCI Japan ETF</v>
      </c>
      <c r="C7" t="s">
        <v>46</v>
      </c>
      <c r="D7" s="142">
        <f>VLOOKUP(C7,'Market Capitalisation'!$C$2:$G$14,5,FALSE)</f>
        <v>6825096.5</v>
      </c>
      <c r="E7" cm="1">
        <f t="array" ref="E7">_xll.FDS(C7,"FMA_COS_UP(""EPS"",""1M"",+1,0,,,""PORTAGG"",""MEANR"")")</f>
        <v>120</v>
      </c>
      <c r="F7" cm="1">
        <f t="array" ref="F7">_xll.FDS(C7,"FMA_COS_DOWN(""EPS"",""1M"",+1,0,,,""PORTAGG"",""MEANR"")")</f>
        <v>84</v>
      </c>
      <c r="G7" cm="1">
        <f t="array" ref="G7">_xll.FDS(A7,"SIZE(FG_CONSTITUENTS)")</f>
        <v>219</v>
      </c>
      <c r="H7" s="9">
        <f t="shared" si="0"/>
        <v>0.54794520547945202</v>
      </c>
      <c r="I7" s="9">
        <f t="shared" si="1"/>
        <v>0.38356164383561642</v>
      </c>
      <c r="J7" s="9">
        <f t="shared" si="2"/>
        <v>0.16438356164383561</v>
      </c>
      <c r="K7" s="5" cm="1">
        <f t="array" ref="K7">_xll.FDS(A7,"FMA_PCT_ABOVE_MAVG(200,0,,,,""PORTAGG"")")/100</f>
        <v>0.77168949771689499</v>
      </c>
      <c r="L7" s="41" cm="1">
        <f t="array" ref="L7">_xll.FDSB(A7,"PERCENT_CHANGE(FMA_EPS(+1,0,,,,""PORTAGG"",""MEAN""),FMA_EPS(+1,-1AM,,,,""PORTAGG"",""MEAN""))")</f>
        <v>1.4215796358984201</v>
      </c>
      <c r="M7" s="41" cm="1">
        <f t="array" ref="M7">_xll.FDSB(A7,"PERCENT_CHANGE(FMA_EPS(+1,0,,,,""PORTAGG"",""MEAN""),FMA_EPS(+1,-3AM,,,,""PORTAGG"",""MEAN""))")</f>
        <v>-2.6363359444459999</v>
      </c>
      <c r="N7" s="3" cm="1">
        <f t="array" ref="N7">_xll.FDS(C7,"FG_TOTAL_RETURNC(0,-1AM)")</f>
        <v>5.9595823000000001</v>
      </c>
      <c r="O7" s="3" cm="1">
        <f t="array" ref="O7">_xll.FDS(C7,"FG_TOTAL_RETURNC(0,-3AM)")</f>
        <v>13.781082</v>
      </c>
      <c r="P7" s="3" cm="1">
        <f t="array" ref="P7">_xll.FDS(C7,"FG_TOTAL_RETURNC(0,-6AM)")</f>
        <v>18.193149999999999</v>
      </c>
      <c r="Q7" s="9" cm="1">
        <f t="array" ref="Q7">_xll.FDS(C7,"P_PRICE(0)/P_PRICE_HIGH_PR(0,,,USD,,,""PRICE"",""INTRA"",""52W"")")</f>
        <v>0.9986334</v>
      </c>
      <c r="R7" s="9" cm="1">
        <f t="array" ref="R7">_xll.FDS(C7,"P_PRICE(0)/P_PRICE_low_PR(0,,,USD,,,""PRICE"",""INTRA"",""52W"")-1")</f>
        <v>0.26751150000000001</v>
      </c>
      <c r="S7" s="3" cm="1">
        <f t="array" ref="S7">_xll.FDS(C7,"FG_TOTAL_RETURNC(0,-12AM)")</f>
        <v>28.990137000000001</v>
      </c>
      <c r="T7" s="4" cm="1">
        <f t="array" ref="T7">_xlfn.PERCENTRANK.EXC(_xlfn._xlws.FILTER($R$3:$R$15, ISNUMBER($R$3:$R$15)),R7)*100</f>
        <v>57.099999999999994</v>
      </c>
      <c r="U7" s="4">
        <f t="shared" si="3"/>
        <v>42.900000000000006</v>
      </c>
      <c r="V7" s="4" cm="1">
        <f t="array" ref="V7">_xlfn.PERCENTRANK.EXC(_xlfn._xlws.FILTER($Q$3:$Q$15, ISNUMBER($Q$3:$Q$15)),Q7)*100</f>
        <v>92.800000000000011</v>
      </c>
      <c r="W7" s="4" cm="1">
        <f t="array" ref="W7">_xlfn.PERCENTRANK.EXC(_xlfn._xlws.FILTER($O$3:$O$15, ISNUMBER($O$3:$O$15)),O7)*100</f>
        <v>92.800000000000011</v>
      </c>
      <c r="X7" s="4" cm="1">
        <f t="array" ref="X7">_xlfn.PERCENTRANK.EXC(_xlfn._xlws.FILTER($P$3:$P$15, ISNUMBER($P$3:$P$15)),P7)*100</f>
        <v>57.099999999999994</v>
      </c>
      <c r="Y7" s="201" cm="1">
        <f t="array" ref="Y7">_xlfn.PERCENTRANK.EXC(_xlfn._xlws.FILTER($S$3:$S$15, ISNUMBER($S$3:$S$15)),S7)*100</f>
        <v>71.399999999999991</v>
      </c>
      <c r="Z7" s="4" cm="1">
        <f t="array" ref="Z7">_xlfn.PERCENTRANK.EXC(_xlfn._xlws.FILTER($K$3:$K$15, ISNUMBER($K$3:$K$15)),K7)*100</f>
        <v>78.5</v>
      </c>
      <c r="AA7" s="4" cm="1">
        <f t="array" ref="AA7">_xlfn.PERCENTRANK.EXC(_xlfn._xlws.FILTER($H$3:$H$15, ISNUMBER($H$3:$H$15)),H7)*100</f>
        <v>92.800000000000011</v>
      </c>
      <c r="AB7" s="4" cm="1">
        <f t="array" ref="AB7">_xlfn.PERCENTRANK.EXC(_xlfn._xlws.FILTER($J$3:$J$15, ISNUMBER($J$3:$J$15)),J7)*100</f>
        <v>85.7</v>
      </c>
      <c r="AC7" s="4">
        <f t="shared" si="4"/>
        <v>78.5</v>
      </c>
      <c r="AD7" s="4">
        <f t="shared" si="5"/>
        <v>57.099999999999994</v>
      </c>
      <c r="AE7" s="4">
        <f t="shared" si="6"/>
        <v>78.5</v>
      </c>
      <c r="AF7" s="4">
        <f>'Economic Momentum'!Q8</f>
        <v>28.499999999999996</v>
      </c>
      <c r="AG7" s="4">
        <f ca="1">'Economic Momentum'!R8</f>
        <v>35.699999999999996</v>
      </c>
      <c r="AH7" s="4">
        <f t="shared" ca="1" si="7"/>
        <v>82.09</v>
      </c>
      <c r="AJ7" s="3" cm="1">
        <f t="array" aca="1" ref="AJ7" ca="1">_xlfn.PERCENTRANK.EXC(_xlfn._xlws.FILTER($AH$3:$AH$15, ISNUMBER($AH$3:$AH$15)),AH7)*100</f>
        <v>92.800000000000011</v>
      </c>
      <c r="AK7">
        <f t="shared" si="8"/>
        <v>6</v>
      </c>
      <c r="AM7" s="4"/>
    </row>
    <row r="8" spans="1:39" x14ac:dyDescent="0.35">
      <c r="A8" t="s">
        <v>42</v>
      </c>
      <c r="B8" t="str" cm="1">
        <f t="array" ref="B8">_xll.FDS(A8,"FG_COMPANY_NAME")</f>
        <v>iShares MSCI Switzerland ETF</v>
      </c>
      <c r="C8" t="s">
        <v>42</v>
      </c>
      <c r="D8" s="142">
        <f>VLOOKUP(C8,'Market Capitalisation'!$C$2:$G$14,5,FALSE)</f>
        <v>2131958</v>
      </c>
      <c r="E8" cm="1">
        <f t="array" ref="E8">_xll.FDS(C8,"FMA_COS_UP(""EPS"",""1M"",+1,0,,,""PORTAGG"",""MEANR"")")</f>
        <v>15</v>
      </c>
      <c r="F8" cm="1">
        <f t="array" ref="F8">_xll.FDS(C8,"FMA_COS_DOWN(""EPS"",""1M"",+1,0,,,""PORTAGG"",""MEANR"")")</f>
        <v>28</v>
      </c>
      <c r="G8" cm="1">
        <f t="array" ref="G8">_xll.FDS(A8,"SIZE(FG_CONSTITUENTS)")</f>
        <v>46</v>
      </c>
      <c r="H8" s="9">
        <f t="shared" si="0"/>
        <v>0.32608695652173914</v>
      </c>
      <c r="I8" s="9">
        <f t="shared" si="1"/>
        <v>0.60869565217391308</v>
      </c>
      <c r="J8" s="9">
        <f t="shared" si="2"/>
        <v>-0.28260869565217395</v>
      </c>
      <c r="K8" s="5" cm="1">
        <f t="array" ref="K8">_xll.FDS(A8,"FMA_PCT_ABOVE_MAVG(200,0,,,,""PORTAGG"")")/100</f>
        <v>0.62222222222222201</v>
      </c>
      <c r="L8" s="41" cm="1">
        <f t="array" ref="L8">_xll.FDSB(A8,"PERCENT_CHANGE(FMA_EPS(+1,0,,,,""PORTAGG"",""MEAN""),FMA_EPS(+1,-1AM,,,,""PORTAGG"",""MEAN""))")</f>
        <v>-0.73337747905037398</v>
      </c>
      <c r="M8" s="41" cm="1">
        <f t="array" ref="M8">_xll.FDSB(A8,"PERCENT_CHANGE(FMA_EPS(+1,0,,,,""PORTAGG"",""MEAN""),FMA_EPS(+1,-3AM,,,,""PORTAGG"",""MEAN""))")</f>
        <v>-6.96067188128014</v>
      </c>
      <c r="N8" s="3" cm="1">
        <f t="array" ref="N8">_xll.FDS(C8,"FG_TOTAL_RETURNC(0,-1AM)")</f>
        <v>0.50706863000000002</v>
      </c>
      <c r="O8" s="3" cm="1">
        <f t="array" ref="O8">_xll.FDS(C8,"FG_TOTAL_RETURNC(0,-3AM)")</f>
        <v>0.37982463999999999</v>
      </c>
      <c r="P8" s="3" cm="1">
        <f t="array" ref="P8">_xll.FDS(C8,"FG_TOTAL_RETURNC(0,-6AM)")</f>
        <v>6.4443945999999999</v>
      </c>
      <c r="Q8" s="9" cm="1">
        <f t="array" ref="Q8">_xll.FDS(C8,"P_PRICE(0)/P_PRICE_HIGH_PR(0,,,USD,,,""PRICE"",""INTRA"",""52W"")")</f>
        <v>0.97210580000000002</v>
      </c>
      <c r="R8" s="9" cm="1">
        <f t="array" ref="R8">_xll.FDS(C8,"P_PRICE(0)/P_PRICE_low_PR(0,,,USD,,,""PRICE"",""INTRA"",""52W"")-1")</f>
        <v>0.14488566</v>
      </c>
      <c r="S8" s="3" cm="1">
        <f t="array" ref="S8">_xll.FDS(C8,"FG_TOTAL_RETURNC(0,-12AM)")</f>
        <v>11.376059</v>
      </c>
      <c r="T8" s="4" cm="1">
        <f t="array" ref="T8">_xlfn.PERCENTRANK.EXC(_xlfn._xlws.FILTER($R$3:$R$15, ISNUMBER($R$3:$R$15)),R8)*100</f>
        <v>21.4</v>
      </c>
      <c r="U8" s="4">
        <f t="shared" si="3"/>
        <v>78.599999999999994</v>
      </c>
      <c r="V8" s="4" cm="1">
        <f t="array" ref="V8">_xlfn.PERCENTRANK.EXC(_xlfn._xlws.FILTER($Q$3:$Q$15, ISNUMBER($Q$3:$Q$15)),Q8)*100</f>
        <v>14.2</v>
      </c>
      <c r="W8" s="4" cm="1">
        <f t="array" ref="W8">_xlfn.PERCENTRANK.EXC(_xlfn._xlws.FILTER($O$3:$O$15, ISNUMBER($O$3:$O$15)),O8)*100</f>
        <v>14.2</v>
      </c>
      <c r="X8" s="4" cm="1">
        <f t="array" ref="X8">_xlfn.PERCENTRANK.EXC(_xlfn._xlws.FILTER($P$3:$P$15, ISNUMBER($P$3:$P$15)),P8)*100</f>
        <v>14.2</v>
      </c>
      <c r="Y8" s="201" cm="1">
        <f t="array" ref="Y8">_xlfn.PERCENTRANK.EXC(_xlfn._xlws.FILTER($S$3:$S$15, ISNUMBER($S$3:$S$15)),S8)*100</f>
        <v>14.2</v>
      </c>
      <c r="Z8" s="4" cm="1">
        <f t="array" ref="Z8">_xlfn.PERCENTRANK.EXC(_xlfn._xlws.FILTER($K$3:$K$15, ISNUMBER($K$3:$K$15)),K8)*100</f>
        <v>28.499999999999996</v>
      </c>
      <c r="AA8" s="4" cm="1">
        <f t="array" ref="AA8">_xlfn.PERCENTRANK.EXC(_xlfn._xlws.FILTER($H$3:$H$15, ISNUMBER($H$3:$H$15)),H8)*100</f>
        <v>28.499999999999996</v>
      </c>
      <c r="AB8" s="4" cm="1">
        <f t="array" ref="AB8">_xlfn.PERCENTRANK.EXC(_xlfn._xlws.FILTER($J$3:$J$15, ISNUMBER($J$3:$J$15)),J8)*100</f>
        <v>7.1</v>
      </c>
      <c r="AC8" s="4">
        <f t="shared" si="4"/>
        <v>21.4</v>
      </c>
      <c r="AD8" s="4">
        <f t="shared" si="5"/>
        <v>14.2</v>
      </c>
      <c r="AE8" s="4">
        <f t="shared" si="6"/>
        <v>42.8</v>
      </c>
      <c r="AF8" s="4">
        <f>'Economic Momentum'!Q9</f>
        <v>14.2</v>
      </c>
      <c r="AG8" s="4">
        <f ca="1">'Economic Momentum'!R9</f>
        <v>78.5</v>
      </c>
      <c r="AH8" s="4">
        <f t="shared" ca="1" si="7"/>
        <v>14.2</v>
      </c>
      <c r="AJ8" s="3" cm="1">
        <f t="array" aca="1" ref="AJ8" ca="1">_xlfn.PERCENTRANK.EXC(_xlfn._xlws.FILTER($AH$3:$AH$15, ISNUMBER($AH$3:$AH$15)),AH8)*100</f>
        <v>14.2</v>
      </c>
      <c r="AK8">
        <f t="shared" si="8"/>
        <v>0</v>
      </c>
      <c r="AM8" s="4"/>
    </row>
    <row r="9" spans="1:39" x14ac:dyDescent="0.35">
      <c r="A9" t="s">
        <v>48</v>
      </c>
      <c r="B9" t="str" cm="1">
        <f t="array" ref="B9">_xll.FDS(A9,"FG_COMPANY_NAME")</f>
        <v>iShares MSCI United Kingdom ETF</v>
      </c>
      <c r="C9" t="s">
        <v>48</v>
      </c>
      <c r="D9" s="142">
        <f>VLOOKUP(C9,'Market Capitalisation'!$C$2:$G$14,5,FALSE)</f>
        <v>3126257.5</v>
      </c>
      <c r="E9" cm="1">
        <f t="array" ref="E9">_xll.FDS(C9,"FMA_COS_UP(""EPS"",""1M"",+1,0,,,""PORTAGG"",""MEANR"")")</f>
        <v>33</v>
      </c>
      <c r="F9" cm="1">
        <f t="array" ref="F9">_xll.FDS(C9,"FMA_COS_DOWN(""EPS"",""1M"",+1,0,,,""PORTAGG"",""MEANR"")")</f>
        <v>42</v>
      </c>
      <c r="G9" cm="1">
        <f t="array" ref="G9">_xll.FDS(A9,"SIZE(FG_CONSTITUENTS)")</f>
        <v>85</v>
      </c>
      <c r="H9" s="9">
        <f t="shared" si="0"/>
        <v>0.38823529411764707</v>
      </c>
      <c r="I9" s="9">
        <f t="shared" si="1"/>
        <v>0.49411764705882355</v>
      </c>
      <c r="J9" s="9">
        <f t="shared" si="2"/>
        <v>-0.10588235294117648</v>
      </c>
      <c r="K9" s="5" cm="1">
        <f t="array" ref="K9">_xll.FDS(A9,"FMA_PCT_ABOVE_MAVG(200,0,,,,""PORTAGG"")")/100</f>
        <v>0.51190476190476197</v>
      </c>
      <c r="L9" s="41" cm="1">
        <f t="array" ref="L9">_xll.FDSB(A9,"PERCENT_CHANGE(FMA_EPS(+1,0,,,,""PORTAGG"",""MEAN""),FMA_EPS(+1,-1AM,,,,""PORTAGG"",""MEAN""))")</f>
        <v>0.70677393148964496</v>
      </c>
      <c r="M9" s="41" cm="1">
        <f t="array" ref="M9">_xll.FDSB(A9,"PERCENT_CHANGE(FMA_EPS(+1,0,,,,""PORTAGG"",""MEAN""),FMA_EPS(+1,-3AM,,,,""PORTAGG"",""MEAN""))")</f>
        <v>-3.4784596665487002</v>
      </c>
      <c r="N9" s="3" cm="1">
        <f t="array" ref="N9">_xll.FDS(C9,"FG_TOTAL_RETURNC(0,-1AM)")</f>
        <v>3.7672281000000001</v>
      </c>
      <c r="O9" s="3" cm="1">
        <f t="array" ref="O9">_xll.FDS(C9,"FG_TOTAL_RETURNC(0,-3AM)")</f>
        <v>3.2611965999999999</v>
      </c>
      <c r="P9" s="3" cm="1">
        <f t="array" ref="P9">_xll.FDS(C9,"FG_TOTAL_RETURNC(0,-6AM)")</f>
        <v>8.1434359999999995</v>
      </c>
      <c r="Q9" s="9" cm="1">
        <f t="array" ref="Q9">_xll.FDS(C9,"P_PRICE(0)/P_PRICE_HIGH_PR(0,,,USD,,,""PRICE"",""INTRA"",""52W"")")</f>
        <v>0.99515355000000005</v>
      </c>
      <c r="R9" s="9" cm="1">
        <f t="array" ref="R9">_xll.FDS(C9,"P_PRICE(0)/P_PRICE_low_PR(0,,,USD,,,""PRICE"",""INTRA"",""52W"")-1")</f>
        <v>0.12408769</v>
      </c>
      <c r="S9" s="3" cm="1">
        <f t="array" ref="S9">_xll.FDS(C9,"FG_TOTAL_RETURNC(0,-12AM)")</f>
        <v>12.062347000000001</v>
      </c>
      <c r="T9" s="4" cm="1">
        <f t="array" ref="T9">_xlfn.PERCENTRANK.EXC(_xlfn._xlws.FILTER($R$3:$R$15, ISNUMBER($R$3:$R$15)),R9)*100</f>
        <v>14.2</v>
      </c>
      <c r="U9" s="4">
        <f t="shared" si="3"/>
        <v>85.8</v>
      </c>
      <c r="V9" s="4" cm="1">
        <f t="array" ref="V9">_xlfn.PERCENTRANK.EXC(_xlfn._xlws.FILTER($Q$3:$Q$15, ISNUMBER($Q$3:$Q$15)),Q9)*100</f>
        <v>78.5</v>
      </c>
      <c r="W9" s="4" cm="1">
        <f t="array" ref="W9">_xlfn.PERCENTRANK.EXC(_xlfn._xlws.FILTER($O$3:$O$15, ISNUMBER($O$3:$O$15)),O9)*100</f>
        <v>28.499999999999996</v>
      </c>
      <c r="X9" s="4" cm="1">
        <f t="array" ref="X9">_xlfn.PERCENTRANK.EXC(_xlfn._xlws.FILTER($P$3:$P$15, ISNUMBER($P$3:$P$15)),P9)*100</f>
        <v>21.4</v>
      </c>
      <c r="Y9" s="201" cm="1">
        <f t="array" ref="Y9">_xlfn.PERCENTRANK.EXC(_xlfn._xlws.FILTER($S$3:$S$15, ISNUMBER($S$3:$S$15)),S9)*100</f>
        <v>21.4</v>
      </c>
      <c r="Z9" s="4" cm="1">
        <f t="array" ref="Z9">_xlfn.PERCENTRANK.EXC(_xlfn._xlws.FILTER($K$3:$K$15, ISNUMBER($K$3:$K$15)),K9)*100</f>
        <v>14.2</v>
      </c>
      <c r="AA9" s="4" cm="1">
        <f t="array" ref="AA9">_xlfn.PERCENTRANK.EXC(_xlfn._xlws.FILTER($H$3:$H$15, ISNUMBER($H$3:$H$15)),H9)*100</f>
        <v>71.399999999999991</v>
      </c>
      <c r="AB9" s="4" cm="1">
        <f t="array" ref="AB9">_xlfn.PERCENTRANK.EXC(_xlfn._xlws.FILTER($J$3:$J$15, ISNUMBER($J$3:$J$15)),J9)*100</f>
        <v>42.8</v>
      </c>
      <c r="AC9" s="4">
        <f t="shared" si="4"/>
        <v>71.399999999999991</v>
      </c>
      <c r="AD9" s="4">
        <f t="shared" si="5"/>
        <v>50</v>
      </c>
      <c r="AE9" s="4">
        <f t="shared" si="6"/>
        <v>64.2</v>
      </c>
      <c r="AF9" s="4">
        <f>'Economic Momentum'!Q10</f>
        <v>35.699999999999996</v>
      </c>
      <c r="AG9" s="4">
        <f ca="1">'Economic Momentum'!R10</f>
        <v>85.7</v>
      </c>
      <c r="AH9" s="4">
        <f t="shared" ca="1" si="7"/>
        <v>46.370000000000005</v>
      </c>
      <c r="AJ9" s="3" cm="1">
        <f t="array" aca="1" ref="AJ9" ca="1">_xlfn.PERCENTRANK.EXC(_xlfn._xlws.FILTER($AH$3:$AH$15, ISNUMBER($AH$3:$AH$15)),AH9)*100</f>
        <v>35.699999999999996</v>
      </c>
      <c r="AK9">
        <f t="shared" si="8"/>
        <v>2</v>
      </c>
      <c r="AM9" s="4"/>
    </row>
    <row r="10" spans="1:39" x14ac:dyDescent="0.35">
      <c r="A10" t="s">
        <v>51</v>
      </c>
      <c r="B10" t="str" cm="1">
        <f t="array" ref="B10">_xll.FDS(A10,"FG_COMPANY_NAME")</f>
        <v>Invesco QQQ Trust Series I</v>
      </c>
      <c r="C10" t="s">
        <v>51</v>
      </c>
      <c r="D10" s="142">
        <f>VLOOKUP(C10,'Market Capitalisation'!$C$2:$G$14,5,FALSE)</f>
        <v>54772308</v>
      </c>
      <c r="E10" cm="1">
        <f t="array" ref="E10">_xll.FDS(C10,"FMA_COS_UP(""EPS"",""1M"",+1,0,,,""PORTAGG"",""MEANR"")")</f>
        <v>33</v>
      </c>
      <c r="F10" cm="1">
        <f t="array" ref="F10">_xll.FDS(C10,"FMA_COS_DOWN(""EPS"",""1M"",+1,0,,,""PORTAGG"",""MEANR"")")</f>
        <v>42</v>
      </c>
      <c r="G10" cm="1">
        <f t="array" ref="G10">_xll.FDS(A10,"SIZE(FG_CONSTITUENTS)")</f>
        <v>102</v>
      </c>
      <c r="H10" s="9">
        <f t="shared" si="0"/>
        <v>0.3235294117647059</v>
      </c>
      <c r="I10" s="9">
        <f t="shared" si="1"/>
        <v>0.41176470588235292</v>
      </c>
      <c r="J10" s="9">
        <f t="shared" si="2"/>
        <v>-8.8235294117647023E-2</v>
      </c>
      <c r="K10" s="5" cm="1">
        <f t="array" ref="K10">_xll.FDS(A10,"FMA_PCT_ABOVE_MAVG(200,0,,,,""PORTAGG"")")/100</f>
        <v>0.74509803921568607</v>
      </c>
      <c r="L10" s="41" cm="1">
        <f t="array" ref="L10">_xll.FDSB(A10,"PERCENT_CHANGE(FMA_EPS(+1,0,,,,""PORTAGG"",""MEAN""),FMA_EPS(+1,-1AM,,,,""PORTAGG"",""MEAN""))")</f>
        <v>0.14394165280072899</v>
      </c>
      <c r="M10" s="41" cm="1">
        <f t="array" ref="M10">_xll.FDSB(A10,"PERCENT_CHANGE(FMA_EPS(+1,0,,,,""PORTAGG"",""MEAN""),FMA_EPS(+1,-3AM,,,,""PORTAGG"",""MEAN""))")</f>
        <v>-6.4482583954780903E-2</v>
      </c>
      <c r="N10" s="3" cm="1">
        <f t="array" ref="N10">_xll.FDS(C10,"FG_TOTAL_RETURNC(0,-1AM)")</f>
        <v>4.8975587000000003</v>
      </c>
      <c r="O10" s="3" cm="1">
        <f t="array" ref="O10">_xll.FDS(C10,"FG_TOTAL_RETURNC(0,-3AM)")</f>
        <v>9.5442660000000004</v>
      </c>
      <c r="P10" s="3" cm="1">
        <f t="array" ref="P10">_xll.FDS(C10,"FG_TOTAL_RETURNC(0,-6AM)")</f>
        <v>25.070022999999999</v>
      </c>
      <c r="Q10" s="9" cm="1">
        <f t="array" ref="Q10">_xll.FDS(C10,"P_PRICE(0)/P_PRICE_HIGH_PR(0,,,USD,,,""PRICE"",""INTRA"",""52W"")")</f>
        <v>0.99227756</v>
      </c>
      <c r="R10" s="9" cm="1">
        <f t="array" ref="R10">_xll.FDS(C10,"P_PRICE(0)/P_PRICE_low_PR(0,,,USD,,,""PRICE"",""INTRA"",""52W"")-1")</f>
        <v>0.46295297000000002</v>
      </c>
      <c r="S10" s="3" cm="1">
        <f t="array" ref="S10">_xll.FDS(C10,"FG_TOTAL_RETURNC(0,-12AM)")</f>
        <v>44.627772999999998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57.099999999999994</v>
      </c>
      <c r="W10" s="4" cm="1">
        <f t="array" ref="W10">_xlfn.PERCENTRANK.EXC(_xlfn._xlws.FILTER($O$3:$O$15, ISNUMBER($O$3:$O$15)),O10)*100</f>
        <v>64.2</v>
      </c>
      <c r="X10" s="4" cm="1">
        <f t="array" ref="X10">_xlfn.PERCENTRANK.EXC(_xlfn._xlws.FILTER($P$3:$P$15, ISNUMBER($P$3:$P$15)),P10)*100</f>
        <v>78.5</v>
      </c>
      <c r="Y10" s="201" cm="1">
        <f t="array" ref="Y10">_xlfn.PERCENTRANK.EXC(_xlfn._xlws.FILTER($S$3:$S$15, ISNUMBER($S$3:$S$15)),S10)*100</f>
        <v>92.800000000000011</v>
      </c>
      <c r="Z10" s="4" cm="1">
        <f t="array" ref="Z10">_xlfn.PERCENTRANK.EXC(_xlfn._xlws.FILTER($K$3:$K$15, ISNUMBER($K$3:$K$15)),K10)*100</f>
        <v>71.399999999999991</v>
      </c>
      <c r="AA10" s="4" cm="1">
        <f t="array" ref="AA10">_xlfn.PERCENTRANK.EXC(_xlfn._xlws.FILTER($H$3:$H$15, ISNUMBER($H$3:$H$15)),H10)*100</f>
        <v>21.4</v>
      </c>
      <c r="AB10" s="4" cm="1">
        <f t="array" ref="AB10">_xlfn.PERCENTRANK.EXC(_xlfn._xlws.FILTER($J$3:$J$15, ISNUMBER($J$3:$J$15)),J10)*100</f>
        <v>50</v>
      </c>
      <c r="AC10" s="4">
        <f t="shared" si="4"/>
        <v>64.2</v>
      </c>
      <c r="AD10" s="4">
        <f t="shared" si="5"/>
        <v>85.7</v>
      </c>
      <c r="AE10" s="4">
        <f t="shared" si="6"/>
        <v>85.7</v>
      </c>
      <c r="AF10" s="4">
        <f>'Economic Momentum'!Q11</f>
        <v>85.7</v>
      </c>
      <c r="AG10" s="4">
        <f ca="1">'Economic Momentum'!R11</f>
        <v>64.2</v>
      </c>
      <c r="AH10" s="4">
        <f t="shared" ca="1" si="7"/>
        <v>65.650000000000006</v>
      </c>
      <c r="AJ10" s="3" cm="1">
        <f t="array" aca="1" ref="AJ10" ca="1">_xlfn.PERCENTRANK.EXC(_xlfn._xlws.FILTER($AH$3:$AH$15, ISNUMBER($AH$3:$AH$15)),AH10)*100</f>
        <v>78.5</v>
      </c>
      <c r="AK10">
        <f t="shared" si="8"/>
        <v>3</v>
      </c>
      <c r="AM10" s="4"/>
    </row>
    <row r="11" spans="1:39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142">
        <f>VLOOKUP(C11,'Market Capitalisation'!$C$2:$G$14,5,FALSE)</f>
        <v>54772308</v>
      </c>
      <c r="E11" cm="1">
        <f t="array" ref="E11">_xll.FDS(C11,"FMA_COS_UP(""EPS"",""1M"",+1,0,,,""PORTAGG"",""MEANR"")")</f>
        <v>172</v>
      </c>
      <c r="F11" cm="1">
        <f t="array" ref="F11">_xll.FDS(C11,"FMA_COS_DOWN(""EPS"",""1M"",+1,0,,,""PORTAGG"",""MEANR"")")</f>
        <v>186</v>
      </c>
      <c r="G11" cm="1">
        <f t="array" ref="G11">_xll.FDS(A11,"SIZE(FG_CONSTITUENTS)")</f>
        <v>504</v>
      </c>
      <c r="H11" s="9">
        <f t="shared" si="0"/>
        <v>0.34126984126984128</v>
      </c>
      <c r="I11" s="9">
        <f t="shared" si="1"/>
        <v>0.36904761904761907</v>
      </c>
      <c r="J11" s="9">
        <f t="shared" si="2"/>
        <v>-2.777777777777779E-2</v>
      </c>
      <c r="K11" s="5" cm="1">
        <f t="array" ref="K11">_xll.FDS(A11,"FMA_PCT_ABOVE_MAVG(200,0,,,,""PORTAGG"")")/100</f>
        <v>0.791252485089463</v>
      </c>
      <c r="L11" s="41" cm="1">
        <f t="array" ref="L11">_xll.FDSB(A11,"PERCENT_CHANGE(FMA_EPS(+1,0,,,,""PORTAGG"",""MEAN""),FMA_EPS(+1,-1AM,,,,""PORTAGG"",""MEAN""))")</f>
        <v>-0.101446060268754</v>
      </c>
      <c r="M11" s="41" cm="1">
        <f t="array" ref="M11">_xll.FDSB(A11,"PERCENT_CHANGE(FMA_EPS(+1,0,,,,""PORTAGG"",""MEAN""),FMA_EPS(+1,-3AM,,,,""PORTAGG"",""MEAN""))")</f>
        <v>-0.40990964709939998</v>
      </c>
      <c r="N11" s="3" cm="1">
        <f t="array" ref="N11">_xll.FDS(C11,"FG_TOTAL_RETURNC(0,-1AM)")</f>
        <v>5.3546069999999997</v>
      </c>
      <c r="O11" s="3" cm="1">
        <f t="array" ref="O11">_xll.FDS(C11,"FG_TOTAL_RETURNC(0,-3AM)")</f>
        <v>10.8173485</v>
      </c>
      <c r="P11" s="3" cm="1">
        <f t="array" ref="P11">_xll.FDS(C11,"FG_TOTAL_RETURNC(0,-6AM)")</f>
        <v>21.922398000000001</v>
      </c>
      <c r="Q11" s="9" cm="1">
        <f t="array" ref="Q11">_xll.FDS(C11,"P_PRICE(0)/P_PRICE_HIGH_PR(0,,,USD,,,""PRICE"",""INTRA"",""52W"")")</f>
        <v>0.99635580000000001</v>
      </c>
      <c r="R11" s="9" cm="1">
        <f t="array" ref="R11">_xll.FDS(C11,"P_PRICE(0)/P_PRICE_low_PR(0,,,USD,,,""PRICE"",""INTRA"",""52W"")-1")</f>
        <v>0.34103749999999999</v>
      </c>
      <c r="S11" s="3" cm="1">
        <f t="array" ref="S11">_xll.FDS(C11,"FG_TOTAL_RETURNC(0,-12AM)")</f>
        <v>32.813679999999998</v>
      </c>
      <c r="T11" s="4" cm="1">
        <f t="array" ref="T11">_xlfn.PERCENTRANK.EXC(_xlfn._xlws.FILTER($R$3:$R$15, ISNUMBER($R$3:$R$15)),R11)*100</f>
        <v>78.5</v>
      </c>
      <c r="U11" s="4">
        <f t="shared" si="3"/>
        <v>21.5</v>
      </c>
      <c r="V11" s="4" cm="1">
        <f t="array" ref="V11">_xlfn.PERCENTRANK.EXC(_xlfn._xlws.FILTER($Q$3:$Q$15, ISNUMBER($Q$3:$Q$15)),Q11)*100</f>
        <v>85.7</v>
      </c>
      <c r="W11" s="4" cm="1">
        <f t="array" ref="W11">_xlfn.PERCENTRANK.EXC(_xlfn._xlws.FILTER($O$3:$O$15, ISNUMBER($O$3:$O$15)),O11)*100</f>
        <v>78.5</v>
      </c>
      <c r="X11" s="4" cm="1">
        <f t="array" ref="X11">_xlfn.PERCENTRANK.EXC(_xlfn._xlws.FILTER($P$3:$P$15, ISNUMBER($P$3:$P$15)),P11)*100</f>
        <v>71.399999999999991</v>
      </c>
      <c r="Y11" s="201" cm="1">
        <f t="array" ref="Y11">_xlfn.PERCENTRANK.EXC(_xlfn._xlws.FILTER($S$3:$S$15, ISNUMBER($S$3:$S$15)),S11)*100</f>
        <v>85.7</v>
      </c>
      <c r="Z11" s="4" cm="1">
        <f t="array" ref="Z11">_xlfn.PERCENTRANK.EXC(_xlfn._xlws.FILTER($K$3:$K$15, ISNUMBER($K$3:$K$15)),K11)*100</f>
        <v>85.7</v>
      </c>
      <c r="AA11" s="4" cm="1">
        <f t="array" ref="AA11">_xlfn.PERCENTRANK.EXC(_xlfn._xlws.FILTER($H$3:$H$15, ISNUMBER($H$3:$H$15)),H11)*100</f>
        <v>35.699999999999996</v>
      </c>
      <c r="AB11" s="4" cm="1">
        <f t="array" ref="AB11">_xlfn.PERCENTRANK.EXC(_xlfn._xlws.FILTER($J$3:$J$15, ISNUMBER($J$3:$J$15)),J11)*100</f>
        <v>64.2</v>
      </c>
      <c r="AC11" s="4">
        <f t="shared" si="4"/>
        <v>57.099999999999994</v>
      </c>
      <c r="AD11" s="4">
        <f t="shared" si="5"/>
        <v>78.5</v>
      </c>
      <c r="AE11" s="4">
        <f t="shared" si="6"/>
        <v>85.7</v>
      </c>
      <c r="AF11" s="4">
        <f>'Economic Momentum'!Q12</f>
        <v>85.7</v>
      </c>
      <c r="AG11" s="4">
        <f ca="1">'Economic Momentum'!R12</f>
        <v>64.2</v>
      </c>
      <c r="AH11" s="4">
        <f t="shared" ca="1" si="7"/>
        <v>79.25</v>
      </c>
      <c r="AJ11" s="3" cm="1">
        <f t="array" aca="1" ref="AJ11" ca="1">_xlfn.PERCENTRANK.EXC(_xlfn._xlws.FILTER($AH$3:$AH$15, ISNUMBER($AH$3:$AH$15)),AH11)*100</f>
        <v>85.7</v>
      </c>
      <c r="AK11">
        <f t="shared" si="8"/>
        <v>5</v>
      </c>
      <c r="AM11" s="4"/>
    </row>
    <row r="12" spans="1:39" x14ac:dyDescent="0.35">
      <c r="A12" t="s">
        <v>865</v>
      </c>
      <c r="B12" t="str" cm="1">
        <f t="array" ref="B12">_xll.FDS(A12,"FG_COMPANY_NAME")</f>
        <v>iShares MSCI France ETF</v>
      </c>
      <c r="C12" t="s">
        <v>865</v>
      </c>
      <c r="D12" s="142">
        <f>VLOOKUP(C12,'Market Capitalisation'!$C$2:$G$14,5,FALSE)</f>
        <v>3446994</v>
      </c>
      <c r="E12" cm="1">
        <f t="array" ref="E12">_xll.FDS(C12,"FMA_COS_UP(""EPS"",""1M"",+1,0,,,""PORTAGG"",""MEANR"")")</f>
        <v>29</v>
      </c>
      <c r="F12" cm="1">
        <f t="array" ref="F12">_xll.FDS(C12,"FMA_COS_DOWN(""EPS"",""1M"",+1,0,,,""PORTAGG"",""MEANR"")")</f>
        <v>24</v>
      </c>
      <c r="G12" cm="1">
        <f t="array" ref="G12">_xll.FDS(A12,"SIZE(FG_CONSTITUENTS)")</f>
        <v>63</v>
      </c>
      <c r="H12" s="9">
        <f t="shared" ref="H12:H15" si="9">E12/$G12</f>
        <v>0.46031746031746029</v>
      </c>
      <c r="I12" s="9">
        <f t="shared" ref="I12:I15" si="10">F12/$G12</f>
        <v>0.38095238095238093</v>
      </c>
      <c r="J12" s="9">
        <f t="shared" ref="J12:J15" si="11">H12-I12</f>
        <v>7.9365079365079361E-2</v>
      </c>
      <c r="K12" s="5" cm="1">
        <f t="array" ref="K12">_xll.FDS(A12,"FMA_PCT_ABOVE_MAVG(200,0,,,,""PORTAGG"")")/100</f>
        <v>0.73015873015873001</v>
      </c>
      <c r="L12" s="41" cm="1">
        <f t="array" ref="L12">_xll.FDSB(A12,"PERCENT_CHANGE(FMA_EPS(+1,0,,,,""PORTAGG"",""MEAN""),FMA_EPS(+1,-1AM,,,,""PORTAGG"",""MEAN""))")</f>
        <v>-0.61735755561471395</v>
      </c>
      <c r="M12" s="41" cm="1">
        <f t="array" ref="M12">_xll.FDSB(A12,"PERCENT_CHANGE(FMA_EPS(+1,0,,,,""PORTAGG"",""MEAN""),FMA_EPS(+1,-3AM,,,,""PORTAGG"",""MEAN""))")</f>
        <v>-5.0965100786227504</v>
      </c>
      <c r="N12" s="3" cm="1">
        <f t="array" ref="N12">_xll.FDS(C12,"FG_TOTAL_RETURNC(0,-1AM)")</f>
        <v>4.1551229999999997</v>
      </c>
      <c r="O12" s="3" cm="1">
        <f t="array" ref="O12">_xll.FDS(C12,"FG_TOTAL_RETURNC(0,-3AM)")</f>
        <v>5.5640697000000001</v>
      </c>
      <c r="P12" s="3" cm="1">
        <f t="array" ref="P12">_xll.FDS(C12,"FG_TOTAL_RETURNC(0,-6AM)")</f>
        <v>15.15733</v>
      </c>
      <c r="Q12" s="9" cm="1">
        <f t="array" ref="Q12">_xll.FDS(C12,"P_PRICE(0)/P_PRICE_HIGH_PR(0,,,USD,,,""PRICE"",""INTRA"",""52W"")")</f>
        <v>0.98770153999999999</v>
      </c>
      <c r="R12" s="9" cm="1">
        <f t="array" ref="R12">_xll.FDS(C12,"P_PRICE(0)/P_PRICE_low_PR(0,,,USD,,,""PRICE"",""INTRA"",""52W"")-1")</f>
        <v>0.22875822000000001</v>
      </c>
      <c r="S12" s="3" cm="1">
        <f t="array" ref="S12">_xll.FDS(C12,"FG_TOTAL_RETURNC(0,-12AM)")</f>
        <v>16.316105</v>
      </c>
      <c r="T12" s="4" cm="1">
        <f t="array" ref="T12">_xlfn.PERCENTRANK.EXC(_xlfn._xlws.FILTER($R$3:$R$15, ISNUMBER($R$3:$R$15)),R12)*100</f>
        <v>42.8</v>
      </c>
      <c r="U12" s="4">
        <f t="shared" ref="U12:U15" si="12">100-T12</f>
        <v>57.2</v>
      </c>
      <c r="V12" s="4" cm="1">
        <f t="array" ref="V12">_xlfn.PERCENTRANK.EXC(_xlfn._xlws.FILTER($Q$3:$Q$15, ISNUMBER($Q$3:$Q$15)),Q12)*100</f>
        <v>35.699999999999996</v>
      </c>
      <c r="W12" s="4" cm="1">
        <f t="array" ref="W12">_xlfn.PERCENTRANK.EXC(_xlfn._xlws.FILTER($O$3:$O$15, ISNUMBER($O$3:$O$15)),O12)*100</f>
        <v>42.8</v>
      </c>
      <c r="X12" s="4" cm="1">
        <f t="array" ref="X12">_xlfn.PERCENTRANK.EXC(_xlfn._xlws.FILTER($P$3:$P$15, ISNUMBER($P$3:$P$15)),P12)*100</f>
        <v>35.699999999999996</v>
      </c>
      <c r="Y12" s="201" cm="1">
        <f t="array" ref="Y12">_xlfn.PERCENTRANK.EXC(_xlfn._xlws.FILTER($S$3:$S$15, ISNUMBER($S$3:$S$15)),S12)*100</f>
        <v>35.699999999999996</v>
      </c>
      <c r="Z12" s="4" cm="1">
        <f t="array" ref="Z12">_xlfn.PERCENTRANK.EXC(_xlfn._xlws.FILTER($K$3:$K$15, ISNUMBER($K$3:$K$15)),K12)*100</f>
        <v>57.099999999999994</v>
      </c>
      <c r="AA12" s="4" cm="1">
        <f t="array" ref="AA12">_xlfn.PERCENTRANK.EXC(_xlfn._xlws.FILTER($H$3:$H$15, ISNUMBER($H$3:$H$15)),H12)*100</f>
        <v>78.5</v>
      </c>
      <c r="AB12" s="4" cm="1">
        <f t="array" ref="AB12">_xlfn.PERCENTRANK.EXC(_xlfn._xlws.FILTER($J$3:$J$15, ISNUMBER($J$3:$J$15)),J12)*100</f>
        <v>78.5</v>
      </c>
      <c r="AC12" s="4">
        <f t="shared" si="4"/>
        <v>35.699999999999996</v>
      </c>
      <c r="AD12" s="4">
        <f t="shared" si="5"/>
        <v>28.499999999999996</v>
      </c>
      <c r="AE12" s="4">
        <f t="shared" si="6"/>
        <v>71.399999999999991</v>
      </c>
      <c r="AF12" s="4">
        <f>'Economic Momentum'!Q13</f>
        <v>21.4</v>
      </c>
      <c r="AG12" s="4">
        <f ca="1">'Economic Momentum'!R13</f>
        <v>7.1</v>
      </c>
      <c r="AH12" s="4">
        <f t="shared" ca="1" si="7"/>
        <v>37.83</v>
      </c>
      <c r="AJ12" s="3" cm="1">
        <f t="array" aca="1" ref="AJ12" ca="1">_xlfn.PERCENTRANK.EXC(_xlfn._xlws.FILTER($AH$3:$AH$15, ISNUMBER($AH$3:$AH$15)),AH12)*100</f>
        <v>28.499999999999996</v>
      </c>
      <c r="AK12">
        <f t="shared" si="8"/>
        <v>2</v>
      </c>
    </row>
    <row r="13" spans="1:39" x14ac:dyDescent="0.35">
      <c r="A13" t="s">
        <v>867</v>
      </c>
      <c r="B13" t="str" cm="1">
        <f t="array" ref="B13">_xll.FDS(A13,"FG_COMPANY_NAME")</f>
        <v>iShares MSCI Netherlands ETF</v>
      </c>
      <c r="C13" t="s">
        <v>867</v>
      </c>
      <c r="D13" s="142">
        <f>VLOOKUP(C13,'Market Capitalisation'!$C$2:$G$14,5,FALSE)</f>
        <v>1144022</v>
      </c>
      <c r="E13" cm="1">
        <f t="array" ref="E13">_xll.FDS(C13,"FMA_COS_UP(""EPS"",""1M"",+1,0,,,""PORTAGG"",""MEANR"")")</f>
        <v>16</v>
      </c>
      <c r="F13" cm="1">
        <f t="array" ref="F13">_xll.FDS(C13,"FMA_COS_DOWN(""EPS"",""1M"",+1,0,,,""PORTAGG"",""MEANR"")")</f>
        <v>29</v>
      </c>
      <c r="G13" cm="1">
        <f t="array" ref="G13">_xll.FDS(A13,"SIZE(FG_CONSTITUENTS)")</f>
        <v>54</v>
      </c>
      <c r="H13" s="9">
        <f t="shared" si="9"/>
        <v>0.29629629629629628</v>
      </c>
      <c r="I13" s="9">
        <f t="shared" si="10"/>
        <v>0.53703703703703709</v>
      </c>
      <c r="J13" s="9">
        <f t="shared" si="11"/>
        <v>-0.24074074074074081</v>
      </c>
      <c r="K13" s="5" cm="1">
        <f t="array" ref="K13">_xll.FDS(A13,"FMA_PCT_ABOVE_MAVG(200,0,,,,""PORTAGG"")")/100</f>
        <v>0.57407407407407396</v>
      </c>
      <c r="L13" s="41" cm="1">
        <f t="array" ref="L13">_xll.FDSB(A13,"PERCENT_CHANGE(FMA_EPS(+1,0,,,,""PORTAGG"",""MEAN""),FMA_EPS(+1,-1AM,,,,""PORTAGG"",""MEAN""))")</f>
        <v>1.99417598193696</v>
      </c>
      <c r="M13" s="41" cm="1">
        <f t="array" ref="M13">_xll.FDSB(A13,"PERCENT_CHANGE(FMA_EPS(+1,0,,,,""PORTAGG"",""MEAN""),FMA_EPS(+1,-3AM,,,,""PORTAGG"",""MEAN""))")</f>
        <v>-0.92631873954531596</v>
      </c>
      <c r="N13" s="3" cm="1">
        <f t="array" ref="N13">_xll.FDS(C13,"FG_TOTAL_RETURNC(0,-1AM)")</f>
        <v>5.1118135000000002</v>
      </c>
      <c r="O13" s="3" cm="1">
        <f t="array" ref="O13">_xll.FDS(C13,"FG_TOTAL_RETURNC(0,-3AM)")</f>
        <v>10.526312000000001</v>
      </c>
      <c r="P13" s="3" cm="1">
        <f t="array" ref="P13">_xll.FDS(C13,"FG_TOTAL_RETURNC(0,-6AM)")</f>
        <v>29.417824</v>
      </c>
      <c r="Q13" s="9" cm="1">
        <f t="array" ref="Q13">_xll.FDS(C13,"P_PRICE(0)/P_PRICE_HIGH_PR(0,,,USD,,,""PRICE"",""INTRA"",""52W"")")</f>
        <v>0.98739489999999996</v>
      </c>
      <c r="R13" s="9" cm="1">
        <f t="array" ref="R13">_xll.FDS(C13,"P_PRICE(0)/P_PRICE_low_PR(0,,,USD,,,""PRICE"",""INTRA"",""52W"")-1")</f>
        <v>0.35987866000000002</v>
      </c>
      <c r="S13" s="3" cm="1">
        <f t="array" ref="S13">_xll.FDS(C13,"FG_TOTAL_RETURNC(0,-12AM)")</f>
        <v>23.475933000000001</v>
      </c>
      <c r="T13" s="4" cm="1">
        <f t="array" ref="T13">_xlfn.PERCENTRANK.EXC(_xlfn._xlws.FILTER($R$3:$R$15, ISNUMBER($R$3:$R$15)),R13)*100</f>
        <v>85.7</v>
      </c>
      <c r="U13" s="4">
        <f t="shared" si="12"/>
        <v>14.299999999999997</v>
      </c>
      <c r="V13" s="4" cm="1">
        <f t="array" ref="V13">_xlfn.PERCENTRANK.EXC(_xlfn._xlws.FILTER($Q$3:$Q$15, ISNUMBER($Q$3:$Q$15)),Q13)*100</f>
        <v>28.499999999999996</v>
      </c>
      <c r="W13" s="4" cm="1">
        <f t="array" ref="W13">_xlfn.PERCENTRANK.EXC(_xlfn._xlws.FILTER($O$3:$O$15, ISNUMBER($O$3:$O$15)),O13)*100</f>
        <v>71.399999999999991</v>
      </c>
      <c r="X13" s="4" cm="1">
        <f t="array" ref="X13">_xlfn.PERCENTRANK.EXC(_xlfn._xlws.FILTER($P$3:$P$15, ISNUMBER($P$3:$P$15)),P13)*100</f>
        <v>85.7</v>
      </c>
      <c r="Y13" s="201" cm="1">
        <f t="array" ref="Y13">_xlfn.PERCENTRANK.EXC(_xlfn._xlws.FILTER($S$3:$S$15, ISNUMBER($S$3:$S$15)),S13)*100</f>
        <v>64.2</v>
      </c>
      <c r="Z13" s="4" cm="1">
        <f t="array" ref="Z13">_xlfn.PERCENTRANK.EXC(_xlfn._xlws.FILTER($K$3:$K$15, ISNUMBER($K$3:$K$15)),K13)*100</f>
        <v>21.4</v>
      </c>
      <c r="AA13" s="4" cm="1">
        <f t="array" ref="AA13">_xlfn.PERCENTRANK.EXC(_xlfn._xlws.FILTER($H$3:$H$15, ISNUMBER($H$3:$H$15)),H13)*100</f>
        <v>14.2</v>
      </c>
      <c r="AB13" s="4" cm="1">
        <f t="array" ref="AB13">_xlfn.PERCENTRANK.EXC(_xlfn._xlws.FILTER($J$3:$J$15, ISNUMBER($J$3:$J$15)),J13)*100</f>
        <v>14.2</v>
      </c>
      <c r="AC13" s="4">
        <f t="shared" si="4"/>
        <v>92.800000000000011</v>
      </c>
      <c r="AD13" s="4">
        <f t="shared" si="5"/>
        <v>71.399999999999991</v>
      </c>
      <c r="AE13" s="4">
        <f t="shared" si="6"/>
        <v>28.499999999999996</v>
      </c>
      <c r="AF13" s="4">
        <f>'Economic Momentum'!Q14</f>
        <v>64.2</v>
      </c>
      <c r="AG13" s="4">
        <f ca="1">'Economic Momentum'!R14</f>
        <v>50</v>
      </c>
      <c r="AH13" s="4">
        <f t="shared" ca="1" si="7"/>
        <v>58.529999999999994</v>
      </c>
      <c r="AJ13" s="3" cm="1">
        <f t="array" aca="1" ref="AJ13" ca="1">_xlfn.PERCENTRANK.EXC(_xlfn._xlws.FILTER($AH$3:$AH$15, ISNUMBER($AH$3:$AH$15)),AH13)*100</f>
        <v>50</v>
      </c>
      <c r="AK13">
        <f t="shared" si="8"/>
        <v>2</v>
      </c>
    </row>
    <row r="14" spans="1:39" x14ac:dyDescent="0.35">
      <c r="A14" t="s">
        <v>864</v>
      </c>
      <c r="B14" t="str" cm="1">
        <f t="array" ref="B14">_xll.FDS(A14,"FG_COMPANY_NAME")</f>
        <v>iShares MSCI Sweden ETF</v>
      </c>
      <c r="C14" t="s">
        <v>864</v>
      </c>
      <c r="D14" s="142">
        <f>VLOOKUP(C14,'Market Capitalisation'!$C$2:$G$14,5,FALSE)</f>
        <v>1066487.5</v>
      </c>
      <c r="E14" cm="1">
        <f t="array" ref="E14">_xll.FDS(C14,"FMA_COS_UP(""EPS"",""1M"",+1,0,,,""PORTAGG"",""MEANR"")")</f>
        <v>9</v>
      </c>
      <c r="F14" cm="1">
        <f t="array" ref="F14">_xll.FDS(C14,"FMA_COS_DOWN(""EPS"",""1M"",+1,0,,,""PORTAGG"",""MEANR"")")</f>
        <v>14</v>
      </c>
      <c r="G14" cm="1">
        <f t="array" ref="G14">_xll.FDS(A14,"SIZE(FG_CONSTITUENTS)")</f>
        <v>44</v>
      </c>
      <c r="H14" s="9">
        <f t="shared" si="9"/>
        <v>0.20454545454545456</v>
      </c>
      <c r="I14" s="9">
        <f t="shared" si="10"/>
        <v>0.31818181818181818</v>
      </c>
      <c r="J14" s="9">
        <f t="shared" si="11"/>
        <v>-0.11363636363636362</v>
      </c>
      <c r="K14" s="5" cm="1">
        <f t="array" ref="K14">_xll.FDS(A14,"FMA_PCT_ABOVE_MAVG(200,0,,,,""PORTAGG"")")/100</f>
        <v>0.837209302325581</v>
      </c>
      <c r="L14" s="41" cm="1">
        <f t="array" ref="L14">_xll.FDSB(A14,"PERCENT_CHANGE(FMA_EPS(+1,0,,,,""PORTAGG"",""MEAN""),FMA_EPS(+1,-1AM,,,,""PORTAGG"",""MEAN""))")</f>
        <v>-0.50993075393793996</v>
      </c>
      <c r="M14" s="41" cm="1">
        <f t="array" ref="M14">_xll.FDSB(A14,"PERCENT_CHANGE(FMA_EPS(+1,0,,,,""PORTAGG"",""MEAN""),FMA_EPS(+1,-3AM,,,,""PORTAGG"",""MEAN""))")</f>
        <v>-4.9667156315196399</v>
      </c>
      <c r="N14" s="3" cm="1">
        <f t="array" ref="N14">_xll.FDS(C14,"FG_TOTAL_RETURNC(0,-1AM)")</f>
        <v>5.5498599999999998</v>
      </c>
      <c r="O14" s="3" cm="1">
        <f t="array" ref="O14">_xll.FDS(C14,"FG_TOTAL_RETURNC(0,-3AM)")</f>
        <v>5.2254079999999998</v>
      </c>
      <c r="P14" s="3" cm="1">
        <f t="array" ref="P14">_xll.FDS(C14,"FG_TOTAL_RETURNC(0,-6AM)")</f>
        <v>29.561222000000001</v>
      </c>
      <c r="Q14" s="9" cm="1">
        <f t="array" ref="Q14">_xll.FDS(C14,"P_PRICE(0)/P_PRICE_HIGH_PR(0,,,USD,,,""PRICE"",""INTRA"",""52W"")")</f>
        <v>0.98845046999999997</v>
      </c>
      <c r="R14" s="9" cm="1">
        <f t="array" ref="R14">_xll.FDS(C14,"P_PRICE(0)/P_PRICE_low_PR(0,,,USD,,,""PRICE"",""INTRA"",""52W"")-1")</f>
        <v>0.33876489999999998</v>
      </c>
      <c r="S14" s="3" cm="1">
        <f t="array" ref="S14">_xll.FDS(C14,"FG_TOTAL_RETURNC(0,-12AM)")</f>
        <v>22.403144999999999</v>
      </c>
      <c r="T14" s="4" cm="1">
        <f t="array" ref="T14">_xlfn.PERCENTRANK.EXC(_xlfn._xlws.FILTER($R$3:$R$15, ISNUMBER($R$3:$R$15)),R14)*100</f>
        <v>71.399999999999991</v>
      </c>
      <c r="U14" s="4">
        <f t="shared" si="12"/>
        <v>28.600000000000009</v>
      </c>
      <c r="V14" s="4" cm="1">
        <f t="array" ref="V14">_xlfn.PERCENTRANK.EXC(_xlfn._xlws.FILTER($Q$3:$Q$15, ISNUMBER($Q$3:$Q$15)),Q14)*100</f>
        <v>50</v>
      </c>
      <c r="W14" s="4" cm="1">
        <f t="array" ref="W14">_xlfn.PERCENTRANK.EXC(_xlfn._xlws.FILTER($O$3:$O$15, ISNUMBER($O$3:$O$15)),O14)*100</f>
        <v>35.699999999999996</v>
      </c>
      <c r="X14" s="4" cm="1">
        <f t="array" ref="X14">_xlfn.PERCENTRANK.EXC(_xlfn._xlws.FILTER($P$3:$P$15, ISNUMBER($P$3:$P$15)),P14)*100</f>
        <v>92.800000000000011</v>
      </c>
      <c r="Y14" s="201" cm="1">
        <f t="array" ref="Y14">_xlfn.PERCENTRANK.EXC(_xlfn._xlws.FILTER($S$3:$S$15, ISNUMBER($S$3:$S$15)),S14)*100</f>
        <v>57.099999999999994</v>
      </c>
      <c r="Z14" s="4" cm="1">
        <f t="array" ref="Z14">_xlfn.PERCENTRANK.EXC(_xlfn._xlws.FILTER($K$3:$K$15, ISNUMBER($K$3:$K$15)),K14)*100</f>
        <v>92.800000000000011</v>
      </c>
      <c r="AA14" s="4" cm="1">
        <f t="array" ref="AA14">_xlfn.PERCENTRANK.EXC(_xlfn._xlws.FILTER($H$3:$H$15, ISNUMBER($H$3:$H$15)),H14)*100</f>
        <v>7.1</v>
      </c>
      <c r="AB14" s="4" cm="1">
        <f t="array" ref="AB14">_xlfn.PERCENTRANK.EXC(_xlfn._xlws.FILTER($J$3:$J$15, ISNUMBER($J$3:$J$15)),J14)*100</f>
        <v>35.699999999999996</v>
      </c>
      <c r="AC14" s="4">
        <f t="shared" si="4"/>
        <v>42.8</v>
      </c>
      <c r="AD14" s="4">
        <f t="shared" si="5"/>
        <v>35.699999999999996</v>
      </c>
      <c r="AE14" s="4">
        <f t="shared" si="6"/>
        <v>21.4</v>
      </c>
      <c r="AF14" s="4">
        <f>'Economic Momentum'!Q15</f>
        <v>78.5</v>
      </c>
      <c r="AG14" s="4">
        <f ca="1">'Economic Momentum'!R15</f>
        <v>57.099999999999994</v>
      </c>
      <c r="AH14" s="4">
        <f t="shared" ca="1" si="7"/>
        <v>58.550000000000004</v>
      </c>
      <c r="AJ14" s="3" cm="1">
        <f t="array" aca="1" ref="AJ14" ca="1">_xlfn.PERCENTRANK.EXC(_xlfn._xlws.FILTER($AH$3:$AH$15, ISNUMBER($AH$3:$AH$15)),AH14)*100</f>
        <v>57.099999999999994</v>
      </c>
      <c r="AK14">
        <f t="shared" si="8"/>
        <v>2</v>
      </c>
    </row>
    <row r="15" spans="1:39" x14ac:dyDescent="0.35">
      <c r="A15" t="s">
        <v>866</v>
      </c>
      <c r="B15" t="str" cm="1">
        <f t="array" ref="B15">_xll.FDS(A15,"FG_COMPANY_NAME")</f>
        <v>iShares MSCI Italy ETF</v>
      </c>
      <c r="C15" t="s">
        <v>866</v>
      </c>
      <c r="D15" s="142">
        <f>VLOOKUP(C15,'Market Capitalisation'!$C$2:$G$14,5,FALSE)</f>
        <v>892619.75</v>
      </c>
      <c r="E15" cm="1">
        <f t="array" ref="E15">_xll.FDS(C15,"FMA_COS_UP(""EPS"",""1M"",+1,0,,,""PORTAGG"",""MEANR"")")</f>
        <v>14</v>
      </c>
      <c r="F15" cm="1">
        <f t="array" ref="F15">_xll.FDS(C15,"FMA_COS_DOWN(""EPS"",""1M"",+1,0,,,""PORTAGG"",""MEANR"")")</f>
        <v>8</v>
      </c>
      <c r="G15" cm="1">
        <f t="array" ref="G15">_xll.FDS(A15,"SIZE(FG_CONSTITUENTS)")</f>
        <v>27</v>
      </c>
      <c r="H15" s="9">
        <f t="shared" si="9"/>
        <v>0.51851851851851849</v>
      </c>
      <c r="I15" s="9">
        <f t="shared" si="10"/>
        <v>0.29629629629629628</v>
      </c>
      <c r="J15" s="9">
        <f t="shared" si="11"/>
        <v>0.22222222222222221</v>
      </c>
      <c r="K15" s="5" cm="1">
        <f t="array" ref="K15">_xll.FDS(A15,"FMA_PCT_ABOVE_MAVG(200,0,,,,""PORTAGG"")")/100</f>
        <v>0.72</v>
      </c>
      <c r="L15" s="41" cm="1">
        <f t="array" ref="L15">_xll.FDSB(A15,"PERCENT_CHANGE(FMA_EPS(+1,0,,,,""PORTAGG"",""MEAN""),FMA_EPS(+1,-1AM,,,,""PORTAGG"",""MEAN""))")</f>
        <v>-0.66691760674712597</v>
      </c>
      <c r="M15" s="41" cm="1">
        <f t="array" ref="M15">_xll.FDSB(A15,"PERCENT_CHANGE(FMA_EPS(+1,0,,,,""PORTAGG"",""MEAN""),FMA_EPS(+1,-3AM,,,,""PORTAGG"",""MEAN""))")</f>
        <v>0.329280181242675</v>
      </c>
      <c r="N15" s="3" cm="1">
        <f t="array" ref="N15">_xll.FDS(C15,"FG_TOTAL_RETURNC(0,-1AM)")</f>
        <v>6.7217349999999998</v>
      </c>
      <c r="O15" s="3" cm="1">
        <f t="array" ref="O15">_xll.FDS(C15,"FG_TOTAL_RETURNC(0,-3AM)")</f>
        <v>11.153973000000001</v>
      </c>
      <c r="P15" s="3" cm="1">
        <f t="array" ref="P15">_xll.FDS(C15,"FG_TOTAL_RETURNC(0,-6AM)")</f>
        <v>21.611298000000001</v>
      </c>
      <c r="Q15" s="9" cm="1">
        <f t="array" ref="Q15">_xll.FDS(C15,"P_PRICE(0)/P_PRICE_HIGH_PR(0,,,USD,,,""PRICE"",""INTRA"",""52W"")")</f>
        <v>0.98787239999999998</v>
      </c>
      <c r="R15" s="9" cm="1">
        <f t="array" ref="R15">_xll.FDS(C15,"P_PRICE(0)/P_PRICE_low_PR(0,,,USD,,,""PRICE"",""INTRA"",""52W"")-1")</f>
        <v>0.30194579999999999</v>
      </c>
      <c r="S15" s="3" cm="1">
        <f t="array" ref="S15">_xll.FDS(C15,"FG_TOTAL_RETURNC(0,-12AM)")</f>
        <v>31.330181</v>
      </c>
      <c r="T15" s="4" cm="1">
        <f t="array" ref="T15">_xlfn.PERCENTRANK.EXC(_xlfn._xlws.FILTER($R$3:$R$15, ISNUMBER($R$3:$R$15)),R15)*100</f>
        <v>64.2</v>
      </c>
      <c r="U15" s="4">
        <f t="shared" si="12"/>
        <v>35.799999999999997</v>
      </c>
      <c r="V15" s="4" cm="1">
        <f t="array" ref="V15">_xlfn.PERCENTRANK.EXC(_xlfn._xlws.FILTER($Q$3:$Q$15, ISNUMBER($Q$3:$Q$15)),Q15)*100</f>
        <v>42.8</v>
      </c>
      <c r="W15" s="4" cm="1">
        <f t="array" ref="W15">_xlfn.PERCENTRANK.EXC(_xlfn._xlws.FILTER($O$3:$O$15, ISNUMBER($O$3:$O$15)),O15)*100</f>
        <v>85.7</v>
      </c>
      <c r="X15" s="4" cm="1">
        <f t="array" ref="X15">_xlfn.PERCENTRANK.EXC(_xlfn._xlws.FILTER($P$3:$P$15, ISNUMBER($P$3:$P$15)),P15)*100</f>
        <v>64.2</v>
      </c>
      <c r="Y15" s="201" cm="1">
        <f t="array" ref="Y15">_xlfn.PERCENTRANK.EXC(_xlfn._xlws.FILTER($S$3:$S$15, ISNUMBER($S$3:$S$15)),S15)*100</f>
        <v>78.5</v>
      </c>
      <c r="Z15" s="4" cm="1">
        <f t="array" ref="Z15">_xlfn.PERCENTRANK.EXC(_xlfn._xlws.FILTER($K$3:$K$15, ISNUMBER($K$3:$K$15)),K15)*100</f>
        <v>50</v>
      </c>
      <c r="AA15" s="4" cm="1">
        <f t="array" ref="AA15">_xlfn.PERCENTRANK.EXC(_xlfn._xlws.FILTER($H$3:$H$15, ISNUMBER($H$3:$H$15)),H15)*100</f>
        <v>85.7</v>
      </c>
      <c r="AB15" s="4" cm="1">
        <f t="array" ref="AB15">_xlfn.PERCENTRANK.EXC(_xlfn._xlws.FILTER($J$3:$J$15, ISNUMBER($J$3:$J$15)),J15)*100</f>
        <v>92.800000000000011</v>
      </c>
      <c r="AC15" s="4">
        <f t="shared" si="4"/>
        <v>28.499999999999996</v>
      </c>
      <c r="AD15" s="4">
        <f t="shared" si="5"/>
        <v>92.800000000000011</v>
      </c>
      <c r="AE15" s="4">
        <f t="shared" si="6"/>
        <v>14.2</v>
      </c>
      <c r="AF15" s="4">
        <f>'Economic Momentum'!Q16</f>
        <v>50</v>
      </c>
      <c r="AG15" s="4">
        <f ca="1">'Economic Momentum'!R16</f>
        <v>42.8</v>
      </c>
      <c r="AH15" s="4">
        <f t="shared" ca="1" si="7"/>
        <v>62.09</v>
      </c>
      <c r="AJ15" s="3" cm="1">
        <f t="array" aca="1" ref="AJ15" ca="1">_xlfn.PERCENTRANK.EXC(_xlfn._xlws.FILTER($AH$3:$AH$15, ISNUMBER($AH$3:$AH$15)),AH15)*100</f>
        <v>71.399999999999991</v>
      </c>
      <c r="AK15">
        <f t="shared" si="8"/>
        <v>4</v>
      </c>
    </row>
    <row r="16" spans="1:39" x14ac:dyDescent="0.35">
      <c r="H16" s="9"/>
      <c r="I16" s="9"/>
      <c r="J16" s="9"/>
      <c r="K16" s="5"/>
      <c r="L16" s="41"/>
      <c r="M16" s="41"/>
      <c r="N16" s="3"/>
      <c r="O16" s="3"/>
      <c r="Q16" s="9"/>
      <c r="R16" s="9"/>
      <c r="S16" s="3"/>
      <c r="V16" s="4"/>
      <c r="W16" s="4"/>
      <c r="X16" s="4"/>
      <c r="Z16" s="4"/>
      <c r="AA16" s="4"/>
      <c r="AB16" s="4"/>
      <c r="AC16" s="4"/>
      <c r="AD16" s="4"/>
      <c r="AE16" s="4"/>
      <c r="AF16" s="4"/>
      <c r="AG16" s="4"/>
      <c r="AH16" s="4"/>
      <c r="AJ16" s="4"/>
    </row>
    <row r="17" spans="1:37" x14ac:dyDescent="0.35">
      <c r="A17" s="1" t="s">
        <v>779</v>
      </c>
      <c r="H17" s="9"/>
      <c r="I17" s="9"/>
      <c r="J17" s="9"/>
      <c r="K17" s="5"/>
      <c r="L17" s="41"/>
      <c r="M17" s="41"/>
      <c r="N17" s="3"/>
      <c r="O17" s="3"/>
      <c r="Q17" s="9"/>
      <c r="R17" s="9"/>
      <c r="S17" s="3"/>
      <c r="V17" s="4"/>
      <c r="W17" s="4"/>
      <c r="X17" s="4"/>
      <c r="Z17" s="4"/>
      <c r="AA17" s="4"/>
      <c r="AB17" s="4"/>
      <c r="AC17" s="4"/>
      <c r="AD17" s="4"/>
      <c r="AE17" s="4"/>
      <c r="AF17" s="4"/>
      <c r="AG17" s="4"/>
      <c r="AH17" s="4"/>
      <c r="AJ17" s="4"/>
    </row>
    <row r="18" spans="1:37" x14ac:dyDescent="0.35">
      <c r="A18" t="s">
        <v>536</v>
      </c>
      <c r="B18" t="s">
        <v>227</v>
      </c>
      <c r="C18" t="str">
        <f>A18</f>
        <v>VGK</v>
      </c>
      <c r="E18" cm="1">
        <f t="array" ref="E18">_xll.FDS(C18,"FMA_COS_UP(""EPS"",""1M"",+1,0,,,""PORTAGG"",""MEANR"")")</f>
        <v>432</v>
      </c>
      <c r="F18" cm="1">
        <f t="array" ref="F18">_xll.FDS(C18,"FMA_COS_DOWN(""EPS"",""1M"",+1,0,,,""PORTAGG"",""MEANR"")")</f>
        <v>546</v>
      </c>
      <c r="G18" cm="1">
        <f t="array" ref="G18">_xll.FDS(A18,"SIZE(FG_CONSTITUENTS)")</f>
        <v>1296</v>
      </c>
      <c r="H18" s="9">
        <f>E18/$G18</f>
        <v>0.33333333333333331</v>
      </c>
      <c r="I18" s="9">
        <f>F18/$G18</f>
        <v>0.42129629629629628</v>
      </c>
      <c r="J18" s="9">
        <f t="shared" ref="J18" si="13">H18-I18</f>
        <v>-8.7962962962962965E-2</v>
      </c>
      <c r="K18" s="5" cm="1">
        <f t="array" ref="K18">_xll.FDS(A18,"FMA_PCT_ABOVE_MAVG(200,0,,,,""PORTAGG"")")/100</f>
        <v>0.61242138364779897</v>
      </c>
      <c r="L18" s="41" cm="1">
        <f t="array" ref="L18">_xll.FDSB(A18,"PERCENT_CHANGE(FMA_EPS(+1,0,,,,""PORTAGG"",""MEAN""),FMA_EPS(+1,-1AM,,,,""PORTAGG"",""MEAN""))")</f>
        <v>-4.7500882638980002</v>
      </c>
      <c r="M18" s="41" cm="1">
        <f t="array" ref="M18">_xll.FDSB(A18,"PERCENT_CHANGE(FMA_EPS(+1,0,,,,""PORTAGG"",""MEAN""),FMA_EPS(+1,-3AM,,,,""PORTAGG"",""MEAN""))")</f>
        <v>-8.2729488130530306</v>
      </c>
      <c r="N18" s="3" cm="1">
        <f t="array" ref="N18">_xll.FDS(C18,"FG_TOTAL_RETURNC(0,-1AM)")</f>
        <v>4.1117429999999997</v>
      </c>
      <c r="O18" s="3" cm="1">
        <f t="array" ref="O18">_xll.FDS(C18,"FG_TOTAL_RETURNC(0,-3AM)")</f>
        <v>5.2331447999999998</v>
      </c>
      <c r="P18" s="3" cm="1">
        <f t="array" ref="P18">_xll.FDS(C18,"FG_TOTAL_RETURNC(0,-6AM)")</f>
        <v>15.475929000000001</v>
      </c>
      <c r="Q18" s="9" cm="1">
        <f t="array" ref="Q18">_xll.FDS(C18,"P_PRICE(0)/P_PRICE_HIGH_PR(0,,,USD,,,""PRICE"",""INTRA"",""52W"")")</f>
        <v>0.98908233999999995</v>
      </c>
      <c r="R18" s="9" cm="1">
        <f t="array" ref="R18">_xll.FDS(C18,"P_PRICE(0)/P_PRICE_low_PR(0,,,USD,,,""PRICE"",""INTRA"",""52W"")-1")</f>
        <v>0.21758079999999999</v>
      </c>
      <c r="S18" s="3" cm="1">
        <f t="array" ref="S18">_xll.FDS(C18,"FG_TOTAL_RETURNC(0,-12AM)")</f>
        <v>17.481529999999999</v>
      </c>
      <c r="W18" s="4"/>
      <c r="X18" s="4"/>
      <c r="Y18" s="201"/>
      <c r="AA18" s="4"/>
      <c r="AB18" s="4"/>
      <c r="AC18" s="4"/>
      <c r="AD18" s="4"/>
      <c r="AE18" s="4"/>
      <c r="AF18" s="4"/>
      <c r="AG18" s="4"/>
      <c r="AH18" s="4"/>
      <c r="AI18" s="4"/>
      <c r="AK18" s="4"/>
    </row>
    <row r="19" spans="1:37" x14ac:dyDescent="0.35">
      <c r="A19" t="s">
        <v>6</v>
      </c>
      <c r="B19" t="s">
        <v>749</v>
      </c>
      <c r="C19" t="str">
        <f>A19</f>
        <v>VWO</v>
      </c>
      <c r="E19" cm="1">
        <f t="array" ref="E19">_xll.FDS(C19,"FMA_COS_UP(""EPS"",""1M"",+1,0,,,""PORTAGG"",""MEANR"")")</f>
        <v>774</v>
      </c>
      <c r="F19" cm="1">
        <f t="array" ref="F19">_xll.FDS(C19,"FMA_COS_DOWN(""EPS"",""1M"",+1,0,,,""PORTAGG"",""MEANR"")")</f>
        <v>1198</v>
      </c>
      <c r="G19" cm="1">
        <f t="array" ref="G19">_xll.FDS(A19,"SIZE(FG_CONSTITUENTS)")</f>
        <v>4715</v>
      </c>
      <c r="H19" s="9">
        <f>E19/$G19</f>
        <v>0.16415694591728525</v>
      </c>
      <c r="I19" s="9">
        <f>F19/$G19</f>
        <v>0.2540827147401909</v>
      </c>
      <c r="J19" s="9">
        <f t="shared" ref="J19" si="14">H19-I19</f>
        <v>-8.992576882290565E-2</v>
      </c>
      <c r="K19" s="5" cm="1">
        <f t="array" ref="K19">_xll.FDS(A19,"FMA_PCT_ABOVE_MAVG(200,0,,,,""PORTAGG"")")/100</f>
        <v>0.32710074791025101</v>
      </c>
      <c r="L19" s="41" cm="1">
        <f t="array" ref="L19">_xll.FDSB(A19,"PERCENT_CHANGE(FMA_EPS(+1,0,,,,""PORTAGG"",""MEAN""),FMA_EPS(+1,-1AM,,,,""PORTAGG"",""MEAN""))")</f>
        <v>-12.916703594352001</v>
      </c>
      <c r="M19" s="41" cm="1">
        <f t="array" ref="M19">_xll.FDSB(A19,"PERCENT_CHANGE(FMA_EPS(+1,0,,,,""PORTAGG"",""MEAN""),FMA_EPS(+1,-3AM,,,,""PORTAGG"",""MEAN""))")</f>
        <v>-16.699622755844299</v>
      </c>
      <c r="N19" s="3" cm="1">
        <f t="array" ref="N19">_xll.FDS(C19,"FG_TOTAL_RETURNC(0,-1AM)")</f>
        <v>1.7198682000000001</v>
      </c>
      <c r="O19" s="3" cm="1">
        <f t="array" ref="O19">_xll.FDS(C19,"FG_TOTAL_RETURNC(0,-3AM)")</f>
        <v>3.7593006999999998</v>
      </c>
      <c r="P19" s="3" cm="1">
        <f t="array" ref="P19">_xll.FDS(C19,"FG_TOTAL_RETURNC(0,-6AM)")</f>
        <v>9.2641945000000003</v>
      </c>
      <c r="Q19" s="9" cm="1">
        <f t="array" ref="Q19">_xll.FDS(C19,"P_PRICE(0)/P_PRICE_HIGH_PR(0,,,USD,,,""PRICE"",""INTRA"",""52W"")")</f>
        <v>0.97169380000000005</v>
      </c>
      <c r="R19" s="9" cm="1">
        <f t="array" ref="R19">_xll.FDS(C19,"P_PRICE(0)/P_PRICE_low_PR(0,,,USD,,,""PRICE"",""INTRA"",""52W"")-1")</f>
        <v>0.11814176999999999</v>
      </c>
      <c r="S19" s="3" cm="1">
        <f t="array" ref="S19">_xll.FDS(C19,"FG_TOTAL_RETURNC(0,-12AM)")</f>
        <v>10.764969000000001</v>
      </c>
    </row>
    <row r="20" spans="1:37" x14ac:dyDescent="0.35">
      <c r="A20" t="s">
        <v>780</v>
      </c>
      <c r="B20" t="s">
        <v>781</v>
      </c>
      <c r="C20" t="str">
        <f t="shared" ref="C20" si="15">A20</f>
        <v>URTH</v>
      </c>
      <c r="E20" cm="1">
        <f t="array" ref="E20">_xll.FDS(C20,"FMA_COS_UP(""EPS"",""1M"",+1,0,,,""PORTAGG"",""MEANR"")")</f>
        <v>574</v>
      </c>
      <c r="F20" cm="1">
        <f t="array" ref="F20">_xll.FDS(C20,"FMA_COS_DOWN(""EPS"",""1M"",+1,0,,,""PORTAGG"",""MEANR"")")</f>
        <v>598</v>
      </c>
      <c r="G20" cm="1">
        <f t="array" ref="G20">_xll.FDS(A20,"SIZE(FG_CONSTITUENTS)")</f>
        <v>1467</v>
      </c>
      <c r="H20" s="9">
        <f t="shared" ref="H20" si="16">E20/$G20</f>
        <v>0.39127471029311522</v>
      </c>
      <c r="I20" s="9">
        <f t="shared" ref="I20" si="17">F20/$G20</f>
        <v>0.40763462849352422</v>
      </c>
      <c r="J20" s="9">
        <f t="shared" ref="J20" si="18">H20-I20</f>
        <v>-1.6359918200408996E-2</v>
      </c>
      <c r="K20" s="5" cm="1">
        <f t="array" ref="K20">_xll.FDS(A20,"FMA_PCT_ABOVE_MAVG(200,0,,,,""PORTAGG"")")/100</f>
        <v>0.70608339029391698</v>
      </c>
      <c r="L20" s="41" cm="1">
        <f t="array" ref="L20">_xll.FDSB(A20,"PERCENT_CHANGE(FMA_EPS(+1,0,,,,""PORTAGG"",""MEAN""),FMA_EPS(+1,-1AM,,,,""PORTAGG"",""MEAN""))")</f>
        <v>0.14284836397488701</v>
      </c>
      <c r="M20" s="41" cm="1">
        <f t="array" ref="M20">_xll.FDSB(A20,"PERCENT_CHANGE(FMA_EPS(+1,0,,,,""PORTAGG"",""MEAN""),FMA_EPS(+1,-3AM,,,,""PORTAGG"",""MEAN""))")</f>
        <v>-1.5104827485329499</v>
      </c>
      <c r="N20" s="3" cm="1">
        <f t="array" ref="N20">_xll.FDS(C20,"FG_TOTAL_RETURNC(0,-1AM)")</f>
        <v>5.0617336999999996</v>
      </c>
      <c r="O20" s="3" cm="1">
        <f t="array" ref="O20">_xll.FDS(C20,"FG_TOTAL_RETURNC(0,-3AM)")</f>
        <v>9.4657900000000001</v>
      </c>
      <c r="P20" s="3" cm="1">
        <f t="array" ref="P20">_xll.FDS(C20,"FG_TOTAL_RETURNC(0,-6AM)")</f>
        <v>20.201408000000001</v>
      </c>
      <c r="Q20" s="9" cm="1">
        <f t="array" ref="Q20">_xll.FDS(C20,"P_PRICE(0)/P_PRICE_HIGH_PR(0,,,USD,,,""PRICE"",""INTRA"",""52W"")")</f>
        <v>0.99703646000000001</v>
      </c>
      <c r="R20" s="9" cm="1">
        <f t="array" ref="R20">_xll.FDS(C20,"P_PRICE(0)/P_PRICE_low_PR(0,,,USD,,,""PRICE"",""INTRA"",""52W"")-1")</f>
        <v>0.29204249999999998</v>
      </c>
      <c r="S20" s="3" cm="1">
        <f t="array" ref="S20">_xll.FDS(C20,"FG_TOTAL_RETURNC(0,-12AM)")</f>
        <v>28.766940999999999</v>
      </c>
    </row>
    <row r="21" spans="1:37" x14ac:dyDescent="0.35">
      <c r="A21" t="s">
        <v>46</v>
      </c>
      <c r="B21" t="s">
        <v>816</v>
      </c>
      <c r="C21" t="str">
        <f t="shared" ref="C21:C22" si="19">A21</f>
        <v>EWJ</v>
      </c>
      <c r="E21" cm="1">
        <f t="array" ref="E21">_xll.FDS(C21,"FMA_COS_UP(""EPS"",""1M"",+1,0,,,""PORTAGG"",""MEANR"")")</f>
        <v>120</v>
      </c>
      <c r="F21" cm="1">
        <f t="array" ref="F21">_xll.FDS(C21,"FMA_COS_DOWN(""EPS"",""1M"",+1,0,,,""PORTAGG"",""MEANR"")")</f>
        <v>84</v>
      </c>
      <c r="G21" cm="1">
        <f t="array" ref="G21">_xll.FDS(A21,"SIZE(FG_CONSTITUENTS)")</f>
        <v>219</v>
      </c>
      <c r="H21" s="9">
        <f t="shared" ref="H21:H22" si="20">E21/$G21</f>
        <v>0.54794520547945202</v>
      </c>
      <c r="I21" s="9">
        <f t="shared" ref="I21:I22" si="21">F21/$G21</f>
        <v>0.38356164383561642</v>
      </c>
      <c r="J21" s="9">
        <f t="shared" ref="J21:J22" si="22">H21-I21</f>
        <v>0.16438356164383561</v>
      </c>
      <c r="K21" s="5" cm="1">
        <f t="array" ref="K21">_xll.FDS(A21,"FMA_PCT_ABOVE_MAVG(200,0,,,,""PORTAGG"")")/100</f>
        <v>0.77168949771689499</v>
      </c>
      <c r="L21" s="41" cm="1">
        <f t="array" ref="L21">_xll.FDSB(A21,"PERCENT_CHANGE(FMA_EPS(+1,0,,,,""PORTAGG"",""MEAN""),FMA_EPS(+1,-1AM,,,,""PORTAGG"",""MEAN""))")</f>
        <v>1.4215796358984201</v>
      </c>
      <c r="M21" s="41" cm="1">
        <f t="array" ref="M21">_xll.FDSB(A21,"PERCENT_CHANGE(FMA_EPS(+1,0,,,,""PORTAGG"",""MEAN""),FMA_EPS(+1,-3AM,,,,""PORTAGG"",""MEAN""))")</f>
        <v>-2.6363359444459999</v>
      </c>
      <c r="N21" s="3" cm="1">
        <f t="array" ref="N21">_xll.FDS(C21,"FG_TOTAL_RETURNC(0,-1AM)")</f>
        <v>5.9595823000000001</v>
      </c>
      <c r="O21" s="3" cm="1">
        <f t="array" ref="O21">_xll.FDS(C21,"FG_TOTAL_RETURNC(0,-3AM)")</f>
        <v>13.781082</v>
      </c>
      <c r="P21" s="3" cm="1">
        <f t="array" ref="P21">_xll.FDS(C21,"FG_TOTAL_RETURNC(0,-6AM)")</f>
        <v>18.193149999999999</v>
      </c>
      <c r="Q21" s="9" cm="1">
        <f t="array" ref="Q21">_xll.FDS(C21,"P_PRICE(0)/P_PRICE_HIGH_PR(0,,,USD,,,""PRICE"",""INTRA"",""52W"")")</f>
        <v>0.9986334</v>
      </c>
      <c r="R21" s="9" cm="1">
        <f t="array" ref="R21">_xll.FDS(C21,"P_PRICE(0)/P_PRICE_low_PR(0,,,USD,,,""PRICE"",""INTRA"",""52W"")-1")</f>
        <v>0.26751150000000001</v>
      </c>
      <c r="S21" s="3" cm="1">
        <f t="array" ref="S21">_xll.FDS(C21,"FG_TOTAL_RETURNC(0,-12AM)")</f>
        <v>28.990137000000001</v>
      </c>
    </row>
    <row r="22" spans="1:37" x14ac:dyDescent="0.35">
      <c r="A22" t="s">
        <v>1</v>
      </c>
      <c r="B22" t="s">
        <v>119</v>
      </c>
      <c r="C22" t="str">
        <f t="shared" si="19"/>
        <v>SPY</v>
      </c>
      <c r="E22" cm="1">
        <f t="array" ref="E22">_xll.FDS(C22,"FMA_COS_UP(""EPS"",""1M"",+1,0,,,""PORTAGG"",""MEANR"")")</f>
        <v>172</v>
      </c>
      <c r="F22" cm="1">
        <f t="array" ref="F22">_xll.FDS(C22,"FMA_COS_DOWN(""EPS"",""1M"",+1,0,,,""PORTAGG"",""MEANR"")")</f>
        <v>186</v>
      </c>
      <c r="G22" cm="1">
        <f t="array" ref="G22">_xll.FDS(A22,"SIZE(FG_CONSTITUENTS)")</f>
        <v>504</v>
      </c>
      <c r="H22" s="9">
        <f t="shared" si="20"/>
        <v>0.34126984126984128</v>
      </c>
      <c r="I22" s="9">
        <f t="shared" si="21"/>
        <v>0.36904761904761907</v>
      </c>
      <c r="J22" s="9">
        <f t="shared" si="22"/>
        <v>-2.777777777777779E-2</v>
      </c>
      <c r="K22" s="5" cm="1">
        <f t="array" ref="K22">_xll.FDS(A22,"FMA_PCT_ABOVE_MAVG(200,0,,,,""PORTAGG"")")/100</f>
        <v>0.791252485089463</v>
      </c>
      <c r="L22" s="41" cm="1">
        <f t="array" ref="L22">_xll.FDSB(A22,"PERCENT_CHANGE(FMA_EPS(+1,0,,,,""PORTAGG"",""MEAN""),FMA_EPS(+1,-1AM,,,,""PORTAGG"",""MEAN""))")</f>
        <v>-0.101446060268754</v>
      </c>
      <c r="M22" s="41" cm="1">
        <f t="array" ref="M22">_xll.FDSB(A22,"PERCENT_CHANGE(FMA_EPS(+1,0,,,,""PORTAGG"",""MEAN""),FMA_EPS(+1,-3AM,,,,""PORTAGG"",""MEAN""))")</f>
        <v>-0.40990964709939998</v>
      </c>
      <c r="N22" s="3" cm="1">
        <f t="array" ref="N22">_xll.FDS(C22,"FG_TOTAL_RETURNC(0,-1AM)")</f>
        <v>5.3546069999999997</v>
      </c>
      <c r="O22" s="3" cm="1">
        <f t="array" ref="O22">_xll.FDS(C22,"FG_TOTAL_RETURNC(0,-3AM)")</f>
        <v>10.8173485</v>
      </c>
      <c r="P22" s="3" cm="1">
        <f t="array" ref="P22">_xll.FDS(C22,"FG_TOTAL_RETURNC(0,-6AM)")</f>
        <v>21.922398000000001</v>
      </c>
      <c r="Q22" s="9" cm="1">
        <f t="array" ref="Q22">_xll.FDS(C22,"P_PRICE(0)/P_PRICE_HIGH_PR(0,,,USD,,,""PRICE"",""INTRA"",""52W"")")</f>
        <v>0.99635580000000001</v>
      </c>
      <c r="R22" s="9" cm="1">
        <f t="array" ref="R22">_xll.FDS(C22,"P_PRICE(0)/P_PRICE_low_PR(0,,,USD,,,""PRICE"",""INTRA"",""52W"")-1")</f>
        <v>0.34103749999999999</v>
      </c>
      <c r="S22" s="3" cm="1">
        <f t="array" ref="S22">_xll.FDS(C22,"FG_TOTAL_RETURNC(0,-12AM)")</f>
        <v>32.813679999999998</v>
      </c>
    </row>
    <row r="23" spans="1:37" x14ac:dyDescent="0.35">
      <c r="A23" t="s">
        <v>895</v>
      </c>
      <c r="B23" t="s">
        <v>602</v>
      </c>
      <c r="C23" t="str">
        <f t="shared" ref="C23" si="23">A23</f>
        <v>FXI</v>
      </c>
      <c r="E23" cm="1">
        <f t="array" ref="E23">_xll.FDS(C23,"FMA_COS_UP(""EPS"",""1M"",+1,0,,,""PORTAGG"",""MEANR"")")</f>
        <v>17</v>
      </c>
      <c r="F23" cm="1">
        <f t="array" ref="F23">_xll.FDS(C23,"FMA_COS_DOWN(""EPS"",""1M"",+1,0,,,""PORTAGG"",""MEANR"")")</f>
        <v>19</v>
      </c>
      <c r="G23" cm="1">
        <f t="array" ref="G23">_xll.FDS(A23,"SIZE(FG_CONSTITUENTS)")</f>
        <v>51</v>
      </c>
      <c r="H23" s="9">
        <f t="shared" ref="H23" si="24">E23/$G23</f>
        <v>0.33333333333333331</v>
      </c>
      <c r="I23" s="9">
        <f t="shared" ref="I23" si="25">F23/$G23</f>
        <v>0.37254901960784315</v>
      </c>
      <c r="J23" s="9">
        <f t="shared" ref="J23" si="26">H23-I23</f>
        <v>-3.9215686274509831E-2</v>
      </c>
      <c r="K23" s="5" cm="1">
        <f t="array" ref="K23">_xll.FDS(A23,"FMA_PCT_ABOVE_MAVG(200,0,,,,""PORTAGG"")")/100</f>
        <v>0.47058823529411797</v>
      </c>
      <c r="L23" s="41" cm="1">
        <f t="array" ref="L23">_xll.FDSB(A23,"PERCENT_CHANGE(FMA_EPS(+1,0,,,,""PORTAGG"",""MEAN""),FMA_EPS(+1,-1AM,,,,""PORTAGG"",""MEAN""))")</f>
        <v>4.6476599936870297E-2</v>
      </c>
      <c r="M23" s="41" cm="1">
        <f t="array" ref="M23">_xll.FDSB(A23,"PERCENT_CHANGE(FMA_EPS(+1,0,,,,""PORTAGG"",""MEAN""),FMA_EPS(+1,-3AM,,,,""PORTAGG"",""MEAN""))")</f>
        <v>-3.9267662364092901</v>
      </c>
      <c r="N23" s="3" cm="1">
        <f t="array" ref="N23">_xll.FDS(C23,"FG_TOTAL_RETURNC(0,-1AM)")</f>
        <v>1.8228054</v>
      </c>
      <c r="O23" s="3" cm="1">
        <f t="array" ref="O23">_xll.FDS(C23,"FG_TOTAL_RETURNC(0,-3AM)")</f>
        <v>1.3074756000000001</v>
      </c>
      <c r="P23" s="3" cm="1">
        <f t="array" ref="P23">_xll.FDS(C23,"FG_TOTAL_RETURNC(0,-6AM)")</f>
        <v>-5.9257030000000004</v>
      </c>
      <c r="Q23" s="9" cm="1">
        <f t="array" ref="Q23">_xll.FDS(C23,"P_PRICE(0)/P_PRICE_HIGH_PR(0,,,USD,,,""PRICE"",""INTRA"",""52W"")")</f>
        <v>0.78650949999999997</v>
      </c>
      <c r="R23" s="9" cm="1">
        <f t="array" ref="R23">_xll.FDS(C23,"P_PRICE(0)/P_PRICE_low_PR(0,,,USD,,,""PRICE"",""INTRA"",""52W"")-1")</f>
        <v>0.15148603999999999</v>
      </c>
      <c r="S23" s="3" cm="1">
        <f t="array" ref="S23">_xll.FDS(C23,"FG_TOTAL_RETURNC(0,-12AM)")</f>
        <v>-11.382109</v>
      </c>
    </row>
    <row r="24" spans="1:37" x14ac:dyDescent="0.35">
      <c r="Q24" s="9"/>
      <c r="R24" s="9"/>
    </row>
    <row r="25" spans="1:37" x14ac:dyDescent="0.35">
      <c r="Q25" s="9"/>
      <c r="R25" s="9"/>
    </row>
    <row r="26" spans="1:37" ht="15" customHeight="1" x14ac:dyDescent="0.35">
      <c r="E26" s="43"/>
      <c r="F26" s="43"/>
      <c r="Q26" s="9"/>
      <c r="R26" s="9"/>
    </row>
    <row r="27" spans="1:37" ht="15" customHeight="1" x14ac:dyDescent="0.35">
      <c r="E27" s="43"/>
      <c r="F27" s="43"/>
      <c r="Q27" s="9"/>
      <c r="R27" s="9"/>
    </row>
    <row r="28" spans="1:37" ht="15" customHeight="1" x14ac:dyDescent="0.35">
      <c r="E28" s="43"/>
      <c r="F28" s="43"/>
      <c r="Q28" s="9"/>
      <c r="R28" s="9"/>
    </row>
    <row r="29" spans="1:37" ht="15" customHeight="1" x14ac:dyDescent="0.35">
      <c r="C29" s="1"/>
      <c r="D29" s="1"/>
      <c r="E29" s="43"/>
      <c r="F29" s="43"/>
      <c r="Q29" s="9"/>
      <c r="R29" s="9"/>
    </row>
    <row r="30" spans="1:37" ht="15" customHeight="1" x14ac:dyDescent="0.35">
      <c r="E30" s="43"/>
      <c r="F30" s="43"/>
      <c r="Q30" s="9"/>
      <c r="R30" s="9"/>
    </row>
    <row r="31" spans="1:37" ht="15" customHeight="1" x14ac:dyDescent="0.35">
      <c r="E31" s="43"/>
      <c r="F31" s="43"/>
      <c r="Q31" s="9"/>
      <c r="R31" s="9"/>
    </row>
    <row r="32" spans="1:37" ht="15" customHeight="1" x14ac:dyDescent="0.35">
      <c r="E32" s="43"/>
      <c r="F32" s="43"/>
      <c r="Q32" s="9"/>
      <c r="R32" s="9"/>
    </row>
    <row r="33" spans="3:18" ht="15" customHeight="1" x14ac:dyDescent="0.35">
      <c r="E33" s="43"/>
      <c r="F33" s="43"/>
      <c r="P33" s="1"/>
      <c r="Q33" s="9"/>
      <c r="R33" s="9"/>
    </row>
    <row r="34" spans="3:18" ht="15" customHeight="1" x14ac:dyDescent="0.35">
      <c r="E34" s="43"/>
      <c r="F34" s="43"/>
      <c r="Q34" s="9"/>
      <c r="R34" s="9"/>
    </row>
    <row r="35" spans="3:18" ht="15" customHeight="1" x14ac:dyDescent="0.35">
      <c r="E35" s="43"/>
      <c r="F35" s="43"/>
      <c r="Q35" s="9"/>
      <c r="R35" s="9"/>
    </row>
    <row r="36" spans="3:18" ht="15" customHeight="1" x14ac:dyDescent="0.35">
      <c r="C36" s="1"/>
      <c r="D36" s="1"/>
      <c r="E36" s="43"/>
      <c r="F36" s="43"/>
      <c r="Q36" s="9"/>
      <c r="R36" s="9"/>
    </row>
    <row r="37" spans="3:18" ht="15" customHeight="1" x14ac:dyDescent="0.35">
      <c r="E37" s="43"/>
      <c r="F37" s="43"/>
      <c r="Q37" s="9"/>
      <c r="R37" s="9"/>
    </row>
    <row r="38" spans="3:18" ht="15" customHeight="1" x14ac:dyDescent="0.35">
      <c r="E38" s="43"/>
      <c r="F38" s="43"/>
      <c r="Q38" s="9"/>
      <c r="R38" s="9"/>
    </row>
    <row r="39" spans="3:18" ht="15" customHeight="1" x14ac:dyDescent="0.35">
      <c r="E39" s="43"/>
      <c r="F39" s="43"/>
      <c r="Q39" s="9"/>
      <c r="R39" s="9"/>
    </row>
    <row r="40" spans="3:18" ht="15" customHeight="1" x14ac:dyDescent="0.35">
      <c r="E40" s="43"/>
      <c r="F40" s="43"/>
      <c r="Q40" s="9"/>
      <c r="R40" s="9"/>
    </row>
    <row r="41" spans="3:18" ht="15" customHeight="1" x14ac:dyDescent="0.35">
      <c r="C41" s="1"/>
      <c r="D41" s="1"/>
      <c r="E41" s="43"/>
      <c r="F41" s="43"/>
      <c r="Q41" s="9"/>
      <c r="R41" s="9"/>
    </row>
    <row r="42" spans="3:18" ht="15" customHeight="1" x14ac:dyDescent="0.35">
      <c r="E42" s="43"/>
      <c r="F42" s="43"/>
      <c r="Q42" s="9"/>
      <c r="R42" s="9"/>
    </row>
    <row r="43" spans="3:18" ht="15" customHeight="1" x14ac:dyDescent="0.35">
      <c r="E43" s="43"/>
      <c r="F43" s="43"/>
      <c r="Q43" s="9"/>
      <c r="R43" s="9"/>
    </row>
    <row r="44" spans="3:18" ht="15" customHeight="1" x14ac:dyDescent="0.35">
      <c r="E44" s="43"/>
      <c r="F44" s="43"/>
      <c r="Q44" s="9"/>
      <c r="R44" s="9"/>
    </row>
    <row r="45" spans="3:18" ht="15" customHeight="1" x14ac:dyDescent="0.35">
      <c r="E45" s="43"/>
      <c r="F45" s="43"/>
      <c r="Q45" s="9"/>
      <c r="R45" s="9"/>
    </row>
    <row r="46" spans="3:18" ht="15" customHeight="1" x14ac:dyDescent="0.35">
      <c r="C46" s="1"/>
      <c r="D46" s="1"/>
      <c r="E46" s="43"/>
      <c r="F46" s="43"/>
      <c r="Q46" s="9"/>
      <c r="R46" s="9"/>
    </row>
    <row r="47" spans="3:18" ht="15" customHeight="1" x14ac:dyDescent="0.35">
      <c r="C47" s="1"/>
      <c r="D47" s="1"/>
      <c r="E47" s="43"/>
      <c r="F47" s="43"/>
    </row>
    <row r="48" spans="3:18" ht="15" customHeight="1" x14ac:dyDescent="0.35">
      <c r="E48" s="43"/>
      <c r="F48" s="43"/>
    </row>
    <row r="49" spans="5:7" ht="15" customHeight="1" x14ac:dyDescent="0.35">
      <c r="E49" s="43"/>
      <c r="F49" s="43"/>
    </row>
    <row r="50" spans="5:7" ht="15" customHeight="1" x14ac:dyDescent="0.35">
      <c r="E50" s="44"/>
      <c r="F50" s="44"/>
      <c r="G50" s="1"/>
    </row>
    <row r="51" spans="5:7" ht="15" customHeight="1" x14ac:dyDescent="0.35">
      <c r="E51" s="43"/>
      <c r="F51" s="43"/>
    </row>
    <row r="52" spans="5:7" ht="15" customHeight="1" x14ac:dyDescent="0.35">
      <c r="E52" s="43"/>
      <c r="F52" s="43"/>
    </row>
    <row r="53" spans="5:7" ht="15" customHeight="1" x14ac:dyDescent="0.35">
      <c r="E53" s="43"/>
      <c r="F53" s="43"/>
    </row>
    <row r="54" spans="5:7" ht="15" customHeight="1" x14ac:dyDescent="0.35">
      <c r="E54" s="43"/>
      <c r="F54" s="43"/>
    </row>
    <row r="55" spans="5:7" ht="15" customHeight="1" x14ac:dyDescent="0.35">
      <c r="E55" s="43"/>
      <c r="F55" s="43"/>
    </row>
    <row r="56" spans="5:7" ht="15" customHeight="1" x14ac:dyDescent="0.35">
      <c r="E56" s="43"/>
      <c r="F56" s="43"/>
    </row>
    <row r="57" spans="5:7" ht="15" customHeight="1" x14ac:dyDescent="0.35">
      <c r="E57" s="43"/>
      <c r="F57" s="43"/>
    </row>
    <row r="58" spans="5:7" ht="15" customHeight="1" x14ac:dyDescent="0.35">
      <c r="E58" s="44"/>
      <c r="F58" s="44"/>
      <c r="G58" s="1"/>
    </row>
    <row r="59" spans="5:7" ht="15" customHeight="1" x14ac:dyDescent="0.35">
      <c r="E59" s="43"/>
      <c r="F59" s="43"/>
    </row>
    <row r="60" spans="5:7" ht="15" customHeight="1" x14ac:dyDescent="0.35">
      <c r="E60" s="43"/>
      <c r="F60" s="43"/>
    </row>
    <row r="61" spans="5:7" ht="15" customHeight="1" x14ac:dyDescent="0.35">
      <c r="E61" s="43"/>
      <c r="F61" s="43"/>
    </row>
    <row r="62" spans="5:7" ht="15" customHeight="1" x14ac:dyDescent="0.35">
      <c r="E62" s="43"/>
      <c r="F62" s="43"/>
    </row>
    <row r="63" spans="5:7" ht="15" customHeight="1" x14ac:dyDescent="0.35">
      <c r="E63" s="43"/>
      <c r="F63" s="43"/>
    </row>
    <row r="64" spans="5:7" ht="15" customHeight="1" x14ac:dyDescent="0.35">
      <c r="E64" s="43"/>
      <c r="F64" s="43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honeticPr fontId="1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0"/>
  <sheetViews>
    <sheetView zoomScale="82" zoomScaleNormal="160" workbookViewId="0">
      <selection activeCell="V16" sqref="V16"/>
    </sheetView>
  </sheetViews>
  <sheetFormatPr defaultRowHeight="14.5" x14ac:dyDescent="0.35"/>
  <cols>
    <col min="3" max="3" width="45.54296875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style="183" bestFit="1" customWidth="1"/>
    <col min="11" max="11" width="13.453125" style="183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523</v>
      </c>
      <c r="M1" t="s">
        <v>522</v>
      </c>
      <c r="N1" s="49" t="s">
        <v>405</v>
      </c>
      <c r="P1" s="49" t="s">
        <v>404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402</v>
      </c>
      <c r="E3" s="46" t="s">
        <v>89</v>
      </c>
      <c r="H3" t="s">
        <v>403</v>
      </c>
      <c r="I3" t="s">
        <v>94</v>
      </c>
      <c r="J3" s="184"/>
      <c r="P3" t="s">
        <v>910</v>
      </c>
      <c r="R3" t="s">
        <v>911</v>
      </c>
    </row>
    <row r="4" spans="2:18" x14ac:dyDescent="0.35">
      <c r="B4" t="s">
        <v>431</v>
      </c>
      <c r="C4" t="str" cm="1">
        <f t="array" ref="C4">_xll.FDS(B4,"FG_COMPANY_NAME")</f>
        <v>iShares MSCI New Zealand ETF</v>
      </c>
      <c r="D4" s="9">
        <f>HLOOKUP(B4,'Monthly Returns'!$A$1:$Q$134, 127, FALSE)</f>
        <v>-0.31648652999999999</v>
      </c>
      <c r="E4" s="9">
        <f>HLOOKUP(B4,'Monthly Returns'!$A$1:$Q$134, 132, FALSE)</f>
        <v>0.13223140495867769</v>
      </c>
      <c r="H4" s="9">
        <f>HLOOKUP(B4,'Yearly returns'!$B$1:$N$140, 133, FALSE)</f>
        <v>0.1487603305785124</v>
      </c>
      <c r="I4" s="9">
        <f>HLOOKUP(B4,'Yearly returns'!$B$1:$N$140, 138, FALSE)</f>
        <v>0.27</v>
      </c>
      <c r="J4" s="183">
        <f>1/E4</f>
        <v>7.5625</v>
      </c>
      <c r="K4" s="185">
        <f>PERCENTRANK($J$4:$J$16,J4)*100</f>
        <v>8.3000000000000007</v>
      </c>
      <c r="L4" s="47">
        <f>(1-PERCENTRANK($E$4:$E$16,E4))*100</f>
        <v>16.700000000000003</v>
      </c>
      <c r="M4" s="47">
        <f>(1-PERCENTRANK($H$4:$H$16,H4))*100</f>
        <v>58.400000000000006</v>
      </c>
      <c r="N4" s="47">
        <f>(1-PERCENTRANK($I$4:$I$16,I4))*100</f>
        <v>100</v>
      </c>
      <c r="P4">
        <f>L4*Assumption!$E$53 + M4*Assumption!$F$53 + N4*Assumption!$G$53</f>
        <v>68.775000000000006</v>
      </c>
      <c r="R4" cm="1">
        <f t="array" ref="R4">_xlfn.PERCENTRANK.EXC(_xlfn._xlws.FILTER(P$4:P$16, ISNUMBER(P$4:P$16)),P4)*100</f>
        <v>78.5</v>
      </c>
    </row>
    <row r="5" spans="2:18" x14ac:dyDescent="0.35">
      <c r="B5" t="s">
        <v>44</v>
      </c>
      <c r="C5" t="str" cm="1">
        <f t="array" ref="C5">_xll.FDS(B5,"FG_COMPANY_NAME")</f>
        <v>iShares MSCI Australia ETF</v>
      </c>
      <c r="D5" s="9">
        <f>HLOOKUP(B5,'Monthly Returns'!$A$1:$Q$134, 127, FALSE)</f>
        <v>-0.41160946000000004</v>
      </c>
      <c r="E5" s="9">
        <f>HLOOKUP(B5,'Monthly Returns'!$A$1:$Q$134, 132, FALSE)</f>
        <v>0.10743801652892562</v>
      </c>
      <c r="H5" s="9">
        <f>HLOOKUP(B5,'Yearly returns'!$B$1:$N$140, 133, FALSE)</f>
        <v>0.1487603305785124</v>
      </c>
      <c r="I5" s="9">
        <f>HLOOKUP(B5,'Yearly returns'!$B$1:$N$140, 138, FALSE)</f>
        <v>0.754</v>
      </c>
      <c r="J5" s="183">
        <f t="shared" ref="J5:J16" si="0">1/E5</f>
        <v>9.3076923076923066</v>
      </c>
      <c r="K5" s="185">
        <f t="shared" ref="K5:K16" si="1">PERCENTRANK($J$4:$J$16,J5)*100</f>
        <v>50</v>
      </c>
      <c r="L5" s="47">
        <f t="shared" ref="L5:L16" si="2">(1-PERCENTRANK($E$4:$E$16,E5))*100</f>
        <v>66.7</v>
      </c>
      <c r="M5" s="47">
        <f t="shared" ref="M5:M16" si="3">(1-PERCENTRANK($H$4:$H$16,H5))*100</f>
        <v>58.400000000000006</v>
      </c>
      <c r="N5" s="47">
        <f t="shared" ref="N5:N16" si="4">(1-PERCENTRANK($I$4:$I$16,I5))*100</f>
        <v>58.400000000000006</v>
      </c>
      <c r="P5">
        <f>L5*Assumption!$E$53 + M5*Assumption!$F$53 + N5*Assumption!$G$53</f>
        <v>60.475000000000009</v>
      </c>
      <c r="R5" cm="1">
        <f t="array" ref="R5">_xlfn.PERCENTRANK.EXC(_xlfn._xlws.FILTER(P$4:P$16, ISNUMBER(P$4:P$16)),P5)*100</f>
        <v>57.099999999999994</v>
      </c>
    </row>
    <row r="6" spans="2:18" x14ac:dyDescent="0.35">
      <c r="B6" t="s">
        <v>49</v>
      </c>
      <c r="C6" t="str" cm="1">
        <f t="array" ref="C6">_xll.FDS(B6,"FG_COMPANY_NAME")</f>
        <v>iShares MSCI Canada ETF</v>
      </c>
      <c r="D6" s="9">
        <f>HLOOKUP(B6,'Monthly Returns'!$A$1:$Q$134, 127, FALSE)</f>
        <v>-0.38752853000000004</v>
      </c>
      <c r="E6" s="9">
        <f>HLOOKUP(B6,'Monthly Returns'!$A$1:$Q$134, 132, FALSE)</f>
        <v>0.12396694214876033</v>
      </c>
      <c r="H6" s="9">
        <f>HLOOKUP(B6,'Yearly returns'!$B$1:$N$140, 133, FALSE)</f>
        <v>0.16528925619834711</v>
      </c>
      <c r="I6" s="9">
        <f>HLOOKUP(B6,'Yearly returns'!$B$1:$N$140, 138, FALSE)</f>
        <v>0.84399999999999997</v>
      </c>
      <c r="J6" s="183">
        <f t="shared" si="0"/>
        <v>8.0666666666666664</v>
      </c>
      <c r="K6" s="185">
        <f t="shared" si="1"/>
        <v>25</v>
      </c>
      <c r="L6" s="47">
        <f t="shared" si="2"/>
        <v>33.4</v>
      </c>
      <c r="M6" s="47">
        <f t="shared" si="3"/>
        <v>33.4</v>
      </c>
      <c r="N6" s="47">
        <f t="shared" si="4"/>
        <v>25</v>
      </c>
      <c r="P6">
        <f>L6*Assumption!$E$53 + M6*Assumption!$F$53 + N6*Assumption!$G$53</f>
        <v>29.2</v>
      </c>
      <c r="R6" cm="1">
        <f t="array" ref="R6">_xlfn.PERCENTRANK.EXC(_xlfn._xlws.FILTER(P$4:P$16, ISNUMBER(P$4:P$16)),P6)*100</f>
        <v>14.2</v>
      </c>
    </row>
    <row r="7" spans="2:18" x14ac:dyDescent="0.35">
      <c r="B7" t="s">
        <v>11</v>
      </c>
      <c r="C7" t="str" cm="1">
        <f t="array" ref="C7">_xll.FDS(B7,"FG_COMPANY_NAME")</f>
        <v>iShares MSCI Germany ETF</v>
      </c>
      <c r="D7" s="9">
        <f>HLOOKUP(B7,'Monthly Returns'!$A$1:$Q$134, 127, FALSE)</f>
        <v>-0.37371307000000004</v>
      </c>
      <c r="E7" s="9">
        <f>HLOOKUP(B7,'Monthly Returns'!$A$1:$Q$134, 132, FALSE)</f>
        <v>0.13223140495867769</v>
      </c>
      <c r="H7" s="9">
        <f>HLOOKUP(B7,'Yearly returns'!$B$1:$N$140, 133, FALSE)</f>
        <v>0.24793388429752067</v>
      </c>
      <c r="I7" s="9">
        <f>HLOOKUP(B7,'Yearly returns'!$B$1:$N$140, 138, FALSE)</f>
        <v>0.71299999999999997</v>
      </c>
      <c r="J7" s="183">
        <f t="shared" si="0"/>
        <v>7.5625</v>
      </c>
      <c r="K7" s="185">
        <f t="shared" si="1"/>
        <v>8.3000000000000007</v>
      </c>
      <c r="L7" s="47">
        <f t="shared" si="2"/>
        <v>16.700000000000003</v>
      </c>
      <c r="M7" s="47">
        <f t="shared" si="3"/>
        <v>8.3999999999999968</v>
      </c>
      <c r="N7" s="47">
        <f t="shared" si="4"/>
        <v>75</v>
      </c>
      <c r="P7">
        <f>L7*Assumption!$E$53 + M7*Assumption!$F$53 + N7*Assumption!$G$53</f>
        <v>43.774999999999999</v>
      </c>
      <c r="R7" cm="1">
        <f t="array" ref="R7">_xlfn.PERCENTRANK.EXC(_xlfn._xlws.FILTER(P$4:P$16, ISNUMBER(P$4:P$16)),P7)*100</f>
        <v>35.699999999999996</v>
      </c>
    </row>
    <row r="8" spans="2:18" x14ac:dyDescent="0.35">
      <c r="B8" t="s">
        <v>46</v>
      </c>
      <c r="C8" t="str" cm="1">
        <f t="array" ref="C8">_xll.FDS(B8,"FG_COMPANY_NAME")</f>
        <v>iShares MSCI Japan ETF</v>
      </c>
      <c r="D8" s="9">
        <f>HLOOKUP(B8,'Monthly Returns'!$A$1:$Q$134, 127, FALSE)</f>
        <v>-0.20342576999999998</v>
      </c>
      <c r="E8" s="9">
        <f>HLOOKUP(B8,'Monthly Returns'!$A$1:$Q$134, 132, FALSE)</f>
        <v>0.10743801652892562</v>
      </c>
      <c r="H8" s="9">
        <f>HLOOKUP(B8,'Yearly returns'!$B$1:$N$140, 133, FALSE)</f>
        <v>0.1487603305785124</v>
      </c>
      <c r="I8" s="9">
        <f>HLOOKUP(B8,'Yearly returns'!$B$1:$N$140, 138, FALSE)</f>
        <v>0.96699999999999997</v>
      </c>
      <c r="J8" s="183">
        <f t="shared" si="0"/>
        <v>9.3076923076923066</v>
      </c>
      <c r="K8" s="185">
        <f t="shared" si="1"/>
        <v>50</v>
      </c>
      <c r="L8" s="47">
        <f t="shared" si="2"/>
        <v>66.7</v>
      </c>
      <c r="M8" s="47">
        <f t="shared" si="3"/>
        <v>58.400000000000006</v>
      </c>
      <c r="N8" s="47">
        <f t="shared" si="4"/>
        <v>0</v>
      </c>
      <c r="P8">
        <f>L8*Assumption!$E$53 + M8*Assumption!$F$53 + N8*Assumption!$G$53</f>
        <v>31.275000000000002</v>
      </c>
      <c r="R8" cm="1">
        <f t="array" ref="R8">_xlfn.PERCENTRANK.EXC(_xlfn._xlws.FILTER(P$4:P$16, ISNUMBER(P$4:P$16)),P8)*100</f>
        <v>28.499999999999996</v>
      </c>
    </row>
    <row r="9" spans="2:18" x14ac:dyDescent="0.35">
      <c r="B9" t="s">
        <v>42</v>
      </c>
      <c r="C9" t="str" cm="1">
        <f t="array" ref="C9">_xll.FDS(B9,"FG_COMPANY_NAME")</f>
        <v>iShares MSCI Switzerland ETF</v>
      </c>
      <c r="D9" s="9">
        <f>HLOOKUP(B9,'Monthly Returns'!$A$1:$Q$134, 127, FALSE)</f>
        <v>-0.25447171999999996</v>
      </c>
      <c r="E9" s="9">
        <f>HLOOKUP(B9,'Monthly Returns'!$A$1:$Q$134, 132, FALSE)</f>
        <v>9.0909090909090912E-2</v>
      </c>
      <c r="H9" s="9">
        <f>HLOOKUP(B9,'Yearly returns'!$B$1:$N$140, 133, FALSE)</f>
        <v>0.11570247933884298</v>
      </c>
      <c r="I9" s="9">
        <f>HLOOKUP(B9,'Yearly returns'!$B$1:$N$140, 138, FALSE)</f>
        <v>0.622</v>
      </c>
      <c r="J9" s="183">
        <f t="shared" si="0"/>
        <v>11</v>
      </c>
      <c r="K9" s="185">
        <f t="shared" si="1"/>
        <v>83.3</v>
      </c>
      <c r="L9" s="47">
        <f t="shared" si="2"/>
        <v>83.399999999999991</v>
      </c>
      <c r="M9" s="47">
        <f t="shared" si="3"/>
        <v>83.399999999999991</v>
      </c>
      <c r="N9" s="47">
        <f t="shared" si="4"/>
        <v>91.7</v>
      </c>
      <c r="P9">
        <f>L9*Assumption!$E$53 + M9*Assumption!$F$53 + N9*Assumption!$G$53</f>
        <v>87.55</v>
      </c>
      <c r="R9" cm="1">
        <f t="array" ref="R9">_xlfn.PERCENTRANK.EXC(_xlfn._xlws.FILTER(P$4:P$16, ISNUMBER(P$4:P$16)),P9)*100</f>
        <v>92.800000000000011</v>
      </c>
    </row>
    <row r="10" spans="2:18" x14ac:dyDescent="0.35">
      <c r="B10" t="s">
        <v>48</v>
      </c>
      <c r="C10" t="str" cm="1">
        <f t="array" ref="C10">_xll.FDS(B10,"FG_COMPANY_NAME")</f>
        <v>iShares MSCI United Kingdom ETF</v>
      </c>
      <c r="D10" s="9">
        <f>HLOOKUP(B10,'Monthly Returns'!$A$1:$Q$134, 127, FALSE)</f>
        <v>-0.38654434000000004</v>
      </c>
      <c r="E10" s="9">
        <f>HLOOKUP(B10,'Monthly Returns'!$A$1:$Q$134, 132, FALSE)</f>
        <v>9.9173553719008267E-2</v>
      </c>
      <c r="H10" s="9">
        <f>HLOOKUP(B10,'Yearly returns'!$B$1:$N$140, 133, FALSE)</f>
        <v>0.17355371900826447</v>
      </c>
      <c r="I10" s="9">
        <f>HLOOKUP(B10,'Yearly returns'!$B$1:$N$140, 138, FALSE)</f>
        <v>0.71299999999999997</v>
      </c>
      <c r="J10" s="183">
        <f t="shared" si="0"/>
        <v>10.083333333333334</v>
      </c>
      <c r="K10" s="185">
        <f t="shared" si="1"/>
        <v>75</v>
      </c>
      <c r="L10" s="47">
        <f t="shared" si="2"/>
        <v>75</v>
      </c>
      <c r="M10" s="47">
        <f t="shared" si="3"/>
        <v>25</v>
      </c>
      <c r="N10" s="47">
        <f t="shared" si="4"/>
        <v>75</v>
      </c>
      <c r="P10">
        <f>L10*Assumption!$E$53 + M10*Assumption!$F$53 + N10*Assumption!$G$53</f>
        <v>62.5</v>
      </c>
      <c r="R10" cm="1">
        <f t="array" ref="R10">_xlfn.PERCENTRANK.EXC(_xlfn._xlws.FILTER(P$4:P$16, ISNUMBER(P$4:P$16)),P10)*100</f>
        <v>64.2</v>
      </c>
    </row>
    <row r="11" spans="2:18" x14ac:dyDescent="0.35">
      <c r="B11" t="s">
        <v>51</v>
      </c>
      <c r="C11" t="str" cm="1">
        <f t="array" ref="C11">_xll.FDS(B11,"FG_COMPANY_NAME")</f>
        <v>Invesco QQQ Trust Series I</v>
      </c>
      <c r="D11" s="9">
        <f>HLOOKUP(B11,'Monthly Returns'!$A$1:$Q$134, 127, FALSE)</f>
        <v>-0.25869633000000003</v>
      </c>
      <c r="E11" s="9">
        <f>HLOOKUP(B11,'Monthly Returns'!$A$1:$Q$134, 132, FALSE)</f>
        <v>8.2644628099173556E-2</v>
      </c>
      <c r="H11" s="9">
        <f>HLOOKUP(B11,'Yearly returns'!$B$1:$N$140, 133, FALSE)</f>
        <v>9.0909090909090912E-2</v>
      </c>
      <c r="I11" s="9">
        <f>HLOOKUP(B11,'Yearly returns'!$B$1:$N$140, 138, FALSE)</f>
        <v>0.90900000000000003</v>
      </c>
      <c r="J11" s="183">
        <f t="shared" si="0"/>
        <v>12.1</v>
      </c>
      <c r="K11" s="185">
        <f t="shared" si="1"/>
        <v>91.600000000000009</v>
      </c>
      <c r="L11" s="47">
        <f t="shared" si="2"/>
        <v>91.7</v>
      </c>
      <c r="M11" s="47">
        <f t="shared" si="3"/>
        <v>91.7</v>
      </c>
      <c r="N11" s="47">
        <f t="shared" si="4"/>
        <v>16.700000000000003</v>
      </c>
      <c r="P11">
        <f>L11*Assumption!$E$53 + M11*Assumption!$F$53 + N11*Assumption!$G$53</f>
        <v>54.2</v>
      </c>
      <c r="R11" cm="1">
        <f t="array" ref="R11">_xlfn.PERCENTRANK.EXC(_xlfn._xlws.FILTER(P$4:P$16, ISNUMBER(P$4:P$16)),P11)*100</f>
        <v>42.8</v>
      </c>
    </row>
    <row r="12" spans="2:18" x14ac:dyDescent="0.35">
      <c r="B12" t="s">
        <v>1</v>
      </c>
      <c r="C12" t="str" cm="1">
        <f t="array" ref="C12">_xll.FDS(B12,"FG_COMPANY_NAME")</f>
        <v>SPDR S&amp;P 500 ETF Trust</v>
      </c>
      <c r="D12" s="9">
        <f>HLOOKUP(B12,'Monthly Returns'!$A$1:$Q$134, 127, FALSE)</f>
        <v>-0.30968708</v>
      </c>
      <c r="E12" s="9">
        <f>HLOOKUP(B12,'Monthly Returns'!$A$1:$Q$134, 132, FALSE)</f>
        <v>6.6115702479338845E-2</v>
      </c>
      <c r="H12" s="9">
        <f>HLOOKUP(B12,'Yearly returns'!$B$1:$N$140, 133, FALSE)</f>
        <v>4.1322314049586778E-2</v>
      </c>
      <c r="I12" s="9">
        <f>HLOOKUP(B12,'Yearly returns'!$B$1:$N$140, 138, FALSE)</f>
        <v>0.90900000000000003</v>
      </c>
      <c r="J12" s="183">
        <f t="shared" si="0"/>
        <v>15.125</v>
      </c>
      <c r="K12" s="185">
        <f t="shared" si="1"/>
        <v>100</v>
      </c>
      <c r="L12" s="47">
        <f t="shared" si="2"/>
        <v>100</v>
      </c>
      <c r="M12" s="47">
        <f t="shared" si="3"/>
        <v>100</v>
      </c>
      <c r="N12" s="47">
        <f t="shared" si="4"/>
        <v>16.700000000000003</v>
      </c>
      <c r="P12">
        <f>L12*Assumption!$E$53 + M12*Assumption!$F$53 + N12*Assumption!$G$53</f>
        <v>58.35</v>
      </c>
      <c r="R12" cm="1">
        <f t="array" ref="R12">_xlfn.PERCENTRANK.EXC(_xlfn._xlws.FILTER(P$4:P$16, ISNUMBER(P$4:P$16)),P12)*100</f>
        <v>50</v>
      </c>
    </row>
    <row r="13" spans="2:18" x14ac:dyDescent="0.35">
      <c r="B13" t="s">
        <v>865</v>
      </c>
      <c r="C13" t="str" cm="1">
        <f t="array" ref="C13">_xll.FDS(B13,"FG_COMPANY_NAME")</f>
        <v>iShares MSCI France ETF</v>
      </c>
      <c r="D13" s="9">
        <f>HLOOKUP(B13,'Monthly Returns'!$A$1:$Q$134, 127, FALSE)</f>
        <v>-0.36210662999999998</v>
      </c>
      <c r="E13" s="9">
        <f>HLOOKUP(B13,'Monthly Returns'!$A$1:$Q$134, 132, FALSE)</f>
        <v>0.11570247933884298</v>
      </c>
      <c r="H13" s="9">
        <f>HLOOKUP(B13,'Yearly returns'!$B$1:$N$140, 133, FALSE)</f>
        <v>0.13223140495867769</v>
      </c>
      <c r="I13" s="9">
        <f>HLOOKUP(B13,'Yearly returns'!$B$1:$N$140, 138, FALSE)</f>
        <v>0.66300000000000003</v>
      </c>
      <c r="J13" s="183">
        <f t="shared" si="0"/>
        <v>8.6428571428571423</v>
      </c>
      <c r="K13" s="185">
        <f t="shared" si="1"/>
        <v>41.6</v>
      </c>
      <c r="L13" s="47">
        <f t="shared" si="2"/>
        <v>41.7</v>
      </c>
      <c r="M13" s="47">
        <f t="shared" si="3"/>
        <v>66.7</v>
      </c>
      <c r="N13" s="47">
        <f t="shared" si="4"/>
        <v>83.399999999999991</v>
      </c>
      <c r="P13">
        <f>L13*Assumption!$E$53 + M13*Assumption!$F$53 + N13*Assumption!$G$53</f>
        <v>68.8</v>
      </c>
      <c r="R13" cm="1">
        <f t="array" ref="R13">_xlfn.PERCENTRANK.EXC(_xlfn._xlws.FILTER(P$4:P$16, ISNUMBER(P$4:P$16)),P13)*100</f>
        <v>85.7</v>
      </c>
    </row>
    <row r="14" spans="2:18" x14ac:dyDescent="0.35">
      <c r="B14" t="s">
        <v>867</v>
      </c>
      <c r="C14" t="str" cm="1">
        <f t="array" ref="C14">_xll.FDS(B14,"FG_COMPANY_NAME")</f>
        <v>iShares MSCI Netherlands ETF</v>
      </c>
      <c r="D14" s="9">
        <f>HLOOKUP(B14,'Monthly Returns'!$A$1:$Q$134, 127, FALSE)</f>
        <v>-0.33451225000000001</v>
      </c>
      <c r="E14" s="9">
        <f>HLOOKUP(B14,'Monthly Returns'!$A$1:$Q$134, 132, FALSE)</f>
        <v>0.10743801652892562</v>
      </c>
      <c r="H14" s="9">
        <f>HLOOKUP(B14,'Yearly returns'!$B$1:$N$140, 133, FALSE)</f>
        <v>0.11570247933884298</v>
      </c>
      <c r="I14" s="9">
        <f>HLOOKUP(B14,'Yearly returns'!$B$1:$N$140, 138, FALSE)</f>
        <v>0.78600000000000003</v>
      </c>
      <c r="J14" s="183">
        <f t="shared" si="0"/>
        <v>9.3076923076923066</v>
      </c>
      <c r="K14" s="185">
        <f t="shared" si="1"/>
        <v>50</v>
      </c>
      <c r="L14" s="47">
        <f t="shared" si="2"/>
        <v>66.7</v>
      </c>
      <c r="M14" s="47">
        <f t="shared" si="3"/>
        <v>83.399999999999991</v>
      </c>
      <c r="N14" s="47">
        <f t="shared" si="4"/>
        <v>50</v>
      </c>
      <c r="P14">
        <f>L14*Assumption!$E$53 + M14*Assumption!$F$53 + N14*Assumption!$G$53</f>
        <v>62.524999999999999</v>
      </c>
      <c r="R14" cm="1">
        <f t="array" ref="R14">_xlfn.PERCENTRANK.EXC(_xlfn._xlws.FILTER(P$4:P$16, ISNUMBER(P$4:P$16)),P14)*100</f>
        <v>71.399999999999991</v>
      </c>
    </row>
    <row r="15" spans="2:18" x14ac:dyDescent="0.35">
      <c r="B15" t="s">
        <v>864</v>
      </c>
      <c r="C15" t="str" cm="1">
        <f t="array" ref="C15">_xll.FDS(B15,"FG_COMPANY_NAME")</f>
        <v>iShares MSCI Sweden ETF</v>
      </c>
      <c r="D15" s="9">
        <f>HLOOKUP(B15,'Monthly Returns'!$A$1:$Q$134, 127, FALSE)</f>
        <v>-0.34772255000000002</v>
      </c>
      <c r="E15" s="9">
        <f>HLOOKUP(B15,'Monthly Returns'!$A$1:$Q$134, 132, FALSE)</f>
        <v>0.12396694214876033</v>
      </c>
      <c r="H15" s="9">
        <f>HLOOKUP(B15,'Yearly returns'!$B$1:$N$140, 133, FALSE)</f>
        <v>0.18181818181818182</v>
      </c>
      <c r="I15" s="9">
        <f>HLOOKUP(B15,'Yearly returns'!$B$1:$N$140, 138, FALSE)</f>
        <v>0.81899999999999995</v>
      </c>
      <c r="J15" s="183">
        <f t="shared" si="0"/>
        <v>8.0666666666666664</v>
      </c>
      <c r="K15" s="185">
        <f t="shared" si="1"/>
        <v>25</v>
      </c>
      <c r="L15" s="47">
        <f t="shared" si="2"/>
        <v>33.4</v>
      </c>
      <c r="M15" s="47">
        <f t="shared" si="3"/>
        <v>16.700000000000003</v>
      </c>
      <c r="N15" s="47">
        <f t="shared" si="4"/>
        <v>33.4</v>
      </c>
      <c r="P15">
        <f>L15*Assumption!$E$53 + M15*Assumption!$F$53 + N15*Assumption!$G$53</f>
        <v>29.225000000000001</v>
      </c>
      <c r="R15" cm="1">
        <f t="array" ref="R15">_xlfn.PERCENTRANK.EXC(_xlfn._xlws.FILTER(P$4:P$16, ISNUMBER(P$4:P$16)),P15)*100</f>
        <v>21.4</v>
      </c>
    </row>
    <row r="16" spans="2:18" x14ac:dyDescent="0.35">
      <c r="B16" t="s">
        <v>866</v>
      </c>
      <c r="C16" t="str" cm="1">
        <f t="array" ref="C16">_xll.FDS(B16,"FG_COMPANY_NAME")</f>
        <v>iShares MSCI Italy ETF</v>
      </c>
      <c r="D16" s="9">
        <f>HLOOKUP(B16,'Monthly Returns'!$A$1:$Q$134, 127, FALSE)</f>
        <v>-0.37584119999999999</v>
      </c>
      <c r="E16" s="9">
        <f>HLOOKUP(B16,'Monthly Returns'!$A$1:$Q$134, 132, FALSE)</f>
        <v>0.18181818181818182</v>
      </c>
      <c r="H16" s="9">
        <f>HLOOKUP(B16,'Yearly returns'!$B$1:$N$140, 133, FALSE)</f>
        <v>0.28925619834710742</v>
      </c>
      <c r="I16" s="9">
        <f>HLOOKUP(B16,'Yearly returns'!$B$1:$N$140, 138, FALSE)</f>
        <v>0.79500000000000004</v>
      </c>
      <c r="J16" s="183">
        <f t="shared" si="0"/>
        <v>5.5</v>
      </c>
      <c r="K16" s="185">
        <f t="shared" si="1"/>
        <v>0</v>
      </c>
      <c r="L16" s="47">
        <f t="shared" si="2"/>
        <v>0</v>
      </c>
      <c r="M16" s="47">
        <f t="shared" si="3"/>
        <v>0</v>
      </c>
      <c r="N16" s="47">
        <f t="shared" si="4"/>
        <v>41.7</v>
      </c>
      <c r="P16">
        <f>L16*Assumption!$E$53 + M16*Assumption!$F$53 + N16*Assumption!$G$53</f>
        <v>20.85</v>
      </c>
      <c r="R16" cm="1">
        <f t="array" ref="R16">_xlfn.PERCENTRANK.EXC(_xlfn._xlws.FILTER(P$4:P$16, ISNUMBER(P$4:P$16)),P16)*100</f>
        <v>7.1</v>
      </c>
    </row>
    <row r="17" spans="4:4" x14ac:dyDescent="0.35">
      <c r="D17" s="9"/>
    </row>
    <row r="18" spans="4:4" x14ac:dyDescent="0.35">
      <c r="D18" s="9"/>
    </row>
    <row r="19" spans="4:4" x14ac:dyDescent="0.35">
      <c r="D19" s="9"/>
    </row>
    <row r="20" spans="4:4" x14ac:dyDescent="0.35">
      <c r="D20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26"/>
  <sheetViews>
    <sheetView topLeftCell="I13" zoomScaleNormal="100" workbookViewId="0">
      <selection activeCell="N22" sqref="N22"/>
    </sheetView>
  </sheetViews>
  <sheetFormatPr defaultRowHeight="14.5" x14ac:dyDescent="0.35"/>
  <cols>
    <col min="1" max="1" width="15.1796875" bestFit="1" customWidth="1"/>
    <col min="2" max="2" width="34.453125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L2" s="5"/>
    </row>
    <row r="3" spans="1:22" x14ac:dyDescent="0.35">
      <c r="H3"/>
      <c r="I3"/>
      <c r="J3"/>
      <c r="L3" s="5"/>
    </row>
    <row r="4" spans="1:22" x14ac:dyDescent="0.35">
      <c r="A4" t="s">
        <v>821</v>
      </c>
      <c r="B4" t="s">
        <v>519</v>
      </c>
      <c r="C4" t="s">
        <v>820</v>
      </c>
      <c r="D4" t="s">
        <v>544</v>
      </c>
      <c r="F4" t="s">
        <v>783</v>
      </c>
      <c r="G4" s="110" t="s">
        <v>818</v>
      </c>
      <c r="H4" s="110" t="s">
        <v>817</v>
      </c>
      <c r="I4" s="110" t="s">
        <v>837</v>
      </c>
      <c r="J4" s="110" t="s">
        <v>819</v>
      </c>
      <c r="S4" s="110" t="s">
        <v>818</v>
      </c>
      <c r="T4" s="110" t="s">
        <v>817</v>
      </c>
      <c r="U4" s="110" t="s">
        <v>837</v>
      </c>
      <c r="V4" s="110" t="s">
        <v>819</v>
      </c>
    </row>
    <row r="5" spans="1:22" x14ac:dyDescent="0.35">
      <c r="A5" t="s">
        <v>198</v>
      </c>
      <c r="B5" t="str" cm="1">
        <f t="array" ref="B5">_xll.FDS(C5,"FG_COMPANY_NAME")</f>
        <v>iShares MSCI New Zealand ETF</v>
      </c>
      <c r="C5" t="s">
        <v>431</v>
      </c>
      <c r="D5" t="s">
        <v>674</v>
      </c>
      <c r="E5" s="3" t="s">
        <v>431</v>
      </c>
      <c r="F5" s="9">
        <f>HLOOKUP(E5,'Monthly Returns'!$A$1:$AE$136,134,FALSE)</f>
        <v>0.54900000000000004</v>
      </c>
      <c r="G5" s="141" cm="1">
        <f t="array" ref="G5">_xll.FDSZ(C5,"FG_PRICE(0)")</f>
        <v>45.1</v>
      </c>
      <c r="H5" s="141" cm="1">
        <f t="array" ref="H5">_xll.FDSZ(C5,"FG_PRICE_MAVG(0,,,,30)")</f>
        <v>45.442500000000003</v>
      </c>
      <c r="I5" s="141" cm="1">
        <f t="array" ref="I5">_xll.FDSZ(C5,"FG_PRICE_MAVG(0,,,,60)")</f>
        <v>46.303832999999997</v>
      </c>
      <c r="J5" s="141" cm="1">
        <f t="array" ref="J5">_xll.FDSZ(C5,"FG_PRICE_MAVG(0,,,,200)")</f>
        <v>46.177962999999998</v>
      </c>
      <c r="L5">
        <f>IF($G5&gt;H5, 1, 0)</f>
        <v>0</v>
      </c>
      <c r="M5">
        <f>IF($G5&gt;I5, 1, 0)</f>
        <v>0</v>
      </c>
      <c r="N5">
        <f>IF($G5&gt;J5, 1, 0)</f>
        <v>0</v>
      </c>
      <c r="P5">
        <f>SUM(L5:N5)</f>
        <v>0</v>
      </c>
      <c r="R5" t="s">
        <v>839</v>
      </c>
      <c r="S5" s="7" cm="1">
        <f t="array" ref="S5">_xll.FDSZ($R5,"FG_PRICE(0)")</f>
        <v>388.07468</v>
      </c>
      <c r="T5" s="7" cm="1">
        <f t="array" ref="T5">_xll.FDSZ($R5,"FG_PRICE(0)")</f>
        <v>388.07468</v>
      </c>
      <c r="U5" s="7" cm="1">
        <f t="array" ref="U5">_xll.FDSZ($R5,"FG_PRICE(0)")</f>
        <v>388.07468</v>
      </c>
      <c r="V5" s="7" cm="1">
        <f t="array" ref="V5">_xll.FDSZ($R5,"FG_PRICE(0)")</f>
        <v>388.07468</v>
      </c>
    </row>
    <row r="6" spans="1:22" x14ac:dyDescent="0.35">
      <c r="A6" t="s">
        <v>174</v>
      </c>
      <c r="B6" t="str" cm="1">
        <f t="array" ref="B6">_xll.FDS(C6,"FG_COMPANY_NAME")</f>
        <v>iShares MSCI Australia ETF</v>
      </c>
      <c r="C6" t="s">
        <v>44</v>
      </c>
      <c r="D6" t="s">
        <v>576</v>
      </c>
      <c r="E6" s="3" t="s">
        <v>44</v>
      </c>
      <c r="F6" s="9">
        <f>HLOOKUP(E6,'Monthly Returns'!$A$1:$AE$136,134,FALSE)</f>
        <v>0.745</v>
      </c>
      <c r="G6" s="141" cm="1">
        <f t="array" ref="G6">_xll.FDSZ(C6,"FG_PRICE(0)")</f>
        <v>24.42</v>
      </c>
      <c r="H6" s="141" cm="1">
        <f t="array" ref="H6">_xll.FDSZ(C6,"FG_PRICE_MAVG(0,,,,30)")</f>
        <v>23.996334000000001</v>
      </c>
      <c r="I6" s="141" cm="1">
        <f t="array" ref="I6">_xll.FDSZ(C6,"FG_PRICE_MAVG(0,,,,60)")</f>
        <v>23.852833</v>
      </c>
      <c r="J6" s="141" cm="1">
        <f t="array" ref="J6">_xll.FDSZ(C6,"FG_PRICE_MAVG(0,,,,200)")</f>
        <v>22.693100000000001</v>
      </c>
      <c r="L6">
        <f t="shared" ref="L6:L17" si="0">IF($G6&gt;H6, 1, 0)</f>
        <v>1</v>
      </c>
      <c r="M6">
        <f t="shared" ref="M6:M17" si="1">IF($G6&gt;I6, 1, 0)</f>
        <v>1</v>
      </c>
      <c r="N6">
        <f t="shared" ref="N6:N17" si="2">IF($G6&gt;J6, 1, 0)</f>
        <v>1</v>
      </c>
      <c r="P6">
        <f t="shared" ref="P6:P17" si="3">SUM(L6:N6)</f>
        <v>3</v>
      </c>
      <c r="R6" t="s">
        <v>840</v>
      </c>
      <c r="S6" s="7" cm="1">
        <f t="array" ref="S6">_xll.FDSZ($R6,"FG_PRICE(0)")</f>
        <v>358.24484000000001</v>
      </c>
      <c r="T6" s="7" cm="1">
        <f t="array" ref="T6">_xll.FDSZ($R6,"FG_PRICE(0)")</f>
        <v>358.24484000000001</v>
      </c>
      <c r="U6" s="7" cm="1">
        <f t="array" ref="U6">_xll.FDSZ($R6,"FG_PRICE(0)")</f>
        <v>358.24484000000001</v>
      </c>
      <c r="V6" s="7" cm="1">
        <f t="array" ref="V6">_xll.FDSZ($R6,"FG_PRICE(0)")</f>
        <v>358.24484000000001</v>
      </c>
    </row>
    <row r="7" spans="1:22" x14ac:dyDescent="0.35">
      <c r="A7" t="s">
        <v>157</v>
      </c>
      <c r="B7" t="str" cm="1">
        <f t="array" ref="B7">_xll.FDS(C7,"FG_COMPANY_NAME")</f>
        <v>iShares MSCI Canada ETF</v>
      </c>
      <c r="C7" t="s">
        <v>49</v>
      </c>
      <c r="D7" t="s">
        <v>598</v>
      </c>
      <c r="E7" s="3" t="s">
        <v>49</v>
      </c>
      <c r="F7" s="9">
        <f>HLOOKUP(E7,'Monthly Returns'!$A$1:$AE$136,134,FALSE)</f>
        <v>0.79500000000000004</v>
      </c>
      <c r="G7" s="141" cm="1">
        <f t="array" ref="G7">_xll.FDSZ(C7,"FG_PRICE(0)")</f>
        <v>38.200000000000003</v>
      </c>
      <c r="H7" s="141" cm="1">
        <f t="array" ref="H7">_xll.FDSZ(C7,"FG_PRICE_MAVG(0,,,,30)")</f>
        <v>37.074333000000003</v>
      </c>
      <c r="I7" s="141" cm="1">
        <f t="array" ref="I7">_xll.FDSZ(C7,"FG_PRICE_MAVG(0,,,,60)")</f>
        <v>36.695500000000003</v>
      </c>
      <c r="J7" s="141" cm="1">
        <f t="array" ref="J7">_xll.FDSZ(C7,"FG_PRICE_MAVG(0,,,,200)")</f>
        <v>35.02205</v>
      </c>
      <c r="L7">
        <f t="shared" si="0"/>
        <v>1</v>
      </c>
      <c r="M7">
        <f t="shared" si="1"/>
        <v>1</v>
      </c>
      <c r="N7">
        <f t="shared" si="2"/>
        <v>1</v>
      </c>
      <c r="P7">
        <f t="shared" si="3"/>
        <v>3</v>
      </c>
      <c r="R7" t="s">
        <v>841</v>
      </c>
      <c r="S7" s="7" cm="1">
        <f t="array" ref="S7">_xll.FDSZ($R7,"FG_PRICE(0)")</f>
        <v>292.22590000000002</v>
      </c>
      <c r="T7" s="7" cm="1">
        <f t="array" ref="T7">_xll.FDSZ($R7,"FG_PRICE(0)")</f>
        <v>292.22590000000002</v>
      </c>
      <c r="U7" s="7" cm="1">
        <f t="array" ref="U7">_xll.FDSZ($R7,"FG_PRICE(0)")</f>
        <v>292.22590000000002</v>
      </c>
      <c r="V7" s="7" cm="1">
        <f t="array" ref="V7">_xll.FDSZ($R7,"FG_PRICE(0)")</f>
        <v>292.22590000000002</v>
      </c>
    </row>
    <row r="8" spans="1:22" x14ac:dyDescent="0.35">
      <c r="A8" t="s">
        <v>555</v>
      </c>
      <c r="B8" t="str" cm="1">
        <f t="array" ref="B8">_xll.FDS(C8,"FG_COMPANY_NAME")</f>
        <v>iShares MSCI Germany ETF</v>
      </c>
      <c r="C8" t="s">
        <v>11</v>
      </c>
      <c r="D8" t="s">
        <v>625</v>
      </c>
      <c r="E8" s="3" t="s">
        <v>11</v>
      </c>
      <c r="F8" s="9">
        <f>HLOOKUP(E8,'Monthly Returns'!$A$1:$AE$136,134,FALSE)</f>
        <v>0.85199999999999998</v>
      </c>
      <c r="G8" s="141" cm="1">
        <f t="array" ref="G8">_xll.FDSZ(C8,"FG_PRICE(0)")</f>
        <v>31.31</v>
      </c>
      <c r="H8" s="141" cm="1">
        <f t="array" ref="H8">_xll.FDSZ(C8,"FG_PRICE_MAVG(0,,,,30)")</f>
        <v>30.424334000000002</v>
      </c>
      <c r="I8" s="141" cm="1">
        <f t="array" ref="I8">_xll.FDSZ(C8,"FG_PRICE_MAVG(0,,,,60)")</f>
        <v>29.817833</v>
      </c>
      <c r="J8" s="141" cm="1">
        <f t="array" ref="J8">_xll.FDSZ(C8,"FG_PRICE_MAVG(0,,,,200)")</f>
        <v>28.26735</v>
      </c>
      <c r="L8">
        <f t="shared" si="0"/>
        <v>1</v>
      </c>
      <c r="M8">
        <f t="shared" si="1"/>
        <v>1</v>
      </c>
      <c r="N8">
        <f t="shared" si="2"/>
        <v>1</v>
      </c>
      <c r="P8">
        <f t="shared" si="3"/>
        <v>3</v>
      </c>
      <c r="R8" t="s">
        <v>838</v>
      </c>
      <c r="S8" s="7" cm="1">
        <f t="array" ref="S8">_xll.FDSZ($R8,"FG_PRICE(0)")</f>
        <v>9.7185100000000002</v>
      </c>
      <c r="T8" s="7" cm="1">
        <f t="array" ref="T8">_xll.FDSZ($R8,"FG_PRICE(0)")</f>
        <v>9.7185100000000002</v>
      </c>
      <c r="U8" s="7" cm="1">
        <f t="array" ref="U8">_xll.FDSZ($R8,"FG_PRICE(0)")</f>
        <v>9.7185100000000002</v>
      </c>
      <c r="V8" s="7" cm="1">
        <f t="array" ref="V8">_xll.FDSZ($R8,"FG_PRICE(0)")</f>
        <v>9.7185100000000002</v>
      </c>
    </row>
    <row r="9" spans="1:22" x14ac:dyDescent="0.35">
      <c r="A9" t="s">
        <v>164</v>
      </c>
      <c r="B9" t="str" cm="1">
        <f t="array" ref="B9">_xll.FDS(C9,"FG_COMPANY_NAME")</f>
        <v>iShares MSCI Japan ETF</v>
      </c>
      <c r="C9" t="s">
        <v>46</v>
      </c>
      <c r="D9" t="s">
        <v>643</v>
      </c>
      <c r="E9" s="3" t="s">
        <v>46</v>
      </c>
      <c r="F9" s="9">
        <f>HLOOKUP(E9,'Monthly Returns'!$A$1:$AE$136,134,FALSE)</f>
        <v>0.88500000000000001</v>
      </c>
      <c r="G9" s="141" cm="1">
        <f t="array" ref="G9">_xll.FDSZ(C9,"FG_PRICE(0)")</f>
        <v>71.83</v>
      </c>
      <c r="H9" s="141" cm="1">
        <f t="array" ref="H9">_xll.FDSZ(C9,"FG_PRICE_MAVG(0,,,,30)")</f>
        <v>69.183000000000007</v>
      </c>
      <c r="I9" s="141" cm="1">
        <f t="array" ref="I9">_xll.FDSZ(C9,"FG_PRICE_MAVG(0,,,,60)")</f>
        <v>67.226500000000001</v>
      </c>
      <c r="J9" s="141" cm="1">
        <f t="array" ref="J9">_xll.FDSZ(C9,"FG_PRICE_MAVG(0,,,,200)")</f>
        <v>63.195050000000002</v>
      </c>
      <c r="L9">
        <f t="shared" si="0"/>
        <v>1</v>
      </c>
      <c r="M9">
        <f t="shared" si="1"/>
        <v>1</v>
      </c>
      <c r="N9">
        <f t="shared" si="2"/>
        <v>1</v>
      </c>
      <c r="P9">
        <f t="shared" si="3"/>
        <v>3</v>
      </c>
      <c r="R9" t="s">
        <v>842</v>
      </c>
      <c r="S9" s="7" cm="1">
        <f t="array" ref="S9">_xll.FDSZ($R9,"FG_PRICE(0)")</f>
        <v>182.70259999999999</v>
      </c>
      <c r="T9" s="7" cm="1">
        <f t="array" ref="T9">_xll.FDSZ($R9,"FG_PRICE(0)")</f>
        <v>182.70259999999999</v>
      </c>
      <c r="U9" s="7" cm="1">
        <f t="array" ref="U9">_xll.FDSZ($R9,"FG_PRICE(0)")</f>
        <v>182.70259999999999</v>
      </c>
      <c r="V9" s="7" cm="1">
        <f t="array" ref="V9">_xll.FDSZ($R9,"FG_PRICE(0)")</f>
        <v>182.70259999999999</v>
      </c>
    </row>
    <row r="10" spans="1:22" x14ac:dyDescent="0.35">
      <c r="A10" t="s">
        <v>276</v>
      </c>
      <c r="B10" t="str" cm="1">
        <f t="array" ref="B10">_xll.FDS(C10,"FG_COMPANY_NAME")</f>
        <v>iShares MSCI Switzerland ETF</v>
      </c>
      <c r="C10" t="s">
        <v>42</v>
      </c>
      <c r="D10" t="s">
        <v>706</v>
      </c>
      <c r="E10" s="3" t="s">
        <v>42</v>
      </c>
      <c r="F10" s="9">
        <f>HLOOKUP(E10,'Monthly Returns'!$A$1:$AE$136,134,FALSE)</f>
        <v>0.45900000000000002</v>
      </c>
      <c r="G10" s="141" cm="1">
        <f t="array" ref="G10">_xll.FDSZ(C10,"FG_PRICE(0)")</f>
        <v>47.57</v>
      </c>
      <c r="H10" s="141" cm="1">
        <f t="array" ref="H10">_xll.FDSZ(C10,"FG_PRICE_MAVG(0,,,,30)")</f>
        <v>47.323</v>
      </c>
      <c r="I10" s="141" cm="1">
        <f t="array" ref="I10">_xll.FDSZ(C10,"FG_PRICE_MAVG(0,,,,60)")</f>
        <v>47.429670000000002</v>
      </c>
      <c r="J10" s="141" cm="1">
        <f t="array" ref="J10">_xll.FDSZ(C10,"FG_PRICE_MAVG(0,,,,200)")</f>
        <v>45.893149999999999</v>
      </c>
      <c r="L10">
        <f t="shared" si="0"/>
        <v>1</v>
      </c>
      <c r="M10">
        <f t="shared" si="1"/>
        <v>1</v>
      </c>
      <c r="N10">
        <f t="shared" si="2"/>
        <v>1</v>
      </c>
      <c r="P10">
        <f t="shared" si="3"/>
        <v>3</v>
      </c>
      <c r="R10" t="s">
        <v>843</v>
      </c>
      <c r="S10" s="7" cm="1">
        <f t="array" ref="S10">_xll.FDSZ($R10,"FG_PRICE(0)")</f>
        <v>324.61135999999999</v>
      </c>
      <c r="T10" s="7" cm="1">
        <f t="array" ref="T10">_xll.FDSZ($R10,"FG_PRICE(0)")</f>
        <v>324.61135999999999</v>
      </c>
      <c r="U10" s="7" cm="1">
        <f t="array" ref="U10">_xll.FDSZ($R10,"FG_PRICE(0)")</f>
        <v>324.61135999999999</v>
      </c>
      <c r="V10" s="7" cm="1">
        <f t="array" ref="V10">_xll.FDSZ($R10,"FG_PRICE(0)")</f>
        <v>324.61135999999999</v>
      </c>
    </row>
    <row r="11" spans="1:22" x14ac:dyDescent="0.35">
      <c r="A11" t="s">
        <v>167</v>
      </c>
      <c r="B11" t="str" cm="1">
        <f t="array" ref="B11">_xll.FDS(C11,"FG_COMPANY_NAME")</f>
        <v>iShares MSCI United Kingdom ETF</v>
      </c>
      <c r="C11" t="s">
        <v>48</v>
      </c>
      <c r="D11" t="s">
        <v>719</v>
      </c>
      <c r="E11" s="3" t="s">
        <v>48</v>
      </c>
      <c r="F11" s="9">
        <f>HLOOKUP(E11,'Monthly Returns'!$A$1:$AE$136,134,FALSE)</f>
        <v>0.76200000000000001</v>
      </c>
      <c r="G11" s="141" cm="1">
        <f t="array" ref="G11">_xll.FDSZ(C11,"FG_PRICE(0)")</f>
        <v>33.880000000000003</v>
      </c>
      <c r="H11" s="141" cm="1">
        <f t="array" ref="H11">_xll.FDSZ(C11,"FG_PRICE_MAVG(0,,,,30)")</f>
        <v>32.949665000000003</v>
      </c>
      <c r="I11" s="141" cm="1">
        <f t="array" ref="I11">_xll.FDSZ(C11,"FG_PRICE_MAVG(0,,,,60)")</f>
        <v>32.755833000000003</v>
      </c>
      <c r="J11" s="141" cm="1">
        <f t="array" ref="J11">_xll.FDSZ(C11,"FG_PRICE_MAVG(0,,,,200)")</f>
        <v>32.26905</v>
      </c>
      <c r="L11">
        <f t="shared" si="0"/>
        <v>1</v>
      </c>
      <c r="M11">
        <f t="shared" si="1"/>
        <v>1</v>
      </c>
      <c r="N11">
        <f t="shared" si="2"/>
        <v>1</v>
      </c>
      <c r="P11">
        <f t="shared" si="3"/>
        <v>3</v>
      </c>
      <c r="R11" t="s">
        <v>844</v>
      </c>
      <c r="S11" s="7" cm="1">
        <f t="array" ref="S11">_xll.FDSZ($R11,"FG_PRICE(0)")</f>
        <v>121.99174499999999</v>
      </c>
      <c r="T11" s="7" cm="1">
        <f t="array" ref="T11">_xll.FDSZ($R11,"FG_PRICE(0)")</f>
        <v>121.99174499999999</v>
      </c>
      <c r="U11" s="7" cm="1">
        <f t="array" ref="U11">_xll.FDSZ($R11,"FG_PRICE(0)")</f>
        <v>121.99174499999999</v>
      </c>
      <c r="V11" s="7" cm="1">
        <f t="array" ref="V11">_xll.FDSZ($R11,"FG_PRICE(0)")</f>
        <v>121.99174499999999</v>
      </c>
    </row>
    <row r="12" spans="1:22" x14ac:dyDescent="0.35">
      <c r="A12" t="s">
        <v>170</v>
      </c>
      <c r="B12" t="str" cm="1">
        <f t="array" ref="B12">_xll.FDS(C12,"FG_COMPANY_NAME")</f>
        <v>Invesco QQQ Trust Series I</v>
      </c>
      <c r="C12" t="s">
        <v>51</v>
      </c>
      <c r="D12" t="s">
        <v>720</v>
      </c>
      <c r="E12" s="3" t="s">
        <v>51</v>
      </c>
      <c r="F12" s="9">
        <f>HLOOKUP(E12,'Monthly Returns'!$A$1:$AE$136,134,FALSE)</f>
        <v>0.745</v>
      </c>
      <c r="G12" s="141" cm="1">
        <f t="array" ref="G12">_xll.FDSZ(C12,"FG_PRICE(0)")</f>
        <v>445.87</v>
      </c>
      <c r="H12" s="141" cm="1">
        <f t="array" ref="H12">_xll.FDSZ(C12,"FG_PRICE_MAVG(0,,,,30)")</f>
        <v>437.24065999999999</v>
      </c>
      <c r="I12" s="141" cm="1">
        <f t="array" ref="I12">_xll.FDSZ(C12,"FG_PRICE_MAVG(0,,,,60)")</f>
        <v>426.23200000000003</v>
      </c>
      <c r="J12" s="141" cm="1">
        <f t="array" ref="J12">_xll.FDSZ(C12,"FG_PRICE_MAVG(0,,,,200)")</f>
        <v>388.62374999999997</v>
      </c>
      <c r="L12">
        <f t="shared" si="0"/>
        <v>1</v>
      </c>
      <c r="M12">
        <f t="shared" si="1"/>
        <v>1</v>
      </c>
      <c r="N12">
        <f t="shared" si="2"/>
        <v>1</v>
      </c>
      <c r="P12">
        <f t="shared" si="3"/>
        <v>3</v>
      </c>
      <c r="R12" t="s">
        <v>845</v>
      </c>
      <c r="S12" s="7" cm="1">
        <f t="array" ref="S12">_xll.FDSZ($R12,"FG_PRICE(0)")</f>
        <v>394.45751999999999</v>
      </c>
      <c r="T12" s="7" cm="1">
        <f t="array" ref="T12">_xll.FDSZ($R12,"FG_PRICE(0)")</f>
        <v>394.45751999999999</v>
      </c>
      <c r="U12" s="7" cm="1">
        <f t="array" ref="U12">_xll.FDSZ($R12,"FG_PRICE(0)")</f>
        <v>394.45751999999999</v>
      </c>
      <c r="V12" s="7" cm="1">
        <f t="array" ref="V12">_xll.FDSZ($R12,"FG_PRICE(0)")</f>
        <v>394.45751999999999</v>
      </c>
    </row>
    <row r="13" spans="1:22" x14ac:dyDescent="0.35">
      <c r="A13" t="s">
        <v>170</v>
      </c>
      <c r="B13" t="str" cm="1">
        <f t="array" ref="B13">_xll.FDS(C13,"FG_COMPANY_NAME")</f>
        <v>SPDR S&amp;P 500 ETF Trust</v>
      </c>
      <c r="C13" t="s">
        <v>1</v>
      </c>
      <c r="D13" t="s">
        <v>720</v>
      </c>
      <c r="E13" s="3" t="s">
        <v>1</v>
      </c>
      <c r="F13" s="9">
        <f>HLOOKUP(E13,'Monthly Returns'!$A$1:$AE$136,134,FALSE)</f>
        <v>0.90900000000000003</v>
      </c>
      <c r="G13" s="141" cm="1">
        <f t="array" ref="G13">_xll.FDSZ(C13,"FG_PRICE(0)")</f>
        <v>522.20000000000005</v>
      </c>
      <c r="H13" s="141" cm="1">
        <f t="array" ref="H13">_xll.FDSZ(C13,"FG_PRICE_MAVG(0,,,,30)")</f>
        <v>507.99734000000001</v>
      </c>
      <c r="I13" s="141" cm="1">
        <f t="array" ref="I13">_xll.FDSZ(C13,"FG_PRICE_MAVG(0,,,,60)")</f>
        <v>494.45483000000002</v>
      </c>
      <c r="J13" s="141" cm="1">
        <f t="array" ref="J13">_xll.FDSZ(C13,"FG_PRICE_MAVG(0,,,,200)")</f>
        <v>458.39179999999999</v>
      </c>
      <c r="L13">
        <f t="shared" si="0"/>
        <v>1</v>
      </c>
      <c r="M13">
        <f t="shared" si="1"/>
        <v>1</v>
      </c>
      <c r="N13">
        <f t="shared" si="2"/>
        <v>1</v>
      </c>
      <c r="P13">
        <f t="shared" si="3"/>
        <v>3</v>
      </c>
      <c r="R13" t="s">
        <v>845</v>
      </c>
      <c r="S13" s="7" cm="1">
        <f t="array" ref="S13">_xll.FDSZ($R13,"FG_PRICE(0)")</f>
        <v>394.45751999999999</v>
      </c>
      <c r="T13" s="7" cm="1">
        <f t="array" ref="T13">_xll.FDSZ($R13,"FG_PRICE(0)")</f>
        <v>394.45751999999999</v>
      </c>
      <c r="U13" s="7" cm="1">
        <f t="array" ref="U13">_xll.FDSZ($R13,"FG_PRICE(0)")</f>
        <v>394.45751999999999</v>
      </c>
      <c r="V13" s="7" cm="1">
        <f t="array" ref="V13">_xll.FDSZ($R13,"FG_PRICE(0)")</f>
        <v>394.45751999999999</v>
      </c>
    </row>
    <row r="14" spans="1:22" x14ac:dyDescent="0.35">
      <c r="A14" t="s">
        <v>869</v>
      </c>
      <c r="B14" t="str" cm="1">
        <f t="array" ref="B14">_xll.FDS(C14,"FG_COMPANY_NAME")</f>
        <v>iShares MSCI France ETF</v>
      </c>
      <c r="C14" t="s">
        <v>865</v>
      </c>
      <c r="D14" t="s">
        <v>621</v>
      </c>
      <c r="E14" t="s">
        <v>865</v>
      </c>
      <c r="F14" s="9">
        <f>HLOOKUP(E14,'Monthly Returns'!$A$1:$AE$136,134,FALSE)</f>
        <v>0.80300000000000005</v>
      </c>
      <c r="G14" s="141" cm="1">
        <f t="array" ref="G14">_xll.FDSZ(C14,"FG_PRICE(0)")</f>
        <v>41.36</v>
      </c>
      <c r="H14" s="141" cm="1">
        <f t="array" ref="H14">_xll.FDSZ(C14,"FG_PRICE_MAVG(0,,,,30)")</f>
        <v>40.275333000000003</v>
      </c>
      <c r="I14" s="141" cm="1">
        <f t="array" ref="I14">_xll.FDSZ(C14,"FG_PRICE_MAVG(0,,,,60)")</f>
        <v>39.372664999999998</v>
      </c>
      <c r="J14" s="141" cm="1">
        <f t="array" ref="J14">_xll.FDSZ(C14,"FG_PRICE_MAVG(0,,,,200)")</f>
        <v>37.789574000000002</v>
      </c>
      <c r="L14">
        <f t="shared" si="0"/>
        <v>1</v>
      </c>
      <c r="M14">
        <f t="shared" si="1"/>
        <v>1</v>
      </c>
      <c r="N14">
        <f t="shared" si="2"/>
        <v>1</v>
      </c>
      <c r="P14">
        <f t="shared" si="3"/>
        <v>3</v>
      </c>
      <c r="R14" t="s">
        <v>845</v>
      </c>
      <c r="S14" s="7" cm="1">
        <f t="array" ref="S14">_xll.FDSZ($R14,"FG_PRICE(0)")</f>
        <v>394.45751999999999</v>
      </c>
      <c r="T14" s="7" cm="1">
        <f t="array" ref="T14">_xll.FDSZ($R14,"FG_PRICE(0)")</f>
        <v>394.45751999999999</v>
      </c>
      <c r="U14" s="7" cm="1">
        <f t="array" ref="U14">_xll.FDSZ($R14,"FG_PRICE(0)")</f>
        <v>394.45751999999999</v>
      </c>
      <c r="V14" s="7" cm="1">
        <f t="array" ref="V14">_xll.FDSZ($R14,"FG_PRICE(0)")</f>
        <v>394.45751999999999</v>
      </c>
    </row>
    <row r="15" spans="1:22" x14ac:dyDescent="0.35">
      <c r="A15" t="s">
        <v>870</v>
      </c>
      <c r="B15" t="str" cm="1">
        <f t="array" ref="B15">_xll.FDS(C15,"FG_COMPANY_NAME")</f>
        <v>iShares MSCI Netherlands ETF</v>
      </c>
      <c r="C15" t="s">
        <v>867</v>
      </c>
      <c r="D15" t="s">
        <v>673</v>
      </c>
      <c r="E15" t="s">
        <v>867</v>
      </c>
      <c r="F15" s="9">
        <f>HLOOKUP(E15,'Monthly Returns'!$A$1:$AE$136,134,FALSE)</f>
        <v>0.81899999999999995</v>
      </c>
      <c r="G15" s="141" cm="1">
        <f t="array" ref="G15">_xll.FDSZ(C15,"FG_PRICE(0)")</f>
        <v>49.35</v>
      </c>
      <c r="H15" s="141" cm="1">
        <f t="array" ref="H15">_xll.FDSZ(C15,"FG_PRICE_MAVG(0,,,,30)")</f>
        <v>47.944499999999998</v>
      </c>
      <c r="I15" s="141" cm="1">
        <f t="array" ref="I15">_xll.FDSZ(C15,"FG_PRICE_MAVG(0,,,,60)")</f>
        <v>46.213250000000002</v>
      </c>
      <c r="J15" s="141" cm="1">
        <f t="array" ref="J15">_xll.FDSZ(C15,"FG_PRICE_MAVG(0,,,,200)")</f>
        <v>42.74738</v>
      </c>
      <c r="L15">
        <f t="shared" si="0"/>
        <v>1</v>
      </c>
      <c r="M15">
        <f t="shared" si="1"/>
        <v>1</v>
      </c>
      <c r="N15">
        <f t="shared" si="2"/>
        <v>1</v>
      </c>
      <c r="P15">
        <f t="shared" si="3"/>
        <v>3</v>
      </c>
      <c r="R15" t="s">
        <v>845</v>
      </c>
      <c r="S15" s="7" cm="1">
        <f t="array" ref="S15">_xll.FDSZ($R15,"FG_PRICE(0)")</f>
        <v>394.45751999999999</v>
      </c>
      <c r="T15" s="7" cm="1">
        <f t="array" ref="T15">_xll.FDSZ($R15,"FG_PRICE(0)")</f>
        <v>394.45751999999999</v>
      </c>
      <c r="U15" s="7" cm="1">
        <f t="array" ref="U15">_xll.FDSZ($R15,"FG_PRICE(0)")</f>
        <v>394.45751999999999</v>
      </c>
      <c r="V15" s="7" cm="1">
        <f t="array" ref="V15">_xll.FDSZ($R15,"FG_PRICE(0)")</f>
        <v>394.45751999999999</v>
      </c>
    </row>
    <row r="16" spans="1:22" x14ac:dyDescent="0.35">
      <c r="A16" t="s">
        <v>273</v>
      </c>
      <c r="B16" t="str" cm="1">
        <f t="array" ref="B16">_xll.FDS(C16,"FG_COMPANY_NAME")</f>
        <v>iShares MSCI Sweden ETF</v>
      </c>
      <c r="C16" t="s">
        <v>864</v>
      </c>
      <c r="D16" t="s">
        <v>705</v>
      </c>
      <c r="E16" t="s">
        <v>864</v>
      </c>
      <c r="F16" s="9">
        <f>HLOOKUP(E16,'Monthly Returns'!$A$1:$AE$136,134,FALSE)</f>
        <v>0.81899999999999995</v>
      </c>
      <c r="G16" s="141" cm="1">
        <f t="array" ref="G16">_xll.FDSZ(C16,"FG_PRICE(0)")</f>
        <v>41.08</v>
      </c>
      <c r="H16" s="141" cm="1">
        <f t="array" ref="H16">_xll.FDSZ(C16,"FG_PRICE_MAVG(0,,,,30)")</f>
        <v>39.545665999999997</v>
      </c>
      <c r="I16" s="141" cm="1">
        <f t="array" ref="I16">_xll.FDSZ(C16,"FG_PRICE_MAVG(0,,,,60)")</f>
        <v>38.603831999999997</v>
      </c>
      <c r="J16" s="141" cm="1">
        <f t="array" ref="J16">_xll.FDSZ(C16,"FG_PRICE_MAVG(0,,,,200)")</f>
        <v>35.696599999999997</v>
      </c>
      <c r="L16">
        <f t="shared" si="0"/>
        <v>1</v>
      </c>
      <c r="M16">
        <f t="shared" si="1"/>
        <v>1</v>
      </c>
      <c r="N16">
        <f t="shared" si="2"/>
        <v>1</v>
      </c>
      <c r="P16">
        <f t="shared" si="3"/>
        <v>3</v>
      </c>
      <c r="R16" t="s">
        <v>845</v>
      </c>
      <c r="S16" s="7" cm="1">
        <f t="array" ref="S16">_xll.FDSZ($R16,"FG_PRICE(0)")</f>
        <v>394.45751999999999</v>
      </c>
      <c r="T16" s="7" cm="1">
        <f t="array" ref="T16">_xll.FDSZ($R16,"FG_PRICE(0)")</f>
        <v>394.45751999999999</v>
      </c>
      <c r="U16" s="7" cm="1">
        <f t="array" ref="U16">_xll.FDSZ($R16,"FG_PRICE(0)")</f>
        <v>394.45751999999999</v>
      </c>
      <c r="V16" s="7" cm="1">
        <f t="array" ref="V16">_xll.FDSZ($R16,"FG_PRICE(0)")</f>
        <v>394.45751999999999</v>
      </c>
    </row>
    <row r="17" spans="1:22" x14ac:dyDescent="0.35">
      <c r="A17" t="s">
        <v>868</v>
      </c>
      <c r="B17" t="str" cm="1">
        <f t="array" ref="B17">_xll.FDS(C17,"FG_COMPANY_NAME")</f>
        <v>iShares MSCI Italy ETF</v>
      </c>
      <c r="C17" t="s">
        <v>866</v>
      </c>
      <c r="D17" t="s">
        <v>641</v>
      </c>
      <c r="E17" t="s">
        <v>866</v>
      </c>
      <c r="F17" s="9">
        <f>HLOOKUP(E17,'Monthly Returns'!$A$1:$AE$136,134,FALSE)</f>
        <v>0.86799999999999999</v>
      </c>
      <c r="G17" s="141" cm="1">
        <f t="array" ref="G17">_xll.FDSZ(C17,"FG_PRICE(0)")</f>
        <v>37.47</v>
      </c>
      <c r="H17" s="141" cm="1">
        <f t="array" ref="H17">_xll.FDSZ(C17,"FG_PRICE_MAVG(0,,,,30)")</f>
        <v>35.828667000000003</v>
      </c>
      <c r="I17" s="141" cm="1">
        <f t="array" ref="I17">_xll.FDSZ(C17,"FG_PRICE_MAVG(0,,,,60)")</f>
        <v>34.710500000000003</v>
      </c>
      <c r="J17" s="141" cm="1">
        <f t="array" ref="J17">_xll.FDSZ(C17,"FG_PRICE_MAVG(0,,,,200)")</f>
        <v>32.553350000000002</v>
      </c>
      <c r="L17">
        <f t="shared" si="0"/>
        <v>1</v>
      </c>
      <c r="M17">
        <f t="shared" si="1"/>
        <v>1</v>
      </c>
      <c r="N17">
        <f t="shared" si="2"/>
        <v>1</v>
      </c>
      <c r="P17">
        <f t="shared" si="3"/>
        <v>3</v>
      </c>
      <c r="R17" t="s">
        <v>845</v>
      </c>
      <c r="S17" s="7" cm="1">
        <f t="array" ref="S17">_xll.FDSZ($R17,"FG_PRICE(0)")</f>
        <v>394.45751999999999</v>
      </c>
      <c r="T17" s="7" cm="1">
        <f t="array" ref="T17">_xll.FDSZ($R17,"FG_PRICE(0)")</f>
        <v>394.45751999999999</v>
      </c>
      <c r="U17" s="7" cm="1">
        <f t="array" ref="U17">_xll.FDSZ($R17,"FG_PRICE(0)")</f>
        <v>394.45751999999999</v>
      </c>
      <c r="V17" s="7" cm="1">
        <f t="array" ref="V17">_xll.FDSZ($R17,"FG_PRICE(0)")</f>
        <v>394.45751999999999</v>
      </c>
    </row>
    <row r="19" spans="1:22" x14ac:dyDescent="0.35">
      <c r="K19" s="1" t="s">
        <v>906</v>
      </c>
      <c r="L19" s="1">
        <f>SUM(L5:L17)</f>
        <v>12</v>
      </c>
      <c r="M19" s="1">
        <f t="shared" ref="M19:N19" si="4">SUM(M5:M17)</f>
        <v>12</v>
      </c>
      <c r="N19" s="1">
        <f t="shared" si="4"/>
        <v>12</v>
      </c>
    </row>
    <row r="20" spans="1:22" x14ac:dyDescent="0.35">
      <c r="K20" s="1" t="s">
        <v>86</v>
      </c>
      <c r="L20" s="1">
        <f>COUNT(L5:L17)</f>
        <v>13</v>
      </c>
      <c r="M20" s="1">
        <f t="shared" ref="M20:N20" si="5">COUNT(M5:M17)</f>
        <v>13</v>
      </c>
      <c r="N20" s="1">
        <f t="shared" si="5"/>
        <v>13</v>
      </c>
    </row>
    <row r="21" spans="1:22" x14ac:dyDescent="0.35">
      <c r="K21" s="1"/>
      <c r="L21" s="1"/>
      <c r="M21" s="1"/>
      <c r="N21" s="1"/>
    </row>
    <row r="22" spans="1:22" x14ac:dyDescent="0.35">
      <c r="K22" s="1" t="s">
        <v>88</v>
      </c>
      <c r="L22" s="182">
        <f>L19/L20</f>
        <v>0.92307692307692313</v>
      </c>
      <c r="M22" s="182">
        <f t="shared" ref="M22:N22" si="6">M19/M20</f>
        <v>0.92307692307692313</v>
      </c>
      <c r="N22" s="182">
        <f t="shared" si="6"/>
        <v>0.92307692307692313</v>
      </c>
    </row>
    <row r="23" spans="1:22" x14ac:dyDescent="0.35">
      <c r="A23" t="s">
        <v>865</v>
      </c>
      <c r="B23" t="s">
        <v>869</v>
      </c>
      <c r="C23" t="str" cm="1">
        <f t="array" ref="C23">_xll.FDS(A23,"FG_COMPANY_NAME")</f>
        <v>iShares MSCI France ETF</v>
      </c>
      <c r="D23" t="s">
        <v>865</v>
      </c>
    </row>
    <row r="24" spans="1:22" x14ac:dyDescent="0.35">
      <c r="A24" t="s">
        <v>867</v>
      </c>
      <c r="B24" t="s">
        <v>870</v>
      </c>
      <c r="C24" t="str" cm="1">
        <f t="array" ref="C24">_xll.FDS(A24,"FG_COMPANY_NAME")</f>
        <v>iShares MSCI Netherlands ETF</v>
      </c>
      <c r="D24" t="s">
        <v>867</v>
      </c>
    </row>
    <row r="25" spans="1:22" x14ac:dyDescent="0.35">
      <c r="A25" t="s">
        <v>864</v>
      </c>
      <c r="B25" t="s">
        <v>273</v>
      </c>
      <c r="C25" t="str" cm="1">
        <f t="array" ref="C25">_xll.FDS(A25,"FG_COMPANY_NAME")</f>
        <v>iShares MSCI Sweden ETF</v>
      </c>
      <c r="D25" t="s">
        <v>864</v>
      </c>
    </row>
    <row r="26" spans="1:22" x14ac:dyDescent="0.35">
      <c r="A26" t="s">
        <v>866</v>
      </c>
      <c r="B26" t="s">
        <v>868</v>
      </c>
      <c r="C26" t="str" cm="1">
        <f t="array" ref="C26">_xll.FDS(A26,"FG_COMPANY_NAME")</f>
        <v>iShares MSCI Italy ETF</v>
      </c>
      <c r="D26" t="s">
        <v>866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topLeftCell="H1" workbookViewId="0">
      <selection activeCell="R5" sqref="R5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784</v>
      </c>
      <c r="C2" t="s">
        <v>785</v>
      </c>
      <c r="D2" t="s">
        <v>786</v>
      </c>
      <c r="E2" t="s">
        <v>787</v>
      </c>
      <c r="F2" t="s">
        <v>788</v>
      </c>
      <c r="G2" t="s">
        <v>789</v>
      </c>
      <c r="H2" t="s">
        <v>790</v>
      </c>
      <c r="I2" t="s">
        <v>791</v>
      </c>
      <c r="J2" t="s">
        <v>792</v>
      </c>
      <c r="S2" t="s">
        <v>793</v>
      </c>
    </row>
    <row r="3" spans="1:20" x14ac:dyDescent="0.35">
      <c r="A3" t="s">
        <v>794</v>
      </c>
      <c r="B3" t="s">
        <v>795</v>
      </c>
      <c r="C3" cm="1">
        <f t="array" ref="C3">_xll.FDS($A3,"FG_PRICE(0)")</f>
        <v>110.94</v>
      </c>
      <c r="D3" cm="1">
        <f t="array" ref="D3">_xll.FDS($A3,"FG_PRICE_MAVG(0,,,,30)")</f>
        <v>120.50733</v>
      </c>
      <c r="E3" s="47" cm="1">
        <f t="array" ref="E3">_xll.FDS($A3,"FG_PRICE_CHANGE(0,-1AM)")</f>
        <v>-12.8515318146111</v>
      </c>
      <c r="F3" s="47" cm="1">
        <f t="array" ref="F3">_xll.FDS($A3,"FG_PRICE_CHANGE(0,-3AM)")</f>
        <v>-18.010494420220201</v>
      </c>
      <c r="G3" s="47" cm="1">
        <f t="array" ref="G3">_xll.FDS($A3,"FG_PRICE_CHANGE(0,-6AM)")</f>
        <v>-8.8339222614840907</v>
      </c>
      <c r="H3" s="47" cm="1">
        <f t="array" ref="H3">_xll.FDS($A3,"FG_PRICE_CHANGE(0,-1AY)")</f>
        <v>-13.334895711272599</v>
      </c>
      <c r="I3" s="47" cm="1">
        <f t="array" ref="I3">_xll.FDS($A3,"FG_PRICE(0)/MAX(FG_PRICE(0,-1AY))")</f>
        <v>0.76956159822419501</v>
      </c>
      <c r="J3" cm="1">
        <f t="array" ref="J3">_xll.FDS($A3,"MAX(FG_PRICE(0,-5AY))")</f>
        <v>219.77</v>
      </c>
      <c r="P3" t="s">
        <v>430</v>
      </c>
      <c r="Q3" t="s">
        <v>432</v>
      </c>
      <c r="R3" t="s">
        <v>430</v>
      </c>
      <c r="S3">
        <f>IF(E3&lt;$C$19, 1, IF(E3&gt;$C$20,-1,0))</f>
        <v>1</v>
      </c>
      <c r="T3">
        <f>S3</f>
        <v>1</v>
      </c>
    </row>
    <row r="4" spans="1:20" x14ac:dyDescent="0.35">
      <c r="A4" t="s">
        <v>796</v>
      </c>
      <c r="B4" t="s">
        <v>797</v>
      </c>
      <c r="C4" cm="1">
        <f t="array" ref="C4">_xll.FDS($A4,"FG_PRICE(0)")</f>
        <v>4.0465</v>
      </c>
      <c r="D4" cm="1">
        <f t="array" ref="D4">_xll.FDS($A4,"FG_PRICE_MAVG(0,,,,30)")</f>
        <v>3.8833334000000002</v>
      </c>
      <c r="E4" s="47" cm="1">
        <f t="array" ref="E4">_xll.FDS($A4,"FG_PRICE_CHANGE(0,-1AM)")</f>
        <v>4.4392824880629798</v>
      </c>
      <c r="F4" s="47" cm="1">
        <f t="array" ref="F4">_xll.FDS($A4,"FG_PRICE_CHANGE(0,-3AM)")</f>
        <v>3.5307662786235201</v>
      </c>
      <c r="G4" s="47" cm="1">
        <f t="array" ref="G4">_xll.FDS($A4,"FG_PRICE_CHANGE(0,-6AM)")</f>
        <v>10.36410745943</v>
      </c>
      <c r="H4" s="47" cm="1">
        <f t="array" ref="H4">_xll.FDS($A4,"FG_PRICE_CHANGE(0,-1AY)")</f>
        <v>0.69677740450415604</v>
      </c>
      <c r="I4" s="47" cm="1">
        <f t="array" ref="I4">_xll.FDS($A4,"FG_PRICE(0)/MAX(FG_PRICE(0,-1AY))")</f>
        <v>0.97600096478533505</v>
      </c>
      <c r="J4" cm="1">
        <f t="array" ref="J4">_xll.FDS($A4,"MAX(FG_PRICE(0,-5AY))")</f>
        <v>4.9290000000000003</v>
      </c>
      <c r="P4" t="s">
        <v>27</v>
      </c>
      <c r="Q4" t="s">
        <v>433</v>
      </c>
      <c r="R4" t="s">
        <v>27</v>
      </c>
      <c r="S4">
        <f>IF(E4&lt;$C$19, 1, IF(E4&gt;$C$20,-1,0))</f>
        <v>0</v>
      </c>
      <c r="T4">
        <f t="shared" ref="T4:T5" si="0">S4</f>
        <v>0</v>
      </c>
    </row>
    <row r="5" spans="1:20" x14ac:dyDescent="0.35">
      <c r="A5" t="s">
        <v>798</v>
      </c>
      <c r="B5" t="s">
        <v>457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-9.9150141643059495</v>
      </c>
      <c r="H5" s="47" cm="1">
        <f t="array" ref="H5">_xll.FDS($A5,"FG_PRICE_CHANGE(0,-1AY)")</f>
        <v>13.167259786476899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434</v>
      </c>
      <c r="R5" t="s">
        <v>35</v>
      </c>
      <c r="S5">
        <f>IF(E9&lt;$C$19, 1, IF(E9&gt;$C$20,-1,0))</f>
        <v>0</v>
      </c>
      <c r="T5">
        <f t="shared" si="0"/>
        <v>0</v>
      </c>
    </row>
    <row r="6" spans="1:20" x14ac:dyDescent="0.35">
      <c r="A6" t="s">
        <v>799</v>
      </c>
      <c r="B6" t="s">
        <v>800</v>
      </c>
      <c r="C6" cm="1">
        <f t="array" ref="C6">_xll.FDS($A6,"FG_PRICE(0)")</f>
        <v>5.4675000000000002</v>
      </c>
      <c r="D6" cm="1">
        <f t="array" ref="D6">_xll.FDS($A6,"FG_PRICE_MAVG(0,,,,30)")</f>
        <v>5.6020000000000003</v>
      </c>
      <c r="E6" s="47" cm="1">
        <f t="array" ref="E6">_xll.FDS($A6,"FG_PRICE_CHANGE(0,-1AM)")</f>
        <v>-6.2580368624088996</v>
      </c>
      <c r="F6" s="47" cm="1">
        <f t="array" ref="F6">_xll.FDS($A6,"FG_PRICE_CHANGE(0,-3AM)")</f>
        <v>-10.734693877551001</v>
      </c>
      <c r="G6" s="47" cm="1">
        <f t="array" ref="G6">_xll.FDS($A6,"FG_PRICE_CHANGE(0,-6AM)")</f>
        <v>-5.03690838037343</v>
      </c>
      <c r="H6" s="47" cm="1">
        <f t="array" ref="H6">_xll.FDS($A6,"FG_PRICE_CHANGE(0,-1AY)")</f>
        <v>-19.978046103183299</v>
      </c>
      <c r="I6" s="47" cm="1">
        <f t="array" ref="I6">_xll.FDS($A6,"FG_PRICE(0)/MAX(FG_PRICE(0,-1AY))")</f>
        <v>0.71917132522196603</v>
      </c>
      <c r="J6" cm="1">
        <f t="array" ref="J6">_xll.FDS($A6,"MAX(FG_PRICE(0,-5AY))")</f>
        <v>14.2525</v>
      </c>
      <c r="P6" t="s">
        <v>30</v>
      </c>
      <c r="Q6" t="s">
        <v>435</v>
      </c>
      <c r="R6" t="s">
        <v>30</v>
      </c>
    </row>
    <row r="7" spans="1:20" x14ac:dyDescent="0.35">
      <c r="A7" t="s">
        <v>801</v>
      </c>
      <c r="B7" t="s">
        <v>802</v>
      </c>
      <c r="C7" cm="1">
        <f t="array" ref="C7">_xll.FDS($A7,"FG_PRICE(0)")</f>
        <v>4352</v>
      </c>
      <c r="D7" cm="1">
        <f t="array" ref="D7">_xll.FDS($A7,"FG_PRICE_MAVG(0,,,,30)")</f>
        <v>4089.4</v>
      </c>
      <c r="E7" s="47" cm="1">
        <f t="array" ref="E7">_xll.FDS($A7,"FG_PRICE_CHANGE(0,-1AM)")</f>
        <v>9.5945605640896492</v>
      </c>
      <c r="F7" s="47" cm="1">
        <f t="array" ref="F7">_xll.FDS($A7,"FG_PRICE_CHANGE(0,-3AM)")</f>
        <v>18.454001088731601</v>
      </c>
      <c r="G7" s="47" cm="1">
        <f t="array" ref="G7">_xll.FDS($A7,"FG_PRICE_CHANGE(0,-6AM)")</f>
        <v>19.2982456140351</v>
      </c>
      <c r="H7" s="47" cm="1">
        <f t="array" ref="H7">_xll.FDS($A7,"FG_PRICE_CHANGE(0,-1AY)")</f>
        <v>10.541021082042199</v>
      </c>
      <c r="I7" s="47" cm="1">
        <f t="array" ref="I7">_xll.FDS($A7,"FG_PRICE(0)/MAX(FG_PRICE(0,-1AY))")</f>
        <v>0.997250229147571</v>
      </c>
      <c r="J7" cm="1">
        <f t="array" ref="J7">_xll.FDS($A7,"MAX(FG_PRICE(0,-5AY))")</f>
        <v>8163</v>
      </c>
      <c r="P7" t="s">
        <v>23</v>
      </c>
      <c r="Q7" t="s">
        <v>436</v>
      </c>
      <c r="R7" t="s">
        <v>23</v>
      </c>
    </row>
    <row r="8" spans="1:20" x14ac:dyDescent="0.35">
      <c r="A8" t="s">
        <v>803</v>
      </c>
      <c r="B8" t="s">
        <v>804</v>
      </c>
      <c r="C8" cm="1">
        <f t="array" ref="C8">_xll.FDS($A8,"FG_PRICE(0)")</f>
        <v>925</v>
      </c>
      <c r="D8" cm="1">
        <f t="array" ref="D8">_xll.FDS($A8,"FG_PRICE_MAVG(0,,,,30)")</f>
        <v>906.9</v>
      </c>
      <c r="E8" s="47" cm="1">
        <f t="array" ref="E8">_xll.FDS($A8,"FG_PRICE_CHANGE(0,-1AM)")</f>
        <v>1.9845644983461901</v>
      </c>
      <c r="F8" s="47" cm="1">
        <f t="array" ref="F8">_xll.FDS($A8,"FG_PRICE_CHANGE(0,-3AM)")</f>
        <v>-3.9460020768431998</v>
      </c>
      <c r="G8" s="47" cm="1">
        <f t="array" ref="G8">_xll.FDS($A8,"FG_PRICE_CHANGE(0,-6AM)")</f>
        <v>0.216684723726979</v>
      </c>
      <c r="H8" s="47" cm="1">
        <f t="array" ref="H8">_xll.FDS($A8,"FG_PRICE_CHANGE(0,-1AY)")</f>
        <v>-7.9601990049751201</v>
      </c>
      <c r="I8" s="47" cm="1">
        <f t="array" ref="I8">_xll.FDS($A8,"FG_PRICE(0)/MAX(FG_PRICE(0,-1AY))")</f>
        <v>0.81497797356828205</v>
      </c>
      <c r="J8" cm="1">
        <f t="array" ref="J8">_xll.FDS($A8,"MAX(FG_PRICE(0,-5AY))")</f>
        <v>1272.5899999999999</v>
      </c>
      <c r="P8" t="s">
        <v>29</v>
      </c>
      <c r="Q8" t="s">
        <v>437</v>
      </c>
      <c r="R8" t="s">
        <v>29</v>
      </c>
    </row>
    <row r="9" spans="1:20" x14ac:dyDescent="0.35">
      <c r="A9" t="s">
        <v>805</v>
      </c>
      <c r="B9" t="s">
        <v>806</v>
      </c>
      <c r="C9" cm="1">
        <f t="array" ref="C9">_xll.FDS($A9,"FG_PRICE(0)")</f>
        <v>17430</v>
      </c>
      <c r="D9" cm="1">
        <f t="array" ref="D9">_xll.FDS($A9,"FG_PRICE_MAVG(0,,,,30)")</f>
        <v>17075.833999999999</v>
      </c>
      <c r="E9" s="47" cm="1">
        <f t="array" ref="E9">_xll.FDS($A9,"FG_PRICE_CHANGE(0,-1AM)")</f>
        <v>5.6043623144501602</v>
      </c>
      <c r="F9" s="47" cm="1">
        <f t="array" ref="F9">_xll.FDS($A9,"FG_PRICE_CHANGE(0,-3AM)")</f>
        <v>4.5590881823635199</v>
      </c>
      <c r="G9" s="47" cm="1">
        <f t="array" ref="G9">_xll.FDS($A9,"FG_PRICE_CHANGE(0,-6AM)")</f>
        <v>-8.0453706146135602</v>
      </c>
      <c r="H9" s="47" cm="1">
        <f t="array" ref="H9">_xll.FDS($A9,"FG_PRICE_CHANGE(0,-1AY)")</f>
        <v>-22.705099778270501</v>
      </c>
      <c r="I9" s="47" cm="1">
        <f t="array" ref="I9">_xll.FDS($A9,"FG_PRICE(0)/MAX(FG_PRICE(0,-1AY))")</f>
        <v>0.68245888801879395</v>
      </c>
      <c r="J9" cm="1">
        <f t="array" ref="J9">_xll.FDS($A9,"MAX(FG_PRICE(0,-5AY))")</f>
        <v>48241</v>
      </c>
      <c r="P9" t="s">
        <v>33</v>
      </c>
      <c r="Q9" t="s">
        <v>438</v>
      </c>
      <c r="R9" t="s">
        <v>33</v>
      </c>
      <c r="S9">
        <f>IF(E7&lt;$C$19, 1, IF(E7&gt;$C$20,-1,0))</f>
        <v>0</v>
      </c>
      <c r="T9">
        <f t="shared" ref="T9" si="1">S9</f>
        <v>0</v>
      </c>
    </row>
    <row r="10" spans="1:20" x14ac:dyDescent="0.35">
      <c r="A10" t="s">
        <v>807</v>
      </c>
      <c r="B10" t="s">
        <v>808</v>
      </c>
      <c r="C10" cm="1">
        <f t="array" ref="C10">_xll.FDS($A10,"FG_PRICE(0)")</f>
        <v>1050</v>
      </c>
      <c r="D10" cm="1">
        <f t="array" ref="D10">_xll.FDS($A10,"FG_PRICE_MAVG(0,,,,30)")</f>
        <v>989.2</v>
      </c>
      <c r="E10" s="47" cm="1">
        <f t="array" ref="E10">_xll.FDS($A10,"FG_PRICE_CHANGE(0,-1AM)")</f>
        <v>6.7073170731707403</v>
      </c>
      <c r="F10" s="47" cm="1">
        <f t="array" ref="F10">_xll.FDS($A10,"FG_PRICE_CHANGE(0,-3AM)")</f>
        <v>-14.145543744889601</v>
      </c>
      <c r="G10" s="47" cm="1">
        <f t="array" ref="G10">_xll.FDS($A10,"FG_PRICE_CHANGE(0,-6AM)")</f>
        <v>-16.334661354581701</v>
      </c>
      <c r="H10" s="47" cm="1">
        <f t="array" ref="H10">_xll.FDS($A10,"FG_PRICE_CHANGE(0,-1AY)")</f>
        <v>-26.573426573426602</v>
      </c>
      <c r="I10" s="47" cm="1">
        <f t="array" ref="I10">_xll.FDS($A10,"FG_PRICE(0)/MAX(FG_PRICE(0,-1AY))")</f>
        <v>0.64024390243902396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809</v>
      </c>
      <c r="C11" cm="1">
        <f t="array" ref="C11">_xll.FDS($A11,"FG_PRICE(0)")</f>
        <v>640</v>
      </c>
      <c r="D11" cm="1">
        <f t="array" ref="D11">_xll.FDS($A11,"FG_PRICE_MAVG(0,,,,30)")</f>
        <v>625.64329999999995</v>
      </c>
      <c r="E11" s="47" cm="1">
        <f t="array" ref="E11">_xll.FDS($A11,"FG_PRICE_CHANGE(0,-1AM)")</f>
        <v>2.3181454836131099</v>
      </c>
      <c r="F11" s="47" cm="1">
        <f t="array" ref="F11">_xll.FDS($A11,"FG_PRICE_CHANGE(0,-3AM)")</f>
        <v>9.0847110959604507</v>
      </c>
      <c r="G11" s="47" cm="1">
        <f t="array" ref="G11">_xll.FDS($A11,"FG_PRICE_CHANGE(0,-6AM)")</f>
        <v>-12.6637554585153</v>
      </c>
      <c r="H11" s="47" cm="1">
        <f t="array" ref="H11">_xll.FDS($A11,"FG_PRICE_CHANGE(0,-1AY)")</f>
        <v>8.51135978297728</v>
      </c>
      <c r="I11" s="47" cm="1">
        <f t="array" ref="I11">_xll.FDS($A11,"FG_PRICE(0)/MAX(FG_PRICE(0,-1AY))")</f>
        <v>0.83835472884464202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810</v>
      </c>
      <c r="B12" t="s">
        <v>811</v>
      </c>
      <c r="C12" cm="1">
        <f t="array" ref="C12">_xll.FDS($A12,"FG_PRICE(0)")</f>
        <v>0.96300079999999999</v>
      </c>
      <c r="D12" cm="1">
        <f t="array" ref="D12">_xll.FDS($A12,"FG_PRICE_MAVG(0,,,,30)")</f>
        <v>0.96807089999999996</v>
      </c>
      <c r="E12" s="47" cm="1">
        <f t="array" ref="E12">_xll.FDS($A12,"FG_PRICE_CHANGE(0,-1AM)")</f>
        <v>-0.83615747534626605</v>
      </c>
      <c r="F12" s="47" cm="1">
        <f t="array" ref="F12">_xll.FDS($A12,"FG_PRICE_CHANGE(0,-3AM)")</f>
        <v>-2.42914745942632</v>
      </c>
      <c r="G12" s="47" cm="1">
        <f t="array" ref="G12">_xll.FDS($A12,"FG_PRICE_CHANGE(0,-6AM)")</f>
        <v>-3.5652585270071202</v>
      </c>
      <c r="H12" s="47" cm="1">
        <f t="array" ref="H12">_xll.FDS($A12,"FG_PRICE_CHANGE(0,-1AY)")</f>
        <v>-16.799584188339999</v>
      </c>
      <c r="I12" s="47" cm="1">
        <f t="array" ref="I12">_xll.FDS($A12,"FG_PRICE(0)/MAX(FG_PRICE(0,-1AY))")</f>
        <v>0.8320041581166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1, IF(E3&gt;$C$20,-1,0))</f>
        <v>1</v>
      </c>
      <c r="T13">
        <f t="shared" ref="T13:T23" si="2">S13</f>
        <v>1</v>
      </c>
    </row>
    <row r="14" spans="1:20" x14ac:dyDescent="0.35">
      <c r="P14" t="s">
        <v>22</v>
      </c>
      <c r="Q14" t="s">
        <v>439</v>
      </c>
      <c r="R14" t="s">
        <v>22</v>
      </c>
    </row>
    <row r="15" spans="1:20" x14ac:dyDescent="0.35">
      <c r="P15" t="s">
        <v>28</v>
      </c>
      <c r="Q15" t="s">
        <v>440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1, IF(E5&gt;$C$20,-1,0))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441</v>
      </c>
      <c r="R18" t="s">
        <v>31</v>
      </c>
    </row>
    <row r="19" spans="2:20" x14ac:dyDescent="0.35">
      <c r="B19" t="s">
        <v>813</v>
      </c>
      <c r="C19" s="53">
        <v>-5</v>
      </c>
      <c r="P19" s="1" t="s">
        <v>744</v>
      </c>
      <c r="Q19" s="1" t="s">
        <v>745</v>
      </c>
      <c r="R19" s="1" t="s">
        <v>744</v>
      </c>
    </row>
    <row r="20" spans="2:20" x14ac:dyDescent="0.35">
      <c r="B20" t="s">
        <v>814</v>
      </c>
      <c r="C20" s="53">
        <v>10</v>
      </c>
      <c r="P20" t="s">
        <v>25</v>
      </c>
      <c r="Q20" t="s">
        <v>442</v>
      </c>
      <c r="R20" t="s">
        <v>25</v>
      </c>
    </row>
    <row r="21" spans="2:20" x14ac:dyDescent="0.35">
      <c r="P21" t="s">
        <v>34</v>
      </c>
      <c r="Q21" t="s">
        <v>443</v>
      </c>
      <c r="R21" t="s">
        <v>34</v>
      </c>
      <c r="S21" s="1"/>
    </row>
    <row r="22" spans="2:20" x14ac:dyDescent="0.35">
      <c r="P22" t="s">
        <v>37</v>
      </c>
      <c r="Q22" t="s">
        <v>444</v>
      </c>
      <c r="R22" t="s">
        <v>37</v>
      </c>
    </row>
    <row r="23" spans="2:20" x14ac:dyDescent="0.35">
      <c r="P23" t="s">
        <v>36</v>
      </c>
      <c r="Q23" t="s">
        <v>445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431</v>
      </c>
      <c r="Q24" t="s">
        <v>446</v>
      </c>
      <c r="R24" t="s">
        <v>431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447</v>
      </c>
      <c r="R30" t="s">
        <v>48</v>
      </c>
    </row>
    <row r="31" spans="2:20" x14ac:dyDescent="0.35">
      <c r="P31" t="s">
        <v>51</v>
      </c>
      <c r="Q31" t="s">
        <v>448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Y127"/>
  <sheetViews>
    <sheetView topLeftCell="A121" workbookViewId="0">
      <selection activeCell="N127" sqref="N127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_xll.FDS(B1,"JULIAN(FMA_DIV_YLD(LTMA,-10AY,0,AM,""PORTAGG"",""MEANR"").dates)")</f>
        <v>41719</v>
      </c>
      <c r="B2" s="3" cm="1">
        <f t="array" ref="B2:B122">_xll.FDS(B1,"FMA_PE(LTMA,-10AY,0,AM,""PORTAGG"",""MEANR"")")</f>
        <v>17.975881440662199</v>
      </c>
      <c r="C2" s="3" cm="1">
        <f t="array" ref="C2:C122">_xll.FDS(C1,"FMA_PE(LTMA,-10AY,0,AM,""PORTAGG"",""MEANR"")")</f>
        <v>15.241693782744701</v>
      </c>
      <c r="D2" s="3" cm="1">
        <f t="array" ref="D2:D122">_xll.FDS(D1,"FMA_PE(LTMA,-10AY,0,AM,""PORTAGG"",""MEANR"")")</f>
        <v>16.503578096278599</v>
      </c>
      <c r="E2" s="3" cm="1">
        <f t="array" ref="E2:E122">_xll.FDS(E1,"FMA_PE(LTMA,-10AY,0,AM,""PORTAGG"",""MEANR"")")</f>
        <v>14.733735757430701</v>
      </c>
      <c r="F2" s="3" cm="1">
        <f t="array" ref="F2:F122">_xll.FDS(F1,"FMA_PE(LTMA,-10AY,0,AM,""PORTAGG"",""MEANR"")")</f>
        <v>15.4933846086935</v>
      </c>
      <c r="G2" s="3" cm="1">
        <f t="array" ref="G2:G122">_xll.FDS(G1,"FMA_PE(LTMA,-10AY,0,AM,""PORTAGG"",""MEANR"")")</f>
        <v>17.047340687203501</v>
      </c>
      <c r="H2" s="3" cm="1">
        <f t="array" ref="H2:H122">_xll.FDS(H1,"FMA_PE(LTMA,-10AY,0,AM,""PORTAGG"",""MEANR"")")</f>
        <v>14.269923222762801</v>
      </c>
      <c r="I2" s="3" cm="1">
        <f t="array" ref="I2:I122">_xll.FDS(I1,"FMA_PE(LTMA,-10AY,0,AM,""PORTAGG"",""MEANR"")")</f>
        <v>19.1480004617205</v>
      </c>
      <c r="J2" s="3" cm="1">
        <f t="array" ref="J2:J122">_xll.FDS(J1,"FMA_PE(LTMA,-10AY,0,AM,""PORTAGG"",""MEANR"")")</f>
        <v>16.333218111704898</v>
      </c>
      <c r="K2" s="3" cm="1">
        <f t="array" ref="K2:K122">_xll.FDS(K1,"FMA_PE(LTMA,-10AY,0,AM,""PORTAGG"",""MEANR"")")</f>
        <v>15.9060113081562</v>
      </c>
      <c r="L2" s="3" cm="1">
        <f t="array" ref="L2:L122">_xll.FDS(L1,"FMA_PE(LTMA,-10AY,0,AM,""PORTAGG"",""MEANR"")")</f>
        <v>17.181830880779199</v>
      </c>
      <c r="M2" s="3" cm="1">
        <f t="array" ref="M2:M122">_xll.FDS(M1,"FMA_PE(LTMA,-10AY,0,AM,""PORTAGG"",""MEANR"")")</f>
        <v>15.263618355354801</v>
      </c>
      <c r="N2" s="3" cm="1">
        <f t="array" ref="N2:N122">_xll.FDS(N1,"FMA_PE(LTMA,-10AY,0,AM,""PORTAGG"",""MEANR"")")</f>
        <v>17.2922490063448</v>
      </c>
    </row>
    <row r="3" spans="1:14" x14ac:dyDescent="0.35">
      <c r="A3" s="2">
        <v>41750</v>
      </c>
      <c r="B3" s="3">
        <v>17.909673728658898</v>
      </c>
      <c r="C3" s="3">
        <v>15.2763566539992</v>
      </c>
      <c r="D3" s="3">
        <v>16.338223335260501</v>
      </c>
      <c r="E3" s="3">
        <v>14.6138848734776</v>
      </c>
      <c r="F3" s="3">
        <v>15.3217575662034</v>
      </c>
      <c r="G3" s="3">
        <v>17.069415631644301</v>
      </c>
      <c r="H3" s="3">
        <v>14.283320983348601</v>
      </c>
      <c r="I3" s="3">
        <v>18.896633025900201</v>
      </c>
      <c r="J3" s="3">
        <v>16.275283996484099</v>
      </c>
      <c r="K3" s="3">
        <v>15.8098105250149</v>
      </c>
      <c r="L3" s="3">
        <v>16.965476901363299</v>
      </c>
      <c r="M3" s="3">
        <v>15.33183880883</v>
      </c>
      <c r="N3" s="3">
        <v>17.137796927491198</v>
      </c>
    </row>
    <row r="4" spans="1:14" x14ac:dyDescent="0.35">
      <c r="A4" s="2">
        <v>41780</v>
      </c>
      <c r="B4" s="3">
        <v>17.929159229423099</v>
      </c>
      <c r="C4" s="3">
        <v>15.1227209619398</v>
      </c>
      <c r="D4" s="3">
        <v>16.2369256286626</v>
      </c>
      <c r="E4" s="3">
        <v>14.607579732885499</v>
      </c>
      <c r="F4" s="3">
        <v>15.003380132565701</v>
      </c>
      <c r="G4" s="3">
        <v>17.222120899110799</v>
      </c>
      <c r="H4" s="3">
        <v>14.388811469666001</v>
      </c>
      <c r="I4" s="3">
        <v>18.761444826249999</v>
      </c>
      <c r="J4" s="3">
        <v>16.1990295661506</v>
      </c>
      <c r="K4" s="3">
        <v>15.783834737501101</v>
      </c>
      <c r="L4" s="3">
        <v>16.7868528687784</v>
      </c>
      <c r="M4" s="3">
        <v>15.632441123157401</v>
      </c>
      <c r="N4" s="3">
        <v>16.871517045716001</v>
      </c>
    </row>
    <row r="5" spans="1:14" x14ac:dyDescent="0.35">
      <c r="A5" s="2">
        <v>41810</v>
      </c>
      <c r="B5" s="3">
        <v>17.911593386741298</v>
      </c>
      <c r="C5" s="3">
        <v>15.1251827221979</v>
      </c>
      <c r="D5" s="3">
        <v>16.282480102011</v>
      </c>
      <c r="E5" s="3">
        <v>14.718788848131</v>
      </c>
      <c r="F5" s="3">
        <v>15.4025316011854</v>
      </c>
      <c r="G5" s="3">
        <v>17.2412525193776</v>
      </c>
      <c r="H5" s="3">
        <v>14.403049440457499</v>
      </c>
      <c r="I5" s="3">
        <v>18.941324635158502</v>
      </c>
      <c r="J5" s="3">
        <v>16.4028395388227</v>
      </c>
      <c r="K5" s="3">
        <v>15.8445302298669</v>
      </c>
      <c r="L5" s="3">
        <v>16.840831221594701</v>
      </c>
      <c r="M5" s="3">
        <v>15.742264980788301</v>
      </c>
      <c r="N5" s="3">
        <v>17.298017498445098</v>
      </c>
    </row>
    <row r="6" spans="1:14" x14ac:dyDescent="0.35">
      <c r="A6" s="2">
        <v>41841</v>
      </c>
      <c r="B6" s="3">
        <v>17.9734937919931</v>
      </c>
      <c r="C6" s="3">
        <v>15.3698612098919</v>
      </c>
      <c r="D6" s="3">
        <v>16.3105302056528</v>
      </c>
      <c r="E6" s="3">
        <v>14.362012336552</v>
      </c>
      <c r="F6" s="3">
        <v>15.200386280769299</v>
      </c>
      <c r="G6" s="3">
        <v>17.102848189812502</v>
      </c>
      <c r="H6" s="3">
        <v>14.3183181174234</v>
      </c>
      <c r="I6" s="3">
        <v>19.1857610364628</v>
      </c>
      <c r="J6" s="3">
        <v>16.407229196828801</v>
      </c>
      <c r="K6" s="3">
        <v>15.387313759329199</v>
      </c>
      <c r="L6" s="3">
        <v>16.459359137348699</v>
      </c>
      <c r="M6" s="3">
        <v>15.916371056595599</v>
      </c>
      <c r="N6" s="3">
        <v>17.0039634086964</v>
      </c>
    </row>
    <row r="7" spans="1:14" x14ac:dyDescent="0.35">
      <c r="A7" s="2">
        <v>41872</v>
      </c>
      <c r="B7" s="3">
        <v>18.018784063125199</v>
      </c>
      <c r="C7" s="3">
        <v>15.5088365578252</v>
      </c>
      <c r="D7" s="3">
        <v>16.465641980176098</v>
      </c>
      <c r="E7" s="3">
        <v>14.1376633976943</v>
      </c>
      <c r="F7" s="3">
        <v>15.1697441970329</v>
      </c>
      <c r="G7" s="3">
        <v>17.307301512038201</v>
      </c>
      <c r="H7" s="3">
        <v>14.2414919820199</v>
      </c>
      <c r="I7" s="3">
        <v>19.3598580633188</v>
      </c>
      <c r="J7" s="3">
        <v>16.459951380702801</v>
      </c>
      <c r="K7" s="3">
        <v>15.2702784486524</v>
      </c>
      <c r="L7" s="3">
        <v>16.473105867768599</v>
      </c>
      <c r="M7" s="3">
        <v>15.7894817365026</v>
      </c>
      <c r="N7" s="3">
        <v>16.985251530210601</v>
      </c>
    </row>
    <row r="8" spans="1:14" x14ac:dyDescent="0.35">
      <c r="A8" s="2">
        <v>41901</v>
      </c>
      <c r="B8" s="3">
        <v>17.7643404554934</v>
      </c>
      <c r="C8" s="3">
        <v>15.0201032852782</v>
      </c>
      <c r="D8" s="3">
        <v>16.2208774714986</v>
      </c>
      <c r="E8" s="3">
        <v>14.394759134179999</v>
      </c>
      <c r="F8" s="3">
        <v>15.4673542152255</v>
      </c>
      <c r="G8" s="3">
        <v>17.449207864443601</v>
      </c>
      <c r="H8" s="3">
        <v>14.2481092468444</v>
      </c>
      <c r="I8" s="3">
        <v>19.5014517471446</v>
      </c>
      <c r="J8" s="3">
        <v>16.6058578041484</v>
      </c>
      <c r="K8" s="3">
        <v>15.538840706132399</v>
      </c>
      <c r="L8" s="3">
        <v>16.9123784655553</v>
      </c>
      <c r="M8" s="3">
        <v>16.158460370986699</v>
      </c>
      <c r="N8" s="3">
        <v>17.971606209553599</v>
      </c>
    </row>
    <row r="9" spans="1:14" x14ac:dyDescent="0.35">
      <c r="A9" s="2">
        <v>41933</v>
      </c>
      <c r="B9" s="3">
        <v>17.9543915127188</v>
      </c>
      <c r="C9" s="3">
        <v>14.897873178183399</v>
      </c>
      <c r="D9" s="3">
        <v>15.6133639859212</v>
      </c>
      <c r="E9" s="3">
        <v>13.340858136888</v>
      </c>
      <c r="F9" s="3">
        <v>14.294904275301599</v>
      </c>
      <c r="G9" s="3">
        <v>16.704336419584202</v>
      </c>
      <c r="H9" s="3">
        <v>13.524606541051099</v>
      </c>
      <c r="I9" s="3">
        <v>18.961511105531301</v>
      </c>
      <c r="J9" s="3">
        <v>16.234251159497799</v>
      </c>
      <c r="K9" s="3">
        <v>14.570846327962901</v>
      </c>
      <c r="L9" s="3">
        <v>15.974856826324199</v>
      </c>
      <c r="M9" s="3">
        <v>15.5601518620424</v>
      </c>
      <c r="N9" s="3">
        <v>16.642201633508702</v>
      </c>
    </row>
    <row r="10" spans="1:14" x14ac:dyDescent="0.35">
      <c r="A10" s="2">
        <v>41964</v>
      </c>
      <c r="B10" s="3">
        <v>18.778410043570201</v>
      </c>
      <c r="C10" s="3">
        <v>14.718794927565501</v>
      </c>
      <c r="D10" s="3">
        <v>16.036749567471599</v>
      </c>
      <c r="E10" s="3">
        <v>14.2076848643679</v>
      </c>
      <c r="F10" s="3">
        <v>15.9308748861918</v>
      </c>
      <c r="G10" s="3">
        <v>17.7146325569223</v>
      </c>
      <c r="H10" s="3">
        <v>14.062116188722801</v>
      </c>
      <c r="I10" s="3">
        <v>20.1544623531315</v>
      </c>
      <c r="J10" s="3">
        <v>17.073005354291801</v>
      </c>
      <c r="K10" s="3">
        <v>15.288669103313699</v>
      </c>
      <c r="L10" s="3">
        <v>17.471511102869801</v>
      </c>
      <c r="M10" s="3">
        <v>17.065647177760901</v>
      </c>
      <c r="N10" s="3">
        <v>18.334508887236499</v>
      </c>
    </row>
    <row r="11" spans="1:14" x14ac:dyDescent="0.35">
      <c r="A11" s="2">
        <v>41992</v>
      </c>
      <c r="B11" s="3">
        <v>19.0401387534111</v>
      </c>
      <c r="C11" s="3">
        <v>14.447271313784199</v>
      </c>
      <c r="D11" s="3">
        <v>15.483633205022601</v>
      </c>
      <c r="E11" s="3">
        <v>14.3041438746311</v>
      </c>
      <c r="F11" s="3">
        <v>15.8613196665979</v>
      </c>
      <c r="G11" s="3">
        <v>17.3110541002433</v>
      </c>
      <c r="H11" s="3">
        <v>13.7647218075741</v>
      </c>
      <c r="I11" s="3">
        <v>20.320625893143902</v>
      </c>
      <c r="J11" s="3">
        <v>17.357959194643399</v>
      </c>
      <c r="K11" s="3">
        <v>14.9688479290109</v>
      </c>
      <c r="L11" s="3">
        <v>17.359056629186298</v>
      </c>
      <c r="M11" s="3">
        <v>17.458647634163</v>
      </c>
      <c r="N11" s="3">
        <v>18.260317946426198</v>
      </c>
    </row>
    <row r="12" spans="1:14" x14ac:dyDescent="0.35">
      <c r="A12" s="2">
        <v>42025</v>
      </c>
      <c r="B12" s="3">
        <v>19.635817141600501</v>
      </c>
      <c r="C12" s="3">
        <v>14.7535302489835</v>
      </c>
      <c r="D12" s="3">
        <v>15.5724927875838</v>
      </c>
      <c r="E12" s="3">
        <v>15.0003373818095</v>
      </c>
      <c r="F12" s="3">
        <v>15.6267486143814</v>
      </c>
      <c r="G12" s="3">
        <v>16.218203683793099</v>
      </c>
      <c r="H12" s="3">
        <v>14.032486747145899</v>
      </c>
      <c r="I12" s="3">
        <v>19.730226399000099</v>
      </c>
      <c r="J12" s="3">
        <v>17.0626443357983</v>
      </c>
      <c r="K12" s="3">
        <v>15.7607916276536</v>
      </c>
      <c r="L12" s="3">
        <v>18.305026209185499</v>
      </c>
      <c r="M12" s="3">
        <v>17.946837440955299</v>
      </c>
      <c r="N12" s="3">
        <v>21.261187903364501</v>
      </c>
    </row>
    <row r="13" spans="1:14" x14ac:dyDescent="0.35">
      <c r="A13" s="2">
        <v>42055</v>
      </c>
      <c r="B13" s="3">
        <v>20.051232452816802</v>
      </c>
      <c r="C13" s="3">
        <v>16.058579829462701</v>
      </c>
      <c r="D13" s="3">
        <v>16.889006468900298</v>
      </c>
      <c r="E13" s="3">
        <v>15.969329688375</v>
      </c>
      <c r="F13" s="3">
        <v>16.688095427089198</v>
      </c>
      <c r="G13" s="3">
        <v>17.795226441375601</v>
      </c>
      <c r="H13" s="3">
        <v>14.7850675997271</v>
      </c>
      <c r="I13" s="3">
        <v>20.7528251697717</v>
      </c>
      <c r="J13" s="3">
        <v>17.642923728959399</v>
      </c>
      <c r="K13" s="3">
        <v>17.091338827094201</v>
      </c>
      <c r="L13" s="3">
        <v>19.584008142256</v>
      </c>
      <c r="M13" s="3">
        <v>20.0300247453008</v>
      </c>
      <c r="N13" s="3">
        <v>44.843516758728803</v>
      </c>
    </row>
    <row r="14" spans="1:14" x14ac:dyDescent="0.35">
      <c r="A14" s="2">
        <v>42083</v>
      </c>
      <c r="B14" s="3">
        <v>20.3814970750879</v>
      </c>
      <c r="C14" s="3">
        <v>16.291833942866798</v>
      </c>
      <c r="D14" s="3">
        <v>17.056064576718001</v>
      </c>
      <c r="E14" s="3">
        <v>16.578938267757199</v>
      </c>
      <c r="F14" s="3">
        <v>16.953840807883498</v>
      </c>
      <c r="G14" s="3">
        <v>18.1111366042478</v>
      </c>
      <c r="H14" s="3">
        <v>15.296390605917299</v>
      </c>
      <c r="I14" s="3">
        <v>20.665822913957498</v>
      </c>
      <c r="J14" s="3">
        <v>17.5858031042949</v>
      </c>
      <c r="K14" s="3">
        <v>17.605621136799801</v>
      </c>
      <c r="L14" s="3">
        <v>20.084886716742201</v>
      </c>
      <c r="M14" s="3">
        <v>20.154161389787902</v>
      </c>
      <c r="N14" s="3">
        <v>43.449836094797398</v>
      </c>
    </row>
    <row r="15" spans="1:14" x14ac:dyDescent="0.35">
      <c r="A15" s="2">
        <v>42115</v>
      </c>
      <c r="B15" s="3">
        <v>20.119113690931201</v>
      </c>
      <c r="C15" s="3">
        <v>16.353170968449199</v>
      </c>
      <c r="D15" s="3">
        <v>17.2860536414594</v>
      </c>
      <c r="E15" s="3">
        <v>16.475238494573901</v>
      </c>
      <c r="F15" s="3">
        <v>16.952102242650401</v>
      </c>
      <c r="G15" s="3">
        <v>18.183605616047</v>
      </c>
      <c r="H15" s="3">
        <v>15.5659672886925</v>
      </c>
      <c r="I15" s="3">
        <v>20.465437213563</v>
      </c>
      <c r="J15" s="3">
        <v>17.559112795266302</v>
      </c>
      <c r="K15" s="3">
        <v>17.637548910262801</v>
      </c>
      <c r="L15" s="3">
        <v>19.870512030895799</v>
      </c>
      <c r="M15" s="3">
        <v>19.658867099282102</v>
      </c>
      <c r="N15" s="3">
        <v>40.483094667894697</v>
      </c>
    </row>
    <row r="16" spans="1:14" x14ac:dyDescent="0.35">
      <c r="A16" s="2">
        <v>42145</v>
      </c>
      <c r="B16" s="3">
        <v>19.988013020561901</v>
      </c>
      <c r="C16" s="3">
        <v>16.172772098782801</v>
      </c>
      <c r="D16" s="3">
        <v>17.299994448714799</v>
      </c>
      <c r="E16" s="3">
        <v>16.2083107847515</v>
      </c>
      <c r="F16" s="3">
        <v>17.1131384605441</v>
      </c>
      <c r="G16" s="3">
        <v>18.195672715232401</v>
      </c>
      <c r="H16" s="3">
        <v>15.793847760694099</v>
      </c>
      <c r="I16" s="3">
        <v>20.359877391910999</v>
      </c>
      <c r="J16" s="3">
        <v>17.597560691636101</v>
      </c>
      <c r="K16" s="3">
        <v>17.588984736857199</v>
      </c>
      <c r="L16" s="3">
        <v>19.626639450031</v>
      </c>
      <c r="M16" s="3">
        <v>19.138720717029301</v>
      </c>
      <c r="N16" s="3">
        <v>37.820639100446002</v>
      </c>
    </row>
    <row r="17" spans="1:14" x14ac:dyDescent="0.35">
      <c r="A17" s="2">
        <v>42174</v>
      </c>
      <c r="B17" s="3">
        <v>19.770137029158398</v>
      </c>
      <c r="C17" s="3">
        <v>16.072800358664701</v>
      </c>
      <c r="D17" s="3">
        <v>17.068102320736401</v>
      </c>
      <c r="E17" s="3">
        <v>15.5365046443721</v>
      </c>
      <c r="F17" s="3">
        <v>16.8135801385279</v>
      </c>
      <c r="G17" s="3">
        <v>17.8232865619443</v>
      </c>
      <c r="H17" s="3">
        <v>15.640266193324999</v>
      </c>
      <c r="I17" s="3">
        <v>20.170217726721098</v>
      </c>
      <c r="J17" s="3">
        <v>17.515617458958701</v>
      </c>
      <c r="K17" s="3">
        <v>17.057898200925301</v>
      </c>
      <c r="L17" s="3">
        <v>18.989075839470001</v>
      </c>
      <c r="M17" s="3">
        <v>18.685139223587601</v>
      </c>
      <c r="N17" s="3">
        <v>34.747281798618502</v>
      </c>
    </row>
    <row r="18" spans="1:14" x14ac:dyDescent="0.35">
      <c r="A18" s="2">
        <v>42206</v>
      </c>
      <c r="B18" s="3">
        <v>19.823468099605901</v>
      </c>
      <c r="C18" s="3">
        <v>16.200889780435801</v>
      </c>
      <c r="D18" s="3">
        <v>16.925196183810002</v>
      </c>
      <c r="E18" s="3">
        <v>15.6868042736867</v>
      </c>
      <c r="F18" s="3">
        <v>16.9380027095564</v>
      </c>
      <c r="G18" s="3">
        <v>18.2109146335271</v>
      </c>
      <c r="H18" s="3">
        <v>15.796841264165099</v>
      </c>
      <c r="I18" s="3">
        <v>20.525271035503199</v>
      </c>
      <c r="J18" s="3">
        <v>17.5977605998733</v>
      </c>
      <c r="K18" s="3">
        <v>17.393582701244402</v>
      </c>
      <c r="L18" s="3">
        <v>19.2058670550724</v>
      </c>
      <c r="M18" s="3">
        <v>18.776784439658201</v>
      </c>
      <c r="N18" s="3">
        <v>32.145117576422599</v>
      </c>
    </row>
    <row r="19" spans="1:14" x14ac:dyDescent="0.35">
      <c r="A19" s="2">
        <v>42237</v>
      </c>
      <c r="B19" s="3">
        <v>19.408203237642901</v>
      </c>
      <c r="C19" s="3">
        <v>15.503975459305099</v>
      </c>
      <c r="D19" s="3">
        <v>16.339359026338801</v>
      </c>
      <c r="E19" s="3">
        <v>14.385990829826101</v>
      </c>
      <c r="F19" s="3">
        <v>16.204230246685199</v>
      </c>
      <c r="G19" s="3">
        <v>17.4562018374396</v>
      </c>
      <c r="H19" s="3">
        <v>15.0825483082746</v>
      </c>
      <c r="I19" s="3">
        <v>19.288900434924301</v>
      </c>
      <c r="J19" s="3">
        <v>16.835473164622901</v>
      </c>
      <c r="K19" s="3">
        <v>16.176658940808402</v>
      </c>
      <c r="L19" s="3">
        <v>17.548157161130799</v>
      </c>
      <c r="M19" s="3">
        <v>17.591073526573801</v>
      </c>
      <c r="N19" s="3">
        <v>28.658088306683599</v>
      </c>
    </row>
    <row r="20" spans="1:14" x14ac:dyDescent="0.35">
      <c r="A20" s="2">
        <v>42268</v>
      </c>
      <c r="B20" s="3">
        <v>19.0865467613311</v>
      </c>
      <c r="C20" s="3">
        <v>15.2282212131654</v>
      </c>
      <c r="D20" s="3">
        <v>16.726017970131199</v>
      </c>
      <c r="E20" s="3">
        <v>13.936797819827</v>
      </c>
      <c r="F20" s="3">
        <v>15.259393198693999</v>
      </c>
      <c r="G20" s="3">
        <v>17.333222536255899</v>
      </c>
      <c r="H20" s="3">
        <v>15.073164846009901</v>
      </c>
      <c r="I20" s="3">
        <v>19.5072585171072</v>
      </c>
      <c r="J20" s="3">
        <v>16.742318893348099</v>
      </c>
      <c r="K20" s="3">
        <v>15.8696665993876</v>
      </c>
      <c r="L20" s="3">
        <v>17.056155286014501</v>
      </c>
      <c r="M20" s="3">
        <v>16.946151762698801</v>
      </c>
      <c r="N20" s="3">
        <v>25.881628066559099</v>
      </c>
    </row>
    <row r="21" spans="1:14" x14ac:dyDescent="0.35">
      <c r="A21" s="2">
        <v>42298</v>
      </c>
      <c r="B21" s="3">
        <v>19.3716503642136</v>
      </c>
      <c r="C21" s="3">
        <v>15.573749987097001</v>
      </c>
      <c r="D21" s="3">
        <v>16.788394195698999</v>
      </c>
      <c r="E21" s="3">
        <v>14.0130367965955</v>
      </c>
      <c r="F21" s="3">
        <v>15.6486219502212</v>
      </c>
      <c r="G21" s="3">
        <v>17.395730723352099</v>
      </c>
      <c r="H21" s="3">
        <v>15.690480150121701</v>
      </c>
      <c r="I21" s="3">
        <v>19.631283176327901</v>
      </c>
      <c r="J21" s="3">
        <v>17.088597128266301</v>
      </c>
      <c r="K21" s="3">
        <v>15.9386982713752</v>
      </c>
      <c r="L21" s="3">
        <v>17.184926167976901</v>
      </c>
      <c r="M21" s="3">
        <v>16.763201532504599</v>
      </c>
      <c r="N21" s="3">
        <v>23.6760833482818</v>
      </c>
    </row>
    <row r="22" spans="1:14" x14ac:dyDescent="0.35">
      <c r="A22" s="2">
        <v>42328</v>
      </c>
      <c r="B22" s="3">
        <v>19.409322972005398</v>
      </c>
      <c r="C22" s="3">
        <v>15.711572078039</v>
      </c>
      <c r="D22" s="3">
        <v>16.735643791467599</v>
      </c>
      <c r="E22" s="3">
        <v>14.8162783746056</v>
      </c>
      <c r="F22" s="3">
        <v>16.3199874500196</v>
      </c>
      <c r="G22" s="3">
        <v>17.657762132719402</v>
      </c>
      <c r="H22" s="3">
        <v>15.9193262308823</v>
      </c>
      <c r="I22" s="3">
        <v>20.4794948528959</v>
      </c>
      <c r="J22" s="3">
        <v>17.491127154545101</v>
      </c>
      <c r="K22" s="3">
        <v>16.3536887511465</v>
      </c>
      <c r="L22" s="3">
        <v>18.127519378384701</v>
      </c>
      <c r="M22" s="3">
        <v>16.969080642104402</v>
      </c>
      <c r="N22" s="3">
        <v>21.991358958040401</v>
      </c>
    </row>
    <row r="23" spans="1:14" x14ac:dyDescent="0.35">
      <c r="A23" s="2">
        <v>42359</v>
      </c>
      <c r="B23" s="3">
        <v>19.444412983199001</v>
      </c>
      <c r="C23" s="3">
        <v>15.396094949794501</v>
      </c>
      <c r="D23" s="3">
        <v>16.208871911584001</v>
      </c>
      <c r="E23" s="3">
        <v>13.825726871097499</v>
      </c>
      <c r="F23" s="3">
        <v>15.558008665328099</v>
      </c>
      <c r="G23" s="3">
        <v>16.9975040388581</v>
      </c>
      <c r="H23" s="3">
        <v>15.183373584555</v>
      </c>
      <c r="I23" s="3">
        <v>19.955779616762001</v>
      </c>
      <c r="J23" s="3">
        <v>16.940186325245399</v>
      </c>
      <c r="K23" s="3">
        <v>15.2368929213889</v>
      </c>
      <c r="L23" s="3">
        <v>16.755980418962299</v>
      </c>
      <c r="M23" s="3">
        <v>15.875209395279301</v>
      </c>
      <c r="N23" s="3">
        <v>18.521770064506399</v>
      </c>
    </row>
    <row r="24" spans="1:14" x14ac:dyDescent="0.35">
      <c r="A24" s="2">
        <v>42390</v>
      </c>
      <c r="B24" s="3">
        <v>18.962699191943599</v>
      </c>
      <c r="C24" s="3">
        <v>14.6430619513997</v>
      </c>
      <c r="D24" s="3">
        <v>14.599031165757101</v>
      </c>
      <c r="E24" s="3">
        <v>12.457789099153</v>
      </c>
      <c r="F24" s="3">
        <v>13.3107691687319</v>
      </c>
      <c r="G24" s="3">
        <v>15.980183604817199</v>
      </c>
      <c r="H24" s="3">
        <v>14.452769112182301</v>
      </c>
      <c r="I24" s="3">
        <v>18.2437678426699</v>
      </c>
      <c r="J24" s="3">
        <v>15.691103476262199</v>
      </c>
      <c r="K24" s="3">
        <v>13.989233539947101</v>
      </c>
      <c r="L24" s="3">
        <v>15.5725963881873</v>
      </c>
      <c r="M24" s="3">
        <v>14.3930110921454</v>
      </c>
      <c r="N24" s="3">
        <v>16.089278266449199</v>
      </c>
    </row>
    <row r="25" spans="1:14" x14ac:dyDescent="0.35">
      <c r="A25" s="2">
        <v>42419</v>
      </c>
      <c r="B25" s="3">
        <v>19.1966001449046</v>
      </c>
      <c r="C25" s="3">
        <v>15.171811706664201</v>
      </c>
      <c r="D25" s="3">
        <v>15.4295959323948</v>
      </c>
      <c r="E25" s="3">
        <v>12.471977179612599</v>
      </c>
      <c r="F25" s="3">
        <v>13.6239176302535</v>
      </c>
      <c r="G25" s="3">
        <v>16.583446995770998</v>
      </c>
      <c r="H25" s="3">
        <v>14.860127425676399</v>
      </c>
      <c r="I25" s="3">
        <v>18.236757905492201</v>
      </c>
      <c r="J25" s="3">
        <v>16.2966838906097</v>
      </c>
      <c r="K25" s="3">
        <v>14.7200914714945</v>
      </c>
      <c r="L25" s="3">
        <v>16.011303581616801</v>
      </c>
      <c r="M25" s="3">
        <v>15.097647419320801</v>
      </c>
      <c r="N25" s="3">
        <v>14.6997640824609</v>
      </c>
    </row>
    <row r="26" spans="1:14" x14ac:dyDescent="0.35">
      <c r="A26" s="2">
        <v>42450</v>
      </c>
      <c r="B26" s="3">
        <v>19.314852317150699</v>
      </c>
      <c r="C26" s="3">
        <v>15.1972996627148</v>
      </c>
      <c r="D26" s="3">
        <v>16.0283077187194</v>
      </c>
      <c r="E26" s="3">
        <v>12.757585747238901</v>
      </c>
      <c r="F26" s="3">
        <v>13.840612006542299</v>
      </c>
      <c r="G26" s="3">
        <v>16.6439127168779</v>
      </c>
      <c r="H26" s="3">
        <v>15.7264683262006</v>
      </c>
      <c r="I26" s="3">
        <v>18.329401611083799</v>
      </c>
      <c r="J26" s="3">
        <v>16.188193427520002</v>
      </c>
      <c r="K26" s="3">
        <v>15.1731631424566</v>
      </c>
      <c r="L26" s="3">
        <v>16.415728070610399</v>
      </c>
      <c r="M26" s="3">
        <v>15.5858929873592</v>
      </c>
      <c r="N26" s="3">
        <v>15.4420034444901</v>
      </c>
    </row>
    <row r="27" spans="1:14" x14ac:dyDescent="0.35">
      <c r="A27" s="2">
        <v>42481</v>
      </c>
      <c r="B27" s="3">
        <v>19.506151299837899</v>
      </c>
      <c r="C27" s="3">
        <v>15.4339977889243</v>
      </c>
      <c r="D27" s="3">
        <v>16.294923792577201</v>
      </c>
      <c r="E27" s="3">
        <v>13.001756769401</v>
      </c>
      <c r="F27" s="3">
        <v>13.966718350396899</v>
      </c>
      <c r="G27" s="3">
        <v>16.898450456207499</v>
      </c>
      <c r="H27" s="3">
        <v>16.025883768686199</v>
      </c>
      <c r="I27" s="3">
        <v>18.4688854150404</v>
      </c>
      <c r="J27" s="3">
        <v>16.445215307047398</v>
      </c>
      <c r="K27" s="3">
        <v>15.318798350159801</v>
      </c>
      <c r="L27" s="3">
        <v>16.382569260623299</v>
      </c>
      <c r="M27" s="3">
        <v>15.795221449240699</v>
      </c>
      <c r="N27" s="3">
        <v>15.3809480966765</v>
      </c>
    </row>
    <row r="28" spans="1:14" x14ac:dyDescent="0.35">
      <c r="A28" s="2">
        <v>42510</v>
      </c>
      <c r="B28" s="3">
        <v>19.640254303225099</v>
      </c>
      <c r="C28" s="3">
        <v>15.6806663728403</v>
      </c>
      <c r="D28" s="3">
        <v>16.485411947097798</v>
      </c>
      <c r="E28" s="3">
        <v>12.7876979461969</v>
      </c>
      <c r="F28" s="3">
        <v>13.935794922311301</v>
      </c>
      <c r="G28" s="3">
        <v>16.919691847465302</v>
      </c>
      <c r="H28" s="3">
        <v>15.8819323448025</v>
      </c>
      <c r="I28" s="3">
        <v>18.352794107619001</v>
      </c>
      <c r="J28" s="3">
        <v>16.565182572190999</v>
      </c>
      <c r="K28" s="3">
        <v>15.0884699575263</v>
      </c>
      <c r="L28" s="3">
        <v>16.1541283203753</v>
      </c>
      <c r="M28" s="3">
        <v>15.464233466703201</v>
      </c>
      <c r="N28" s="3">
        <v>15.451295603010101</v>
      </c>
    </row>
    <row r="29" spans="1:14" x14ac:dyDescent="0.35">
      <c r="A29" s="2">
        <v>42542</v>
      </c>
      <c r="B29" s="3">
        <v>19.580726929380699</v>
      </c>
      <c r="C29" s="3">
        <v>15.767674793548199</v>
      </c>
      <c r="D29" s="3">
        <v>16.754988499777401</v>
      </c>
      <c r="E29" s="3">
        <v>12.815074978915501</v>
      </c>
      <c r="F29" s="3">
        <v>13.8936803089621</v>
      </c>
      <c r="G29" s="3">
        <v>17.038107660790299</v>
      </c>
      <c r="H29" s="3">
        <v>16.145089146584599</v>
      </c>
      <c r="I29" s="3">
        <v>18.5730983584548</v>
      </c>
      <c r="J29" s="3">
        <v>16.815174183523901</v>
      </c>
      <c r="K29" s="3">
        <v>15.0269566927516</v>
      </c>
      <c r="L29" s="3">
        <v>15.998429941776999</v>
      </c>
      <c r="M29" s="3">
        <v>15.4895788398115</v>
      </c>
      <c r="N29" s="3">
        <v>14.865380771744899</v>
      </c>
    </row>
    <row r="30" spans="1:14" x14ac:dyDescent="0.35">
      <c r="A30" s="2">
        <v>42572</v>
      </c>
      <c r="B30" s="3">
        <v>20.298804779032899</v>
      </c>
      <c r="C30" s="3">
        <v>16.304168892525599</v>
      </c>
      <c r="D30" s="3">
        <v>17.200173040072301</v>
      </c>
      <c r="E30" s="3">
        <v>12.980676493153201</v>
      </c>
      <c r="F30" s="3">
        <v>14.3034844566151</v>
      </c>
      <c r="G30" s="3">
        <v>17.417215970913599</v>
      </c>
      <c r="H30" s="3">
        <v>16.524348785431901</v>
      </c>
      <c r="I30" s="3">
        <v>19.1560628476632</v>
      </c>
      <c r="J30" s="3">
        <v>17.289622484939301</v>
      </c>
      <c r="K30" s="3">
        <v>15.002516719777301</v>
      </c>
      <c r="L30" s="3">
        <v>16.087841366723801</v>
      </c>
      <c r="M30" s="3">
        <v>15.742022804122699</v>
      </c>
      <c r="N30" s="3">
        <v>14.691265516056401</v>
      </c>
    </row>
    <row r="31" spans="1:14" x14ac:dyDescent="0.35">
      <c r="A31" s="2">
        <v>42601</v>
      </c>
      <c r="B31" s="3">
        <v>20.764903363820601</v>
      </c>
      <c r="C31" s="3">
        <v>16.658087789311999</v>
      </c>
      <c r="D31" s="3">
        <v>17.4953083081</v>
      </c>
      <c r="E31" s="3">
        <v>13.340298693645799</v>
      </c>
      <c r="F31" s="3">
        <v>14.022019570533899</v>
      </c>
      <c r="G31" s="3">
        <v>17.7878173190546</v>
      </c>
      <c r="H31" s="3">
        <v>16.921971703118999</v>
      </c>
      <c r="I31" s="3">
        <v>19.566938408554599</v>
      </c>
      <c r="J31" s="3">
        <v>17.5551761242907</v>
      </c>
      <c r="K31" s="3">
        <v>14.8710241305852</v>
      </c>
      <c r="L31" s="3">
        <v>16.056940272864502</v>
      </c>
      <c r="M31" s="3">
        <v>15.935521455749701</v>
      </c>
      <c r="N31" s="3">
        <v>14.7928437231344</v>
      </c>
    </row>
    <row r="32" spans="1:14" x14ac:dyDescent="0.35">
      <c r="A32" s="2">
        <v>42634</v>
      </c>
      <c r="B32" s="3">
        <v>20.872198166331199</v>
      </c>
      <c r="C32" s="3">
        <v>16.439535856882799</v>
      </c>
      <c r="D32" s="3">
        <v>17.7333645597732</v>
      </c>
      <c r="E32" s="3">
        <v>13.4737758636556</v>
      </c>
      <c r="F32" s="3">
        <v>14.454725030193799</v>
      </c>
      <c r="G32" s="3">
        <v>18.018086731173199</v>
      </c>
      <c r="H32" s="3">
        <v>16.8843701508846</v>
      </c>
      <c r="I32" s="3">
        <v>19.855299848578198</v>
      </c>
      <c r="J32" s="3">
        <v>17.667065630482501</v>
      </c>
      <c r="K32" s="3">
        <v>14.8061907804481</v>
      </c>
      <c r="L32" s="3">
        <v>16.026907223595501</v>
      </c>
      <c r="M32" s="3">
        <v>16.1581717906076</v>
      </c>
      <c r="N32" s="3">
        <v>14.567958770502701</v>
      </c>
    </row>
    <row r="33" spans="1:14" x14ac:dyDescent="0.35">
      <c r="A33" s="2">
        <v>42664</v>
      </c>
      <c r="B33" s="3">
        <v>20.1075417451936</v>
      </c>
      <c r="C33" s="3">
        <v>16.836032157203899</v>
      </c>
      <c r="D33" s="3">
        <v>18.274070959554201</v>
      </c>
      <c r="E33" s="3">
        <v>13.825702901413401</v>
      </c>
      <c r="F33" s="3">
        <v>14.540499335854401</v>
      </c>
      <c r="G33" s="3">
        <v>17.8424162090338</v>
      </c>
      <c r="H33" s="3">
        <v>16.893381112399499</v>
      </c>
      <c r="I33" s="3">
        <v>19.938904255531799</v>
      </c>
      <c r="J33" s="3">
        <v>17.634343719001802</v>
      </c>
      <c r="K33" s="3">
        <v>15.072601224526901</v>
      </c>
      <c r="L33" s="3">
        <v>16.013613436661899</v>
      </c>
      <c r="M33" s="3">
        <v>17.574084708573199</v>
      </c>
      <c r="N33" s="3">
        <v>15.22514073566</v>
      </c>
    </row>
    <row r="34" spans="1:14" x14ac:dyDescent="0.35">
      <c r="A34" s="2">
        <v>42695</v>
      </c>
      <c r="B34" s="3">
        <v>19.9818392261576</v>
      </c>
      <c r="C34" s="3">
        <v>16.916418022008699</v>
      </c>
      <c r="D34" s="3">
        <v>18.7473863171112</v>
      </c>
      <c r="E34" s="3">
        <v>13.6817457662818</v>
      </c>
      <c r="F34" s="3">
        <v>15.301986935214501</v>
      </c>
      <c r="G34" s="3">
        <v>17.516997884422199</v>
      </c>
      <c r="H34" s="3">
        <v>16.368133391838199</v>
      </c>
      <c r="I34" s="3">
        <v>20.041131374817802</v>
      </c>
      <c r="J34" s="3">
        <v>18.200926088201999</v>
      </c>
      <c r="K34" s="3">
        <v>14.8455476892406</v>
      </c>
      <c r="L34" s="3">
        <v>15.5892702564975</v>
      </c>
      <c r="M34" s="3">
        <v>17.2980097256461</v>
      </c>
      <c r="N34" s="3">
        <v>14.095643651483099</v>
      </c>
    </row>
    <row r="35" spans="1:14" x14ac:dyDescent="0.35">
      <c r="A35" s="2">
        <v>42725</v>
      </c>
      <c r="B35" s="3">
        <v>19.702803231501001</v>
      </c>
      <c r="C35" s="3">
        <v>17.496857206862401</v>
      </c>
      <c r="D35" s="3">
        <v>19.311881718332899</v>
      </c>
      <c r="E35" s="3">
        <v>14.7247231882734</v>
      </c>
      <c r="F35" s="3">
        <v>16.5708821090988</v>
      </c>
      <c r="G35" s="3">
        <v>18.124524108789799</v>
      </c>
      <c r="H35" s="3">
        <v>16.976231064995002</v>
      </c>
      <c r="I35" s="3">
        <v>20.613952611439899</v>
      </c>
      <c r="J35" s="3">
        <v>18.948772704301</v>
      </c>
      <c r="K35" s="3">
        <v>15.648963878724301</v>
      </c>
      <c r="L35" s="3">
        <v>16.275074540518698</v>
      </c>
      <c r="M35" s="3">
        <v>18.3003373635682</v>
      </c>
      <c r="N35" s="3">
        <v>27.5725423254903</v>
      </c>
    </row>
    <row r="36" spans="1:14" x14ac:dyDescent="0.35">
      <c r="A36" s="2">
        <v>42755</v>
      </c>
      <c r="B36" s="3">
        <v>20.390059457010899</v>
      </c>
      <c r="C36" s="3">
        <v>17.6338489225176</v>
      </c>
      <c r="D36" s="3">
        <v>19.947787500853899</v>
      </c>
      <c r="E36" s="3">
        <v>14.941262328223401</v>
      </c>
      <c r="F36" s="3">
        <v>16.540794440378001</v>
      </c>
      <c r="G36" s="3">
        <v>18.386648440400499</v>
      </c>
      <c r="H36" s="3">
        <v>17.0452062986645</v>
      </c>
      <c r="I36" s="3">
        <v>20.998955641891602</v>
      </c>
      <c r="J36" s="3">
        <v>18.9415395929387</v>
      </c>
      <c r="K36" s="3">
        <v>15.7915177856933</v>
      </c>
      <c r="L36" s="3">
        <v>16.308198556396899</v>
      </c>
      <c r="M36" s="3">
        <v>18.2382630390698</v>
      </c>
      <c r="N36" s="3">
        <v>27.906874330557599</v>
      </c>
    </row>
    <row r="37" spans="1:14" x14ac:dyDescent="0.35">
      <c r="A37" s="2">
        <v>42787</v>
      </c>
      <c r="B37" s="3">
        <v>20.445997336921401</v>
      </c>
      <c r="C37" s="3">
        <v>17.893687617005799</v>
      </c>
      <c r="D37" s="3">
        <v>19.9209736521201</v>
      </c>
      <c r="E37" s="3">
        <v>15.206496546028699</v>
      </c>
      <c r="F37" s="3">
        <v>16.2502242987008</v>
      </c>
      <c r="G37" s="3">
        <v>19.733749100512401</v>
      </c>
      <c r="H37" s="3">
        <v>17.198900251065002</v>
      </c>
      <c r="I37" s="3">
        <v>21.8515653298677</v>
      </c>
      <c r="J37" s="3">
        <v>19.544852719827102</v>
      </c>
      <c r="K37" s="3">
        <v>15.541426286427001</v>
      </c>
      <c r="L37" s="3">
        <v>16.537798919311498</v>
      </c>
      <c r="M37" s="3">
        <v>17.6750405511339</v>
      </c>
      <c r="N37" s="3">
        <v>20.269233607347399</v>
      </c>
    </row>
    <row r="38" spans="1:14" x14ac:dyDescent="0.35">
      <c r="A38" s="2">
        <v>42815</v>
      </c>
      <c r="B38" s="3">
        <v>19.7383306990798</v>
      </c>
      <c r="C38" s="3">
        <v>17.397085617561299</v>
      </c>
      <c r="D38" s="3">
        <v>19.1430799343537</v>
      </c>
      <c r="E38" s="3">
        <v>14.9255686402088</v>
      </c>
      <c r="F38" s="3">
        <v>15.8739002610303</v>
      </c>
      <c r="G38" s="3">
        <v>19.5865851918938</v>
      </c>
      <c r="H38" s="3">
        <v>17.224732451611398</v>
      </c>
      <c r="I38" s="3">
        <v>21.626163568966199</v>
      </c>
      <c r="J38" s="3">
        <v>19.3644651264214</v>
      </c>
      <c r="K38" s="3">
        <v>15.6023963519013</v>
      </c>
      <c r="L38" s="3">
        <v>16.495075268406399</v>
      </c>
      <c r="M38" s="3">
        <v>17.4692359593794</v>
      </c>
      <c r="N38" s="3">
        <v>81.123868184271501</v>
      </c>
    </row>
    <row r="39" spans="1:14" x14ac:dyDescent="0.35">
      <c r="A39" s="2">
        <v>42846</v>
      </c>
      <c r="B39" s="3">
        <v>19.776196805424799</v>
      </c>
      <c r="C39" s="3">
        <v>17.270652957472102</v>
      </c>
      <c r="D39" s="3">
        <v>18.906962939606998</v>
      </c>
      <c r="E39" s="3">
        <v>14.8135449589263</v>
      </c>
      <c r="F39" s="3">
        <v>15.5172844717712</v>
      </c>
      <c r="G39" s="3">
        <v>19.326618713215499</v>
      </c>
      <c r="H39" s="3">
        <v>16.8648592560914</v>
      </c>
      <c r="I39" s="3">
        <v>21.592976308064799</v>
      </c>
      <c r="J39" s="3">
        <v>19.199427861670902</v>
      </c>
      <c r="K39" s="3">
        <v>15.5827654365435</v>
      </c>
      <c r="L39" s="3">
        <v>16.568253179233899</v>
      </c>
      <c r="M39" s="3">
        <v>17.556590259981601</v>
      </c>
      <c r="N39" s="3">
        <v>73.718766189630202</v>
      </c>
    </row>
    <row r="40" spans="1:14" x14ac:dyDescent="0.35">
      <c r="A40" s="2">
        <v>42874</v>
      </c>
      <c r="B40" s="3">
        <v>19.9465763491337</v>
      </c>
      <c r="C40" s="3">
        <v>16.9862520695836</v>
      </c>
      <c r="D40" s="3">
        <v>18.5578153216589</v>
      </c>
      <c r="E40" s="3">
        <v>14.823893993563701</v>
      </c>
      <c r="F40" s="3">
        <v>15.6277499068247</v>
      </c>
      <c r="G40" s="3">
        <v>19.540532291382998</v>
      </c>
      <c r="H40" s="3">
        <v>16.868533333417702</v>
      </c>
      <c r="I40" s="3">
        <v>21.764877298758499</v>
      </c>
      <c r="J40" s="3">
        <v>19.120174562916699</v>
      </c>
      <c r="K40" s="3">
        <v>15.795570634942701</v>
      </c>
      <c r="L40" s="3">
        <v>16.6915786424867</v>
      </c>
      <c r="M40" s="3">
        <v>18.046741472057398</v>
      </c>
      <c r="N40" s="3">
        <v>67.513585587479696</v>
      </c>
    </row>
    <row r="41" spans="1:14" x14ac:dyDescent="0.35">
      <c r="A41" s="2">
        <v>42907</v>
      </c>
      <c r="B41" s="3">
        <v>20.077486917467301</v>
      </c>
      <c r="C41" s="3">
        <v>16.7015010172152</v>
      </c>
      <c r="D41" s="3">
        <v>18.101111781035101</v>
      </c>
      <c r="E41" s="3">
        <v>14.762545001736701</v>
      </c>
      <c r="F41" s="3">
        <v>15.661051220736301</v>
      </c>
      <c r="G41" s="3">
        <v>19.445407642305899</v>
      </c>
      <c r="H41" s="3">
        <v>16.507130812722401</v>
      </c>
      <c r="I41" s="3">
        <v>21.917380771719099</v>
      </c>
      <c r="J41" s="3">
        <v>19.162480142110699</v>
      </c>
      <c r="K41" s="3">
        <v>15.727048754854801</v>
      </c>
      <c r="L41" s="3">
        <v>16.6653449178058</v>
      </c>
      <c r="M41" s="3">
        <v>17.6561664381281</v>
      </c>
      <c r="N41" s="3">
        <v>59.632492356840103</v>
      </c>
    </row>
    <row r="42" spans="1:14" x14ac:dyDescent="0.35">
      <c r="A42" s="2">
        <v>42937</v>
      </c>
      <c r="B42" s="3">
        <v>20.3497145820659</v>
      </c>
      <c r="C42" s="3">
        <v>16.829439482748199</v>
      </c>
      <c r="D42" s="3">
        <v>18.063213897384699</v>
      </c>
      <c r="E42" s="3">
        <v>14.396123751914599</v>
      </c>
      <c r="F42" s="3">
        <v>15.4918062304213</v>
      </c>
      <c r="G42" s="3">
        <v>19.358744455329401</v>
      </c>
      <c r="H42" s="3">
        <v>16.506055682764298</v>
      </c>
      <c r="I42" s="3">
        <v>22.241534105339099</v>
      </c>
      <c r="J42" s="3">
        <v>19.243898471926499</v>
      </c>
      <c r="K42" s="3">
        <v>15.590000505585801</v>
      </c>
      <c r="L42" s="3">
        <v>16.6358583319115</v>
      </c>
      <c r="M42" s="3">
        <v>17.439304409353699</v>
      </c>
      <c r="N42" s="3">
        <v>52.748443852613299</v>
      </c>
    </row>
    <row r="43" spans="1:14" x14ac:dyDescent="0.35">
      <c r="A43" s="2">
        <v>42968</v>
      </c>
      <c r="B43" s="3">
        <v>20.803029862399999</v>
      </c>
      <c r="C43" s="3">
        <v>16.700377383774299</v>
      </c>
      <c r="D43" s="3">
        <v>17.596774048771199</v>
      </c>
      <c r="E43" s="3">
        <v>14.118971137262299</v>
      </c>
      <c r="F43" s="3">
        <v>14.952845367335099</v>
      </c>
      <c r="G43" s="3">
        <v>19.112909626212598</v>
      </c>
      <c r="H43" s="3">
        <v>16.035741514826999</v>
      </c>
      <c r="I43" s="3">
        <v>21.817159009365898</v>
      </c>
      <c r="J43" s="3">
        <v>18.896106936942399</v>
      </c>
      <c r="K43" s="3">
        <v>15.440127477889</v>
      </c>
      <c r="L43" s="3">
        <v>16.565761444996301</v>
      </c>
      <c r="M43" s="3">
        <v>16.708075051545901</v>
      </c>
      <c r="N43" s="3">
        <v>45.482775736414098</v>
      </c>
    </row>
    <row r="44" spans="1:14" x14ac:dyDescent="0.35">
      <c r="A44" s="2">
        <v>42999</v>
      </c>
      <c r="B44" s="3">
        <v>20.459201184764201</v>
      </c>
      <c r="C44" s="3">
        <v>16.3671939227008</v>
      </c>
      <c r="D44" s="3">
        <v>17.5642101887133</v>
      </c>
      <c r="E44" s="3">
        <v>14.4381875628097</v>
      </c>
      <c r="F44" s="3">
        <v>15.0127673962067</v>
      </c>
      <c r="G44" s="3">
        <v>19.350630596475</v>
      </c>
      <c r="H44" s="3">
        <v>15.824864671186999</v>
      </c>
      <c r="I44" s="3">
        <v>22.2035368010018</v>
      </c>
      <c r="J44" s="3">
        <v>19.223268624571499</v>
      </c>
      <c r="K44" s="3">
        <v>15.809769335760301</v>
      </c>
      <c r="L44" s="3">
        <v>16.812136189460801</v>
      </c>
      <c r="M44" s="3">
        <v>17.395855787008198</v>
      </c>
      <c r="N44" s="3">
        <v>38.433651168915702</v>
      </c>
    </row>
    <row r="45" spans="1:14" x14ac:dyDescent="0.35">
      <c r="A45" s="2">
        <v>43028</v>
      </c>
      <c r="B45" s="3">
        <v>20.999457773948301</v>
      </c>
      <c r="C45" s="3">
        <v>16.720985848917401</v>
      </c>
      <c r="D45" s="3">
        <v>17.546553453506199</v>
      </c>
      <c r="E45" s="3">
        <v>14.782986496456401</v>
      </c>
      <c r="F45" s="3">
        <v>15.2939549040447</v>
      </c>
      <c r="G45" s="3">
        <v>19.909616480968499</v>
      </c>
      <c r="H45" s="3">
        <v>15.7460774217326</v>
      </c>
      <c r="I45" s="3">
        <v>22.688726157257801</v>
      </c>
      <c r="J45" s="3">
        <v>19.7137874704413</v>
      </c>
      <c r="K45" s="3">
        <v>16.067223162937601</v>
      </c>
      <c r="L45" s="3">
        <v>17.2264333759233</v>
      </c>
      <c r="M45" s="3">
        <v>18.420122615552799</v>
      </c>
      <c r="N45" s="3">
        <v>31.738716728894499</v>
      </c>
    </row>
    <row r="46" spans="1:14" x14ac:dyDescent="0.35">
      <c r="A46" s="2">
        <v>43060</v>
      </c>
      <c r="B46" s="3">
        <v>21.369205378047401</v>
      </c>
      <c r="C46" s="3">
        <v>16.644276378530702</v>
      </c>
      <c r="D46" s="3">
        <v>17.3922757436155</v>
      </c>
      <c r="E46" s="3">
        <v>15.3364769431514</v>
      </c>
      <c r="F46" s="3">
        <v>15.6052328685387</v>
      </c>
      <c r="G46" s="3">
        <v>20.409199110749601</v>
      </c>
      <c r="H46" s="3">
        <v>15.255518314962901</v>
      </c>
      <c r="I46" s="3">
        <v>23.208080387395501</v>
      </c>
      <c r="J46" s="3">
        <v>19.702969855836301</v>
      </c>
      <c r="K46" s="3">
        <v>15.970100819754199</v>
      </c>
      <c r="L46" s="3">
        <v>17.3136872947291</v>
      </c>
      <c r="M46" s="3">
        <v>18.294226898504402</v>
      </c>
      <c r="N46" s="3">
        <v>24.366034785677002</v>
      </c>
    </row>
    <row r="47" spans="1:14" x14ac:dyDescent="0.35">
      <c r="A47" s="2">
        <v>43090</v>
      </c>
      <c r="B47" s="3">
        <v>22.2720253602381</v>
      </c>
      <c r="C47" s="3">
        <v>16.7362425754533</v>
      </c>
      <c r="D47" s="3">
        <v>17.259585383021101</v>
      </c>
      <c r="E47" s="3">
        <v>15.485821109447601</v>
      </c>
      <c r="F47" s="3">
        <v>16.304318179693599</v>
      </c>
      <c r="G47" s="3">
        <v>20.670719868610998</v>
      </c>
      <c r="H47" s="3">
        <v>15.373520198001099</v>
      </c>
      <c r="I47" s="3">
        <v>23.772657035422299</v>
      </c>
      <c r="J47" s="3">
        <v>20.311199242976901</v>
      </c>
      <c r="K47" s="3">
        <v>16.154472411178698</v>
      </c>
      <c r="L47" s="3">
        <v>17.3429179551087</v>
      </c>
      <c r="M47" s="3">
        <v>18.301492822434199</v>
      </c>
      <c r="N47" s="3">
        <v>17.6436756713723</v>
      </c>
    </row>
    <row r="48" spans="1:14" x14ac:dyDescent="0.35">
      <c r="A48" s="2">
        <v>43119</v>
      </c>
      <c r="B48" s="3">
        <v>21.9826483306366</v>
      </c>
      <c r="C48" s="3">
        <v>16.565224797502601</v>
      </c>
      <c r="D48" s="3">
        <v>17.2884953361791</v>
      </c>
      <c r="E48" s="3">
        <v>15.7795171574538</v>
      </c>
      <c r="F48" s="3">
        <v>16.947275372664201</v>
      </c>
      <c r="G48" s="3">
        <v>21.097616403206398</v>
      </c>
      <c r="H48" s="3">
        <v>15.6400878940307</v>
      </c>
      <c r="I48" s="3">
        <v>24.9881788870298</v>
      </c>
      <c r="J48" s="3">
        <v>21.090483204187301</v>
      </c>
      <c r="K48" s="3">
        <v>16.625530362450601</v>
      </c>
      <c r="L48" s="3">
        <v>17.568559424800402</v>
      </c>
      <c r="M48" s="3">
        <v>18.323789327640402</v>
      </c>
      <c r="N48" s="3">
        <v>16.095066214758699</v>
      </c>
    </row>
    <row r="49" spans="1:14" x14ac:dyDescent="0.35">
      <c r="A49" s="2">
        <v>43152</v>
      </c>
      <c r="B49" s="3">
        <v>22.115903732564799</v>
      </c>
      <c r="C49" s="3">
        <v>16.399602151429001</v>
      </c>
      <c r="D49" s="3">
        <v>15.966754762394601</v>
      </c>
      <c r="E49" s="3">
        <v>14.5110322902422</v>
      </c>
      <c r="F49" s="3">
        <v>14.665553232214499</v>
      </c>
      <c r="G49" s="3">
        <v>21.651559272119599</v>
      </c>
      <c r="H49" s="3">
        <v>14.616601660630399</v>
      </c>
      <c r="I49" s="3">
        <v>23.866885245762099</v>
      </c>
      <c r="J49" s="3">
        <v>19.756724565087602</v>
      </c>
      <c r="K49" s="3">
        <v>15.7546711874617</v>
      </c>
      <c r="L49" s="3">
        <v>16.607270642898001</v>
      </c>
      <c r="M49" s="3">
        <v>16.930767046393399</v>
      </c>
      <c r="N49" s="3">
        <v>14.2680675123045</v>
      </c>
    </row>
    <row r="50" spans="1:14" x14ac:dyDescent="0.35">
      <c r="A50" s="2">
        <v>43180</v>
      </c>
      <c r="B50" s="3">
        <v>22.615368456949099</v>
      </c>
      <c r="C50" s="3">
        <v>16.4326498421424</v>
      </c>
      <c r="D50" s="3">
        <v>15.790455418195799</v>
      </c>
      <c r="E50" s="3">
        <v>14.170820291156399</v>
      </c>
      <c r="F50" s="3">
        <v>14.3243796189888</v>
      </c>
      <c r="G50" s="3">
        <v>20.853909741948002</v>
      </c>
      <c r="H50" s="3">
        <v>13.901066481637001</v>
      </c>
      <c r="I50" s="3">
        <v>23.924106446855301</v>
      </c>
      <c r="J50" s="3">
        <v>19.6208390512632</v>
      </c>
      <c r="K50" s="3">
        <v>15.5294965915158</v>
      </c>
      <c r="L50" s="3">
        <v>16.6428761592258</v>
      </c>
      <c r="M50" s="3">
        <v>16.886164270657702</v>
      </c>
      <c r="N50" s="3">
        <v>14.157903841971301</v>
      </c>
    </row>
    <row r="51" spans="1:14" x14ac:dyDescent="0.35">
      <c r="A51" s="2">
        <v>43210</v>
      </c>
      <c r="B51" s="3">
        <v>22.281464638776601</v>
      </c>
      <c r="C51" s="3">
        <v>16.256173836632801</v>
      </c>
      <c r="D51" s="3">
        <v>15.6120818374772</v>
      </c>
      <c r="E51" s="3">
        <v>14.1656518452382</v>
      </c>
      <c r="F51" s="3">
        <v>14.255640952584001</v>
      </c>
      <c r="G51" s="3">
        <v>20.413967318847</v>
      </c>
      <c r="H51" s="3">
        <v>14.003907992886999</v>
      </c>
      <c r="I51" s="3">
        <v>23.457549764561701</v>
      </c>
      <c r="J51" s="3">
        <v>19.264598719644201</v>
      </c>
      <c r="K51" s="3">
        <v>15.5686951000693</v>
      </c>
      <c r="L51" s="3">
        <v>16.5462702272462</v>
      </c>
      <c r="M51" s="3">
        <v>16.842622647078699</v>
      </c>
      <c r="N51" s="3">
        <v>14.1978897878037</v>
      </c>
    </row>
    <row r="52" spans="1:14" x14ac:dyDescent="0.35">
      <c r="A52" s="2">
        <v>43241</v>
      </c>
      <c r="B52" s="3">
        <v>22.370208312395601</v>
      </c>
      <c r="C52" s="3">
        <v>16.3257249911012</v>
      </c>
      <c r="D52" s="3">
        <v>15.6253130292015</v>
      </c>
      <c r="E52" s="3">
        <v>14.218728192379</v>
      </c>
      <c r="F52" s="3">
        <v>14.321215737431499</v>
      </c>
      <c r="G52" s="3">
        <v>20.0802180982019</v>
      </c>
      <c r="H52" s="3">
        <v>14.1650153332986</v>
      </c>
      <c r="I52" s="3">
        <v>23.191277101795801</v>
      </c>
      <c r="J52" s="3">
        <v>19.0201415468036</v>
      </c>
      <c r="K52" s="3">
        <v>15.661556583946799</v>
      </c>
      <c r="L52" s="3">
        <v>16.6857199607424</v>
      </c>
      <c r="M52" s="3">
        <v>16.904043326104901</v>
      </c>
      <c r="N52" s="3">
        <v>13.8592216811219</v>
      </c>
    </row>
    <row r="53" spans="1:14" x14ac:dyDescent="0.35">
      <c r="A53" s="2">
        <v>43272</v>
      </c>
      <c r="B53" s="3">
        <v>22.8496050469872</v>
      </c>
      <c r="C53" s="3">
        <v>16.313459626360601</v>
      </c>
      <c r="D53" s="3">
        <v>15.5810256583692</v>
      </c>
      <c r="E53" s="3">
        <v>14.014582784701901</v>
      </c>
      <c r="F53" s="3">
        <v>14.0275243635989</v>
      </c>
      <c r="G53" s="3">
        <v>19.262231414816601</v>
      </c>
      <c r="H53" s="3">
        <v>13.828459808331999</v>
      </c>
      <c r="I53" s="3">
        <v>23.3135172655156</v>
      </c>
      <c r="J53" s="3">
        <v>18.7853146738113</v>
      </c>
      <c r="K53" s="3">
        <v>15.1794050861033</v>
      </c>
      <c r="L53" s="3">
        <v>16.580260814470499</v>
      </c>
      <c r="M53" s="3">
        <v>16.4412941015485</v>
      </c>
      <c r="N53" s="3">
        <v>13.352764925975301</v>
      </c>
    </row>
    <row r="54" spans="1:14" x14ac:dyDescent="0.35">
      <c r="A54" s="2">
        <v>43301</v>
      </c>
      <c r="B54" s="3">
        <v>22.873227295740399</v>
      </c>
      <c r="C54" s="3">
        <v>16.358970033475401</v>
      </c>
      <c r="D54" s="3">
        <v>15.4935870473719</v>
      </c>
      <c r="E54" s="3">
        <v>14.03980804953</v>
      </c>
      <c r="F54" s="3">
        <v>13.9095973963917</v>
      </c>
      <c r="G54" s="3">
        <v>19.362701915453201</v>
      </c>
      <c r="H54" s="3">
        <v>13.804914146187899</v>
      </c>
      <c r="I54" s="3">
        <v>23.2616145065175</v>
      </c>
      <c r="J54" s="3">
        <v>18.674750798458</v>
      </c>
      <c r="K54" s="3">
        <v>15.2386637535748</v>
      </c>
      <c r="L54" s="3">
        <v>16.8185489286458</v>
      </c>
      <c r="M54" s="3">
        <v>16.468245339349199</v>
      </c>
      <c r="N54" s="3">
        <v>13.201710574245499</v>
      </c>
    </row>
    <row r="55" spans="1:14" x14ac:dyDescent="0.35">
      <c r="A55" s="2">
        <v>43333</v>
      </c>
      <c r="B55" s="3">
        <v>23.2844370576566</v>
      </c>
      <c r="C55" s="3">
        <v>16.4089626468432</v>
      </c>
      <c r="D55" s="3">
        <v>15.3301809898496</v>
      </c>
      <c r="E55" s="3">
        <v>13.993537414839199</v>
      </c>
      <c r="F55" s="3">
        <v>13.4829737512603</v>
      </c>
      <c r="G55" s="3">
        <v>18.92640323465</v>
      </c>
      <c r="H55" s="3">
        <v>13.647010484332201</v>
      </c>
      <c r="I55" s="3">
        <v>23.0253892244022</v>
      </c>
      <c r="J55" s="3">
        <v>18.614068418626498</v>
      </c>
      <c r="K55" s="3">
        <v>15.050488625374999</v>
      </c>
      <c r="L55" s="3">
        <v>16.553798183137999</v>
      </c>
      <c r="M55" s="3">
        <v>16.668659207401902</v>
      </c>
      <c r="N55" s="3">
        <v>12.724687725350901</v>
      </c>
    </row>
    <row r="56" spans="1:14" x14ac:dyDescent="0.35">
      <c r="A56" s="2">
        <v>43364</v>
      </c>
      <c r="B56" s="3">
        <v>23.735286351707</v>
      </c>
      <c r="C56" s="3">
        <v>16.081606393949599</v>
      </c>
      <c r="D56" s="3">
        <v>15.1683550205227</v>
      </c>
      <c r="E56" s="3">
        <v>14.0446504385728</v>
      </c>
      <c r="F56" s="3">
        <v>13.931603871778499</v>
      </c>
      <c r="G56" s="3">
        <v>18.6228279071752</v>
      </c>
      <c r="H56" s="3">
        <v>13.6282517354131</v>
      </c>
      <c r="I56" s="3">
        <v>23.071069744894601</v>
      </c>
      <c r="J56" s="3">
        <v>18.688739503824699</v>
      </c>
      <c r="K56" s="3">
        <v>15.1459028549283</v>
      </c>
      <c r="L56" s="3">
        <v>16.456653478528601</v>
      </c>
      <c r="M56" s="3">
        <v>16.931080189215098</v>
      </c>
      <c r="N56" s="3">
        <v>12.712206352154301</v>
      </c>
    </row>
    <row r="57" spans="1:14" x14ac:dyDescent="0.35">
      <c r="A57" s="2">
        <v>43392</v>
      </c>
      <c r="B57" s="3">
        <v>22.626531275134901</v>
      </c>
      <c r="C57" s="3">
        <v>15.515911783260499</v>
      </c>
      <c r="D57" s="3">
        <v>14.525056107651</v>
      </c>
      <c r="E57" s="3">
        <v>13.322771033920001</v>
      </c>
      <c r="F57" s="3">
        <v>13.1612839640374</v>
      </c>
      <c r="G57" s="3">
        <v>17.841879703679499</v>
      </c>
      <c r="H57" s="3">
        <v>12.9267011028718</v>
      </c>
      <c r="I57" s="3">
        <v>21.927557967221599</v>
      </c>
      <c r="J57" s="3">
        <v>17.752881073917798</v>
      </c>
      <c r="K57" s="3">
        <v>14.206366197491199</v>
      </c>
      <c r="L57" s="3">
        <v>15.640620944773801</v>
      </c>
      <c r="M57" s="3">
        <v>15.416240052906501</v>
      </c>
      <c r="N57" s="3">
        <v>11.5220764328876</v>
      </c>
    </row>
    <row r="58" spans="1:14" x14ac:dyDescent="0.35">
      <c r="A58" s="2">
        <v>43425</v>
      </c>
      <c r="B58" s="3">
        <v>22.368635629301</v>
      </c>
      <c r="C58" s="3">
        <v>14.864877446773701</v>
      </c>
      <c r="D58" s="3">
        <v>14.033730794521301</v>
      </c>
      <c r="E58" s="3">
        <v>12.898986891315801</v>
      </c>
      <c r="F58" s="3">
        <v>12.516673186824599</v>
      </c>
      <c r="G58" s="3">
        <v>17.497032195563602</v>
      </c>
      <c r="H58" s="3">
        <v>12.7058277710016</v>
      </c>
      <c r="I58" s="3">
        <v>19.8820423040838</v>
      </c>
      <c r="J58" s="3">
        <v>16.738336559772399</v>
      </c>
      <c r="K58" s="3">
        <v>13.764806705267601</v>
      </c>
      <c r="L58" s="3">
        <v>15.309768064443499</v>
      </c>
      <c r="M58" s="3">
        <v>14.683496940900501</v>
      </c>
      <c r="N58" s="3">
        <v>11.0507338329855</v>
      </c>
    </row>
    <row r="59" spans="1:14" x14ac:dyDescent="0.35">
      <c r="A59" s="2">
        <v>43455</v>
      </c>
      <c r="B59" s="3">
        <v>22.6722839931872</v>
      </c>
      <c r="C59" s="3">
        <v>14.245480078526599</v>
      </c>
      <c r="D59" s="3">
        <v>12.8216128933924</v>
      </c>
      <c r="E59" s="3">
        <v>12.1663180402705</v>
      </c>
      <c r="F59" s="3">
        <v>11.524981961317</v>
      </c>
      <c r="G59" s="3">
        <v>16.3196747627285</v>
      </c>
      <c r="H59" s="3">
        <v>11.9906287576816</v>
      </c>
      <c r="I59" s="3">
        <v>18.074765152587101</v>
      </c>
      <c r="J59" s="3">
        <v>15.0645704519365</v>
      </c>
      <c r="K59" s="3">
        <v>12.9039449751081</v>
      </c>
      <c r="L59" s="3">
        <v>14.215783463117999</v>
      </c>
      <c r="M59" s="3">
        <v>13.818594901978599</v>
      </c>
      <c r="N59" s="3">
        <v>10.566444188132101</v>
      </c>
    </row>
    <row r="60" spans="1:14" x14ac:dyDescent="0.35">
      <c r="A60" s="2">
        <v>43483</v>
      </c>
      <c r="B60" s="3">
        <v>23.604324988005299</v>
      </c>
      <c r="C60" s="3">
        <v>15.2609966992131</v>
      </c>
      <c r="D60" s="3">
        <v>14.120998374258299</v>
      </c>
      <c r="E60" s="3">
        <v>12.812310348995601</v>
      </c>
      <c r="F60" s="3">
        <v>11.992956420628801</v>
      </c>
      <c r="G60" s="3">
        <v>17.4263598849173</v>
      </c>
      <c r="H60" s="3">
        <v>12.4611106427725</v>
      </c>
      <c r="I60" s="3">
        <v>20.059976386450401</v>
      </c>
      <c r="J60" s="3">
        <v>16.522488858996599</v>
      </c>
      <c r="K60" s="3">
        <v>13.422658098728</v>
      </c>
      <c r="L60" s="3">
        <v>14.9261238535329</v>
      </c>
      <c r="M60" s="3">
        <v>15.2243604995117</v>
      </c>
      <c r="N60" s="3">
        <v>11.1708503375256</v>
      </c>
    </row>
    <row r="61" spans="1:14" x14ac:dyDescent="0.35">
      <c r="A61" s="2">
        <v>43517</v>
      </c>
      <c r="B61" s="3">
        <v>24.005379212561301</v>
      </c>
      <c r="C61" s="3">
        <v>15.827219702534</v>
      </c>
      <c r="D61" s="3">
        <v>14.8330668542167</v>
      </c>
      <c r="E61" s="3">
        <v>13.149392304373899</v>
      </c>
      <c r="F61" s="3">
        <v>12.703171409212599</v>
      </c>
      <c r="G61" s="3">
        <v>18.212662599735399</v>
      </c>
      <c r="H61" s="3">
        <v>13.026600918556801</v>
      </c>
      <c r="I61" s="3">
        <v>20.670263470110701</v>
      </c>
      <c r="J61" s="3">
        <v>17.067021832264199</v>
      </c>
      <c r="K61" s="3">
        <v>14.4005830960671</v>
      </c>
      <c r="L61" s="3">
        <v>16.089360542793202</v>
      </c>
      <c r="M61" s="3">
        <v>18.214727813058602</v>
      </c>
      <c r="N61" s="3">
        <v>11.1283636897662</v>
      </c>
    </row>
    <row r="62" spans="1:14" x14ac:dyDescent="0.35">
      <c r="A62" s="2">
        <v>43545</v>
      </c>
      <c r="B62" s="3">
        <v>24.005883612383901</v>
      </c>
      <c r="C62" s="3">
        <v>15.8625225123014</v>
      </c>
      <c r="D62" s="3">
        <v>14.7445173512326</v>
      </c>
      <c r="E62" s="3">
        <v>13.2005630975281</v>
      </c>
      <c r="F62" s="3">
        <v>12.7276365821544</v>
      </c>
      <c r="G62" s="3">
        <v>18.3033835441917</v>
      </c>
      <c r="H62" s="3">
        <v>12.987133091152</v>
      </c>
      <c r="I62" s="3">
        <v>21.108423100897699</v>
      </c>
      <c r="J62" s="3">
        <v>17.169872991953099</v>
      </c>
      <c r="K62" s="3">
        <v>14.5862789156379</v>
      </c>
      <c r="L62" s="3">
        <v>16.183606444390499</v>
      </c>
      <c r="M62" s="3">
        <v>18.013815613031699</v>
      </c>
      <c r="N62" s="3">
        <v>11.3370253041477</v>
      </c>
    </row>
    <row r="63" spans="1:14" x14ac:dyDescent="0.35">
      <c r="A63" s="2">
        <v>43573</v>
      </c>
      <c r="B63" s="3">
        <v>24.179518011720798</v>
      </c>
      <c r="C63" s="3">
        <v>15.8513450872888</v>
      </c>
      <c r="D63" s="3">
        <v>14.6669825600435</v>
      </c>
      <c r="E63" s="3">
        <v>13.3621427418646</v>
      </c>
      <c r="F63" s="3">
        <v>12.758779433778299</v>
      </c>
      <c r="G63" s="3">
        <v>18.298374179045599</v>
      </c>
      <c r="H63" s="3">
        <v>13.02155751431</v>
      </c>
      <c r="I63" s="3">
        <v>21.300300703344899</v>
      </c>
      <c r="J63" s="3">
        <v>17.2409942985689</v>
      </c>
      <c r="K63" s="3">
        <v>14.676197958709899</v>
      </c>
      <c r="L63" s="3">
        <v>16.327997025581901</v>
      </c>
      <c r="M63" s="3">
        <v>17.869790666566299</v>
      </c>
      <c r="N63" s="3">
        <v>11.366081673856799</v>
      </c>
    </row>
    <row r="64" spans="1:14" x14ac:dyDescent="0.35">
      <c r="A64" s="2">
        <v>43606</v>
      </c>
      <c r="B64" s="3">
        <v>24.415412581693101</v>
      </c>
      <c r="C64" s="3">
        <v>16.0492784957369</v>
      </c>
      <c r="D64" s="3">
        <v>14.5266326951885</v>
      </c>
      <c r="E64" s="3">
        <v>13.260736787326801</v>
      </c>
      <c r="F64" s="3">
        <v>12.6639868175546</v>
      </c>
      <c r="G64" s="3">
        <v>18.159552326325901</v>
      </c>
      <c r="H64" s="3">
        <v>12.911935365779399</v>
      </c>
      <c r="I64" s="3">
        <v>21.163560259018301</v>
      </c>
      <c r="J64" s="3">
        <v>17.150299406794801</v>
      </c>
      <c r="K64" s="3">
        <v>14.510223717698899</v>
      </c>
      <c r="L64" s="3">
        <v>16.161047707259701</v>
      </c>
      <c r="M64" s="3">
        <v>17.468756877048701</v>
      </c>
      <c r="N64" s="3">
        <v>11.1046586614997</v>
      </c>
    </row>
    <row r="65" spans="1:14" x14ac:dyDescent="0.35">
      <c r="A65" s="2">
        <v>43637</v>
      </c>
      <c r="B65" s="3">
        <v>24.424390992237502</v>
      </c>
      <c r="C65" s="3">
        <v>16.265281359375901</v>
      </c>
      <c r="D65" s="3">
        <v>14.5472140057791</v>
      </c>
      <c r="E65" s="3">
        <v>13.355439858653501</v>
      </c>
      <c r="F65" s="3">
        <v>12.818777815831501</v>
      </c>
      <c r="G65" s="3">
        <v>18.360951897354401</v>
      </c>
      <c r="H65" s="3">
        <v>13.0156240319932</v>
      </c>
      <c r="I65" s="3">
        <v>21.6204382751772</v>
      </c>
      <c r="J65" s="3">
        <v>17.404127898812401</v>
      </c>
      <c r="K65" s="3">
        <v>14.6569649849835</v>
      </c>
      <c r="L65" s="3">
        <v>16.358442152712399</v>
      </c>
      <c r="M65" s="3">
        <v>17.244281357520599</v>
      </c>
      <c r="N65" s="3">
        <v>11.174811728915101</v>
      </c>
    </row>
    <row r="66" spans="1:14" x14ac:dyDescent="0.35">
      <c r="A66" s="2">
        <v>43665</v>
      </c>
      <c r="B66" s="3">
        <v>25.103781912558699</v>
      </c>
      <c r="C66" s="3">
        <v>16.386071067859199</v>
      </c>
      <c r="D66" s="3">
        <v>14.488076756153299</v>
      </c>
      <c r="E66" s="3">
        <v>13.4795634462159</v>
      </c>
      <c r="F66" s="3">
        <v>12.9510771446623</v>
      </c>
      <c r="G66" s="3">
        <v>18.398588672469799</v>
      </c>
      <c r="H66" s="3">
        <v>13.131628783060499</v>
      </c>
      <c r="I66" s="3">
        <v>21.897834719284301</v>
      </c>
      <c r="J66" s="3">
        <v>17.612365120821298</v>
      </c>
      <c r="K66" s="3">
        <v>14.8112597315735</v>
      </c>
      <c r="L66" s="3">
        <v>16.554948154721899</v>
      </c>
      <c r="M66" s="3">
        <v>17.008493847792899</v>
      </c>
      <c r="N66" s="3">
        <v>11.2193153169656</v>
      </c>
    </row>
    <row r="67" spans="1:14" x14ac:dyDescent="0.35">
      <c r="A67" s="2">
        <v>43698</v>
      </c>
      <c r="B67" s="3">
        <v>25.200133036325301</v>
      </c>
      <c r="C67" s="3">
        <v>16.219310845310101</v>
      </c>
      <c r="D67" s="3">
        <v>14.3838156208912</v>
      </c>
      <c r="E67" s="3">
        <v>13.418896634321101</v>
      </c>
      <c r="F67" s="3">
        <v>12.737120800445499</v>
      </c>
      <c r="G67" s="3">
        <v>18.2543692742437</v>
      </c>
      <c r="H67" s="3">
        <v>12.7846884938972</v>
      </c>
      <c r="I67" s="3">
        <v>21.882632248966999</v>
      </c>
      <c r="J67" s="3">
        <v>17.5107629026678</v>
      </c>
      <c r="K67" s="3">
        <v>14.7016013890627</v>
      </c>
      <c r="L67" s="3">
        <v>16.402698666678699</v>
      </c>
      <c r="M67" s="3">
        <v>15.8699528612329</v>
      </c>
      <c r="N67" s="3">
        <v>10.9551673236158</v>
      </c>
    </row>
    <row r="68" spans="1:14" x14ac:dyDescent="0.35">
      <c r="A68" s="2">
        <v>43728</v>
      </c>
      <c r="B68" s="3">
        <v>28.4746245731505</v>
      </c>
      <c r="C68" s="3">
        <v>16.805548345764102</v>
      </c>
      <c r="D68" s="3">
        <v>14.8020949112412</v>
      </c>
      <c r="E68" s="3">
        <v>14.090756317736799</v>
      </c>
      <c r="F68" s="3">
        <v>13.558055355151099</v>
      </c>
      <c r="G68" s="3">
        <v>18.420140784228298</v>
      </c>
      <c r="H68" s="3">
        <v>13.1140073616252</v>
      </c>
      <c r="I68" s="3">
        <v>22.185786756003498</v>
      </c>
      <c r="J68" s="3">
        <v>17.861858044505201</v>
      </c>
      <c r="K68" s="3">
        <v>15.2071436543483</v>
      </c>
      <c r="L68" s="3">
        <v>17.1056623818539</v>
      </c>
      <c r="M68" s="3">
        <v>16.327404102115999</v>
      </c>
      <c r="N68" s="3">
        <v>11.3610442483097</v>
      </c>
    </row>
    <row r="69" spans="1:14" x14ac:dyDescent="0.35">
      <c r="A69" s="2">
        <v>43759</v>
      </c>
      <c r="B69" s="3">
        <v>29.153726917005301</v>
      </c>
      <c r="C69" s="3">
        <v>17.065731351493799</v>
      </c>
      <c r="D69" s="3">
        <v>14.608141836496101</v>
      </c>
      <c r="E69" s="3">
        <v>14.5270020178307</v>
      </c>
      <c r="F69" s="3">
        <v>13.7939792026423</v>
      </c>
      <c r="G69" s="3">
        <v>18.382324689634999</v>
      </c>
      <c r="H69" s="3">
        <v>13.137971041163301</v>
      </c>
      <c r="I69" s="3">
        <v>22.628232320304601</v>
      </c>
      <c r="J69" s="3">
        <v>18.1466151059943</v>
      </c>
      <c r="K69" s="3">
        <v>15.357269770252399</v>
      </c>
      <c r="L69" s="3">
        <v>17.270864767606099</v>
      </c>
      <c r="M69" s="3">
        <v>16.864302917099501</v>
      </c>
      <c r="N69" s="3">
        <v>11.558566783588301</v>
      </c>
    </row>
    <row r="70" spans="1:14" x14ac:dyDescent="0.35">
      <c r="A70" s="2">
        <v>43790</v>
      </c>
      <c r="B70" s="3">
        <v>29.717547892098398</v>
      </c>
      <c r="C70" s="3">
        <v>17.312234089800601</v>
      </c>
      <c r="D70" s="3">
        <v>15.0956540389104</v>
      </c>
      <c r="E70" s="3">
        <v>15.0162720808143</v>
      </c>
      <c r="F70" s="3">
        <v>14.4741388220231</v>
      </c>
      <c r="G70" s="3">
        <v>18.864463079338201</v>
      </c>
      <c r="H70" s="3">
        <v>13.299310273462799</v>
      </c>
      <c r="I70" s="3">
        <v>23.726221373354502</v>
      </c>
      <c r="J70" s="3">
        <v>18.840036591852598</v>
      </c>
      <c r="K70" s="3">
        <v>15.9894412759811</v>
      </c>
      <c r="L70" s="3">
        <v>17.7853072976358</v>
      </c>
      <c r="M70" s="3">
        <v>15.8799108752647</v>
      </c>
      <c r="N70" s="3">
        <v>11.849471478199399</v>
      </c>
    </row>
    <row r="71" spans="1:14" x14ac:dyDescent="0.35">
      <c r="A71" s="2">
        <v>43819</v>
      </c>
      <c r="B71" s="3">
        <v>32.233931175756197</v>
      </c>
      <c r="C71" s="3">
        <v>17.980071800800001</v>
      </c>
      <c r="D71" s="3">
        <v>15.3429411151476</v>
      </c>
      <c r="E71" s="3">
        <v>15.5201120480362</v>
      </c>
      <c r="F71" s="3">
        <v>15.2987666560979</v>
      </c>
      <c r="G71" s="3">
        <v>19.612440760753401</v>
      </c>
      <c r="H71" s="3">
        <v>14.0732282475819</v>
      </c>
      <c r="I71" s="3">
        <v>25.1219042528671</v>
      </c>
      <c r="J71" s="3">
        <v>19.697486386384799</v>
      </c>
      <c r="K71" s="3">
        <v>16.508736290956499</v>
      </c>
      <c r="L71" s="3">
        <v>18.6934986138852</v>
      </c>
      <c r="M71" s="3">
        <v>16.4651887729488</v>
      </c>
      <c r="N71" s="3">
        <v>12.3487852107801</v>
      </c>
    </row>
    <row r="72" spans="1:14" x14ac:dyDescent="0.35">
      <c r="A72" s="2">
        <v>43851</v>
      </c>
      <c r="B72" s="3">
        <v>33.020688140368698</v>
      </c>
      <c r="C72" s="3">
        <v>18.666248699099501</v>
      </c>
      <c r="D72" s="3">
        <v>15.6791643329019</v>
      </c>
      <c r="E72" s="3">
        <v>15.8690304505981</v>
      </c>
      <c r="F72" s="3">
        <v>15.439453194236901</v>
      </c>
      <c r="G72" s="3">
        <v>20.207218358359899</v>
      </c>
      <c r="H72" s="3">
        <v>14.247314317049099</v>
      </c>
      <c r="I72" s="3">
        <v>26.553238821704799</v>
      </c>
      <c r="J72" s="3">
        <v>20.357391338747799</v>
      </c>
      <c r="K72" s="3">
        <v>16.676322607001499</v>
      </c>
      <c r="L72" s="3">
        <v>18.6790130199869</v>
      </c>
      <c r="M72" s="3">
        <v>16.898763520837502</v>
      </c>
      <c r="N72" s="3">
        <v>12.203432247396</v>
      </c>
    </row>
    <row r="73" spans="1:14" x14ac:dyDescent="0.35">
      <c r="A73" s="2">
        <v>43882</v>
      </c>
      <c r="B73" s="3">
        <v>33.710327317369703</v>
      </c>
      <c r="C73" s="3">
        <v>18.911266089561899</v>
      </c>
      <c r="D73" s="3">
        <v>15.713939475416501</v>
      </c>
      <c r="E73" s="3">
        <v>16.001411237708201</v>
      </c>
      <c r="F73" s="3">
        <v>15.313352749213999</v>
      </c>
      <c r="G73" s="3">
        <v>20.185225194571998</v>
      </c>
      <c r="H73" s="3">
        <v>13.9430074933538</v>
      </c>
      <c r="I73" s="3">
        <v>26.664110968096601</v>
      </c>
      <c r="J73" s="3">
        <v>20.240841580585698</v>
      </c>
      <c r="K73" s="3">
        <v>16.570911489487699</v>
      </c>
      <c r="L73" s="3">
        <v>19.633435279809198</v>
      </c>
      <c r="M73" s="3">
        <v>14.333014473699</v>
      </c>
      <c r="N73" s="3">
        <v>12.6890162128706</v>
      </c>
    </row>
    <row r="74" spans="1:14" x14ac:dyDescent="0.35">
      <c r="A74" s="2">
        <v>43910</v>
      </c>
      <c r="B74" s="3">
        <v>30.172866073086499</v>
      </c>
      <c r="C74" s="3">
        <v>16.110186904461401</v>
      </c>
      <c r="D74" s="3">
        <v>13.776175351558001</v>
      </c>
      <c r="E74" s="3">
        <v>13.390106124960001</v>
      </c>
      <c r="F74" s="3">
        <v>13.5023229848283</v>
      </c>
      <c r="G74" s="3">
        <v>17.421508929354999</v>
      </c>
      <c r="H74" s="3">
        <v>11.9446441361683</v>
      </c>
      <c r="I74" s="3">
        <v>22.9689709302158</v>
      </c>
      <c r="J74" s="3">
        <v>17.153338309387099</v>
      </c>
      <c r="K74" s="3">
        <v>14.046772925613601</v>
      </c>
      <c r="L74" s="3">
        <v>16.5878244387963</v>
      </c>
      <c r="M74" s="3">
        <v>12.4327821827058</v>
      </c>
      <c r="N74" s="3">
        <v>10.8370363828957</v>
      </c>
    </row>
    <row r="75" spans="1:14" x14ac:dyDescent="0.35">
      <c r="A75" s="2">
        <v>43942</v>
      </c>
      <c r="B75" s="3">
        <v>31.336750533083599</v>
      </c>
      <c r="C75" s="3">
        <v>16.7893400072631</v>
      </c>
      <c r="D75" s="3">
        <v>14.956779818638299</v>
      </c>
      <c r="E75" s="3">
        <v>14.4007909719884</v>
      </c>
      <c r="F75" s="3">
        <v>14.0291316075607</v>
      </c>
      <c r="G75" s="3">
        <v>18.255426802157402</v>
      </c>
      <c r="H75" s="3">
        <v>12.9997368073691</v>
      </c>
      <c r="I75" s="3">
        <v>24.281731725154799</v>
      </c>
      <c r="J75" s="3">
        <v>18.5917697803884</v>
      </c>
      <c r="K75" s="3">
        <v>15.232986879315099</v>
      </c>
      <c r="L75" s="3">
        <v>17.399711713233799</v>
      </c>
      <c r="M75" s="3">
        <v>13.940282388894399</v>
      </c>
      <c r="N75" s="3">
        <v>11.6126777616451</v>
      </c>
    </row>
    <row r="76" spans="1:14" x14ac:dyDescent="0.35">
      <c r="A76" s="2">
        <v>43972</v>
      </c>
      <c r="B76" s="3">
        <v>32.516726019545402</v>
      </c>
      <c r="C76" s="3">
        <v>17.645405420366799</v>
      </c>
      <c r="D76" s="3">
        <v>16.811348675852699</v>
      </c>
      <c r="E76" s="3">
        <v>15.6670426303486</v>
      </c>
      <c r="F76" s="3">
        <v>14.8735011251333</v>
      </c>
      <c r="G76" s="3">
        <v>18.970217642322901</v>
      </c>
      <c r="H76" s="3">
        <v>14.2863036630346</v>
      </c>
      <c r="I76" s="3">
        <v>26.111482844959198</v>
      </c>
      <c r="J76" s="3">
        <v>19.993773134026501</v>
      </c>
      <c r="K76" s="3">
        <v>16.2433458225298</v>
      </c>
      <c r="L76" s="3">
        <v>18.256336114697699</v>
      </c>
      <c r="M76" s="3">
        <v>15.2043098891751</v>
      </c>
      <c r="N76" s="3">
        <v>13.6747809874218</v>
      </c>
    </row>
    <row r="77" spans="1:14" x14ac:dyDescent="0.35">
      <c r="A77" s="2">
        <v>44001</v>
      </c>
      <c r="B77" s="3">
        <v>32.2948434442741</v>
      </c>
      <c r="C77" s="3">
        <v>18.452720417985901</v>
      </c>
      <c r="D77" s="3">
        <v>17.259174082093001</v>
      </c>
      <c r="E77" s="3">
        <v>17.373120495821599</v>
      </c>
      <c r="F77" s="3">
        <v>16.778423169193999</v>
      </c>
      <c r="G77" s="3">
        <v>19.5361982303586</v>
      </c>
      <c r="H77" s="3">
        <v>15.1517499915493</v>
      </c>
      <c r="I77" s="3">
        <v>27.474898141285902</v>
      </c>
      <c r="J77" s="3">
        <v>20.967002585720401</v>
      </c>
      <c r="K77" s="3">
        <v>18.189457495733802</v>
      </c>
      <c r="L77" s="3">
        <v>19.501202157716701</v>
      </c>
      <c r="M77" s="3">
        <v>16.6367623460504</v>
      </c>
      <c r="N77" s="3">
        <v>15.9592863356868</v>
      </c>
    </row>
    <row r="78" spans="1:14" x14ac:dyDescent="0.35">
      <c r="A78" s="2">
        <v>44033</v>
      </c>
      <c r="B78" s="3">
        <v>33.887406817797597</v>
      </c>
      <c r="C78" s="3">
        <v>19.277928953627999</v>
      </c>
      <c r="D78" s="3">
        <v>17.871728796650999</v>
      </c>
      <c r="E78" s="3">
        <v>19.171691114679799</v>
      </c>
      <c r="F78" s="3">
        <v>17.7005249615788</v>
      </c>
      <c r="G78" s="3">
        <v>20.225342898507598</v>
      </c>
      <c r="H78" s="3">
        <v>15.7969031699308</v>
      </c>
      <c r="I78" s="3">
        <v>29.189526361945799</v>
      </c>
      <c r="J78" s="3">
        <v>22.224420547486702</v>
      </c>
      <c r="K78" s="3">
        <v>20.347489109859701</v>
      </c>
      <c r="L78" s="3">
        <v>20.501242865436001</v>
      </c>
      <c r="M78" s="3">
        <v>17.973507486406898</v>
      </c>
      <c r="N78" s="3">
        <v>17.823312634552</v>
      </c>
    </row>
    <row r="79" spans="1:14" x14ac:dyDescent="0.35">
      <c r="A79" s="2">
        <v>44064</v>
      </c>
      <c r="B79" s="3">
        <v>34.215490619615501</v>
      </c>
      <c r="C79" s="3">
        <v>19.666549406842201</v>
      </c>
      <c r="D79" s="3">
        <v>18.257028307323001</v>
      </c>
      <c r="E79" s="3">
        <v>19.564985239148999</v>
      </c>
      <c r="F79" s="3">
        <v>18.439137880163798</v>
      </c>
      <c r="G79" s="3">
        <v>20.434942471615301</v>
      </c>
      <c r="H79" s="3">
        <v>16.225648052481699</v>
      </c>
      <c r="I79" s="3">
        <v>30.121257137467701</v>
      </c>
      <c r="J79" s="3">
        <v>22.976985954263998</v>
      </c>
      <c r="K79" s="3">
        <v>21.9642276667049</v>
      </c>
      <c r="L79" s="3">
        <v>20.890862822878699</v>
      </c>
      <c r="M79" s="3">
        <v>16.902174659289098</v>
      </c>
      <c r="N79" s="3">
        <v>17.513787399299598</v>
      </c>
    </row>
    <row r="80" spans="1:14" x14ac:dyDescent="0.35">
      <c r="A80" s="2">
        <v>44095</v>
      </c>
      <c r="B80" s="3">
        <v>32.856469154126899</v>
      </c>
      <c r="C80" s="3">
        <v>19.126943280531702</v>
      </c>
      <c r="D80" s="3">
        <v>18.079181002211701</v>
      </c>
      <c r="E80" s="3">
        <v>19.888273117100798</v>
      </c>
      <c r="F80" s="3">
        <v>19.969718120175301</v>
      </c>
      <c r="G80" s="3">
        <v>20.7010181387468</v>
      </c>
      <c r="H80" s="3">
        <v>16.430029298132201</v>
      </c>
      <c r="I80" s="3">
        <v>29.749976210044199</v>
      </c>
      <c r="J80" s="3">
        <v>22.954543291078501</v>
      </c>
      <c r="K80" s="3">
        <v>22.600790541676002</v>
      </c>
      <c r="L80" s="3">
        <v>21.1923441562876</v>
      </c>
      <c r="M80" s="3">
        <v>17.542565025468299</v>
      </c>
      <c r="N80" s="3">
        <v>17.817251932509301</v>
      </c>
    </row>
    <row r="81" spans="1:14" x14ac:dyDescent="0.35">
      <c r="A81" s="2">
        <v>44125</v>
      </c>
      <c r="B81" s="3">
        <v>35.2728982419804</v>
      </c>
      <c r="C81" s="3">
        <v>20.004876492054201</v>
      </c>
      <c r="D81" s="3">
        <v>18.675098730252799</v>
      </c>
      <c r="E81" s="3">
        <v>20.156279365679701</v>
      </c>
      <c r="F81" s="3">
        <v>20.661495343546001</v>
      </c>
      <c r="G81" s="3">
        <v>20.5498453782835</v>
      </c>
      <c r="H81" s="3">
        <v>16.795579373998098</v>
      </c>
      <c r="I81" s="3">
        <v>31.823575019816801</v>
      </c>
      <c r="J81" s="3">
        <v>24.160483269027999</v>
      </c>
      <c r="K81" s="3">
        <v>24.136324064764398</v>
      </c>
      <c r="L81" s="3">
        <v>22.4126319560187</v>
      </c>
      <c r="M81" s="3">
        <v>15.8029709175833</v>
      </c>
      <c r="N81" s="3">
        <v>18.833425821742701</v>
      </c>
    </row>
    <row r="82" spans="1:14" x14ac:dyDescent="0.35">
      <c r="A82" s="2">
        <v>44155</v>
      </c>
      <c r="B82" s="3">
        <v>35.242841104376701</v>
      </c>
      <c r="C82" s="3">
        <v>21.865635815039099</v>
      </c>
      <c r="D82" s="3">
        <v>19.481634388151399</v>
      </c>
      <c r="E82" s="3">
        <v>21.394292510823</v>
      </c>
      <c r="F82" s="3">
        <v>22.156580357248</v>
      </c>
      <c r="G82" s="3">
        <v>21.2507347465395</v>
      </c>
      <c r="H82" s="3">
        <v>18.488712114481299</v>
      </c>
      <c r="I82" s="3">
        <v>32.008681693146599</v>
      </c>
      <c r="J82" s="3">
        <v>24.735812872349999</v>
      </c>
      <c r="K82" s="3">
        <v>27.423567386749198</v>
      </c>
      <c r="L82" s="3">
        <v>24.8216131654215</v>
      </c>
      <c r="M82" s="3">
        <v>16.655004564293598</v>
      </c>
      <c r="N82" s="3">
        <v>21.831923468733901</v>
      </c>
    </row>
    <row r="83" spans="1:14" x14ac:dyDescent="0.35">
      <c r="A83" s="2">
        <v>44186</v>
      </c>
      <c r="B83" s="3">
        <v>36.436937204947398</v>
      </c>
      <c r="C83" s="3">
        <v>22.978065272991898</v>
      </c>
      <c r="D83" s="3">
        <v>20.2898828854306</v>
      </c>
      <c r="E83" s="3">
        <v>21.167395634222501</v>
      </c>
      <c r="F83" s="3">
        <v>23.067826526112999</v>
      </c>
      <c r="G83" s="3">
        <v>21.129185630406099</v>
      </c>
      <c r="H83" s="3">
        <v>19.143376121521801</v>
      </c>
      <c r="I83" s="3">
        <v>34.428515006203199</v>
      </c>
      <c r="J83" s="3">
        <v>26.747773026956299</v>
      </c>
      <c r="K83" s="3">
        <v>27.696285182794799</v>
      </c>
      <c r="L83" s="3">
        <v>26.3060020754825</v>
      </c>
      <c r="M83" s="3">
        <v>16.827979761342998</v>
      </c>
      <c r="N83" s="3">
        <v>22.2943802538928</v>
      </c>
    </row>
    <row r="84" spans="1:14" x14ac:dyDescent="0.35">
      <c r="A84" s="2">
        <v>44217</v>
      </c>
      <c r="B84" s="3">
        <v>37.5809811414574</v>
      </c>
      <c r="C84" s="3">
        <v>23.4648686691622</v>
      </c>
      <c r="D84" s="3">
        <v>20.948634529160799</v>
      </c>
      <c r="E84" s="3">
        <v>22.002637086651902</v>
      </c>
      <c r="F84" s="3">
        <v>23.870813151135899</v>
      </c>
      <c r="G84" s="3">
        <v>21.955280914481399</v>
      </c>
      <c r="H84" s="3">
        <v>20.130389822673902</v>
      </c>
      <c r="I84" s="3">
        <v>36.2287939759672</v>
      </c>
      <c r="J84" s="3">
        <v>27.582308409401801</v>
      </c>
      <c r="K84" s="3">
        <v>28.7283488090752</v>
      </c>
      <c r="L84" s="3">
        <v>28.508712029685</v>
      </c>
      <c r="M84" s="3">
        <v>18.4147949725186</v>
      </c>
      <c r="N84" s="3">
        <v>20.805435694790699</v>
      </c>
    </row>
    <row r="85" spans="1:14" x14ac:dyDescent="0.35">
      <c r="A85" s="2">
        <v>44246</v>
      </c>
      <c r="B85" s="3">
        <v>34.807820921787801</v>
      </c>
      <c r="C85" s="3">
        <v>22.446027971190201</v>
      </c>
      <c r="D85" s="3">
        <v>20.6256672929469</v>
      </c>
      <c r="E85" s="3">
        <v>21.172932842406201</v>
      </c>
      <c r="F85" s="3">
        <v>22.9368855950793</v>
      </c>
      <c r="G85" s="3">
        <v>20.9910030946766</v>
      </c>
      <c r="H85" s="3">
        <v>19.542214489889201</v>
      </c>
      <c r="I85" s="3">
        <v>34.859453411067101</v>
      </c>
      <c r="J85" s="3">
        <v>27.1050543452608</v>
      </c>
      <c r="K85" s="3">
        <v>28.001199081349299</v>
      </c>
      <c r="L85" s="3">
        <v>30.1029488642152</v>
      </c>
      <c r="M85" s="3">
        <v>17.7592371988911</v>
      </c>
      <c r="N85" s="3">
        <v>20.287855278177599</v>
      </c>
    </row>
    <row r="86" spans="1:14" x14ac:dyDescent="0.35">
      <c r="A86" s="2">
        <v>44274</v>
      </c>
      <c r="B86" s="3">
        <v>34.487589230675901</v>
      </c>
      <c r="C86" s="3">
        <v>21.4947469343916</v>
      </c>
      <c r="D86" s="3">
        <v>19.770442973707802</v>
      </c>
      <c r="E86" s="3">
        <v>20.143084694099102</v>
      </c>
      <c r="F86" s="3">
        <v>21.563745645458201</v>
      </c>
      <c r="G86" s="3">
        <v>20.464578423418399</v>
      </c>
      <c r="H86" s="3">
        <v>18.511174105903098</v>
      </c>
      <c r="I86" s="3">
        <v>32.608820186367502</v>
      </c>
      <c r="J86" s="3">
        <v>26.078934284065401</v>
      </c>
      <c r="K86" s="3">
        <v>26.611355143426302</v>
      </c>
      <c r="L86" s="3">
        <v>28.656455644895399</v>
      </c>
      <c r="M86" s="3">
        <v>17.9672481679189</v>
      </c>
      <c r="N86" s="3">
        <v>20.006596653336398</v>
      </c>
    </row>
    <row r="87" spans="1:14" x14ac:dyDescent="0.35">
      <c r="A87" s="2">
        <v>44307</v>
      </c>
      <c r="B87" s="3">
        <v>34.373854122700997</v>
      </c>
      <c r="C87" s="3">
        <v>21.1642713951011</v>
      </c>
      <c r="D87" s="3">
        <v>19.345116980355801</v>
      </c>
      <c r="E87" s="3">
        <v>19.677347696100099</v>
      </c>
      <c r="F87" s="3">
        <v>20.835637636293399</v>
      </c>
      <c r="G87" s="3">
        <v>20.592708127942402</v>
      </c>
      <c r="H87" s="3">
        <v>17.877596363092501</v>
      </c>
      <c r="I87" s="3">
        <v>32.813510709064403</v>
      </c>
      <c r="J87" s="3">
        <v>25.9127809069414</v>
      </c>
      <c r="K87" s="3">
        <v>25.7295544664447</v>
      </c>
      <c r="L87" s="3">
        <v>28.151379423926102</v>
      </c>
      <c r="M87" s="3">
        <v>18.058527791989899</v>
      </c>
      <c r="N87" s="3">
        <v>19.3219544461179</v>
      </c>
    </row>
    <row r="88" spans="1:14" x14ac:dyDescent="0.35">
      <c r="A88" s="2">
        <v>44337</v>
      </c>
      <c r="B88" s="3">
        <v>34.885187542185299</v>
      </c>
      <c r="C88" s="3">
        <v>20.680208992600502</v>
      </c>
      <c r="D88" s="3">
        <v>18.884187424017199</v>
      </c>
      <c r="E88" s="3">
        <v>18.934165677578001</v>
      </c>
      <c r="F88" s="3">
        <v>20.262564529921001</v>
      </c>
      <c r="G88" s="3">
        <v>20.4961917302033</v>
      </c>
      <c r="H88" s="3">
        <v>17.305842938982298</v>
      </c>
      <c r="I88" s="3">
        <v>31.447243131767401</v>
      </c>
      <c r="J88" s="3">
        <v>25.140130057724399</v>
      </c>
      <c r="K88" s="3">
        <v>24.803174236279801</v>
      </c>
      <c r="L88" s="3">
        <v>27.235159714458099</v>
      </c>
      <c r="M88" s="3">
        <v>17.561998180991999</v>
      </c>
      <c r="N88" s="3">
        <v>18.677306611085001</v>
      </c>
    </row>
    <row r="89" spans="1:14" x14ac:dyDescent="0.35">
      <c r="A89" s="2">
        <v>44368</v>
      </c>
      <c r="B89" s="3">
        <v>35.637997887995297</v>
      </c>
      <c r="C89" s="3">
        <v>20.262957660452098</v>
      </c>
      <c r="D89" s="3">
        <v>18.6014861645513</v>
      </c>
      <c r="E89" s="3">
        <v>18.5481850314866</v>
      </c>
      <c r="F89" s="3">
        <v>19.721236854309598</v>
      </c>
      <c r="G89" s="3">
        <v>20.9269041027421</v>
      </c>
      <c r="H89" s="3">
        <v>16.671076943940999</v>
      </c>
      <c r="I89" s="3">
        <v>31.5741501347519</v>
      </c>
      <c r="J89" s="3">
        <v>24.787859919388602</v>
      </c>
      <c r="K89" s="3">
        <v>24.101913230724001</v>
      </c>
      <c r="L89" s="3">
        <v>26.6993260419388</v>
      </c>
      <c r="M89" s="3">
        <v>17.923167302895699</v>
      </c>
      <c r="N89" s="3">
        <v>18.274772736350101</v>
      </c>
    </row>
    <row r="90" spans="1:14" x14ac:dyDescent="0.35">
      <c r="A90" s="2">
        <v>44398</v>
      </c>
      <c r="B90" s="3">
        <v>36.572668401901701</v>
      </c>
      <c r="C90" s="3">
        <v>19.2426337385455</v>
      </c>
      <c r="D90" s="3">
        <v>18.002071464761901</v>
      </c>
      <c r="E90" s="3">
        <v>17.774917594703499</v>
      </c>
      <c r="F90" s="3">
        <v>19.180618969697001</v>
      </c>
      <c r="G90" s="3">
        <v>20.847923373076998</v>
      </c>
      <c r="H90" s="3">
        <v>15.739027733287701</v>
      </c>
      <c r="I90" s="3">
        <v>31.9741778587494</v>
      </c>
      <c r="J90" s="3">
        <v>24.505884002026399</v>
      </c>
      <c r="K90" s="3">
        <v>22.706956826739201</v>
      </c>
      <c r="L90" s="3">
        <v>26.066408336571602</v>
      </c>
      <c r="M90" s="3">
        <v>17.747755955627198</v>
      </c>
      <c r="N90" s="3">
        <v>17.342543559195899</v>
      </c>
    </row>
    <row r="91" spans="1:14" x14ac:dyDescent="0.35">
      <c r="A91" s="2">
        <v>44428</v>
      </c>
      <c r="B91" s="3">
        <v>37.513929346078797</v>
      </c>
      <c r="C91" s="3">
        <v>18.961398806435799</v>
      </c>
      <c r="D91" s="3">
        <v>17.339344182118001</v>
      </c>
      <c r="E91" s="3">
        <v>17.076109704936201</v>
      </c>
      <c r="F91" s="3">
        <v>18.269892672749901</v>
      </c>
      <c r="G91" s="3">
        <v>21.1444491336879</v>
      </c>
      <c r="H91" s="3">
        <v>14.8867784515691</v>
      </c>
      <c r="I91" s="3">
        <v>31.167587254763799</v>
      </c>
      <c r="J91" s="3">
        <v>23.907710788558099</v>
      </c>
      <c r="K91" s="3">
        <v>21.296186106103701</v>
      </c>
      <c r="L91" s="3">
        <v>25.853684515290698</v>
      </c>
      <c r="M91" s="3">
        <v>17.416492125527199</v>
      </c>
      <c r="N91" s="3">
        <v>15.9500239046484</v>
      </c>
    </row>
    <row r="92" spans="1:14" x14ac:dyDescent="0.35">
      <c r="A92" s="2">
        <v>44460</v>
      </c>
      <c r="B92" s="3">
        <v>38.766335728729302</v>
      </c>
      <c r="C92" s="3">
        <v>18.4421285347346</v>
      </c>
      <c r="D92" s="3">
        <v>16.5937490888562</v>
      </c>
      <c r="E92" s="3">
        <v>16.210972129424999</v>
      </c>
      <c r="F92" s="3">
        <v>18.483098081006499</v>
      </c>
      <c r="G92" s="3">
        <v>20.412854829268401</v>
      </c>
      <c r="H92" s="3">
        <v>14.062685028804299</v>
      </c>
      <c r="I92" s="3">
        <v>30.802709187847299</v>
      </c>
      <c r="J92" s="3">
        <v>23.199698197587001</v>
      </c>
      <c r="K92" s="3">
        <v>20.149580562802601</v>
      </c>
      <c r="L92" s="3">
        <v>25.189781146820501</v>
      </c>
      <c r="M92" s="3">
        <v>17.0265187091141</v>
      </c>
      <c r="N92" s="3">
        <v>14.763770612803199</v>
      </c>
    </row>
    <row r="93" spans="1:14" x14ac:dyDescent="0.35">
      <c r="A93" s="2">
        <v>44490</v>
      </c>
      <c r="B93" s="3">
        <v>38.945649959812002</v>
      </c>
      <c r="C93" s="3">
        <v>18.8634203544533</v>
      </c>
      <c r="D93" s="3">
        <v>16.915227203612002</v>
      </c>
      <c r="E93" s="3">
        <v>15.757476264145</v>
      </c>
      <c r="F93" s="3">
        <v>17.6272167998277</v>
      </c>
      <c r="G93" s="3">
        <v>20.618388007190902</v>
      </c>
      <c r="H93" s="3">
        <v>13.758581210250799</v>
      </c>
      <c r="I93" s="3">
        <v>31.1287997390687</v>
      </c>
      <c r="J93" s="3">
        <v>23.350088992329901</v>
      </c>
      <c r="K93" s="3">
        <v>19.0080214188959</v>
      </c>
      <c r="L93" s="3">
        <v>24.687246168217101</v>
      </c>
      <c r="M93" s="3">
        <v>17.2747131403998</v>
      </c>
      <c r="N93" s="3">
        <v>14.3751723872062</v>
      </c>
    </row>
    <row r="94" spans="1:14" x14ac:dyDescent="0.35">
      <c r="A94" s="2">
        <v>44519</v>
      </c>
      <c r="B94" s="3">
        <v>38.586777863229202</v>
      </c>
      <c r="C94" s="3">
        <v>18.0880293186142</v>
      </c>
      <c r="D94" s="3">
        <v>16.3394647971549</v>
      </c>
      <c r="E94" s="3">
        <v>15.200600144133301</v>
      </c>
      <c r="F94" s="3">
        <v>17.454138039961901</v>
      </c>
      <c r="G94" s="3">
        <v>20.983559205476698</v>
      </c>
      <c r="H94" s="3">
        <v>13.007379608172</v>
      </c>
      <c r="I94" s="3">
        <v>32.466171726377503</v>
      </c>
      <c r="J94" s="3">
        <v>23.3653663745995</v>
      </c>
      <c r="K94" s="3">
        <v>18.4045798946043</v>
      </c>
      <c r="L94" s="3">
        <v>24.3320449228566</v>
      </c>
      <c r="M94" s="3">
        <v>16.740428893848801</v>
      </c>
      <c r="N94" s="3">
        <v>13.529206177760701</v>
      </c>
    </row>
    <row r="95" spans="1:14" x14ac:dyDescent="0.35">
      <c r="A95" s="2">
        <v>44551</v>
      </c>
      <c r="B95" s="3">
        <v>38.968733714747501</v>
      </c>
      <c r="C95" s="3">
        <v>17.641328926870301</v>
      </c>
      <c r="D95" s="3">
        <v>15.4313829899497</v>
      </c>
      <c r="E95" s="3">
        <v>13.9979411771341</v>
      </c>
      <c r="F95" s="3">
        <v>16.141166445481801</v>
      </c>
      <c r="G95" s="3">
        <v>21.173628126834998</v>
      </c>
      <c r="H95" s="3">
        <v>12.2970799338696</v>
      </c>
      <c r="I95" s="3">
        <v>31.336260418017801</v>
      </c>
      <c r="J95" s="3">
        <v>22.7919355086614</v>
      </c>
      <c r="K95" s="3">
        <v>17.082361220277601</v>
      </c>
      <c r="L95" s="3">
        <v>22.199604603023101</v>
      </c>
      <c r="M95" s="3">
        <v>16.213642330844099</v>
      </c>
      <c r="N95" s="3">
        <v>12.047690467871</v>
      </c>
    </row>
    <row r="96" spans="1:14" x14ac:dyDescent="0.35">
      <c r="A96" s="2">
        <v>44582</v>
      </c>
      <c r="B96" s="3">
        <v>37.113321683106903</v>
      </c>
      <c r="C96" s="3">
        <v>16.9738165590657</v>
      </c>
      <c r="D96" s="3">
        <v>14.9995068318366</v>
      </c>
      <c r="E96" s="3">
        <v>13.7881781790228</v>
      </c>
      <c r="F96" s="3">
        <v>15.4209168877479</v>
      </c>
      <c r="G96" s="3">
        <v>20.469588731854198</v>
      </c>
      <c r="H96" s="3">
        <v>12.5981269703659</v>
      </c>
      <c r="I96" s="3">
        <v>28.015653703207199</v>
      </c>
      <c r="J96" s="3">
        <v>21.265512397599998</v>
      </c>
      <c r="K96" s="3">
        <v>16.7186236943251</v>
      </c>
      <c r="L96" s="3">
        <v>20.982381556182201</v>
      </c>
      <c r="M96" s="3">
        <v>12.319351522450001</v>
      </c>
      <c r="N96" s="3">
        <v>11.981077337498199</v>
      </c>
    </row>
    <row r="97" spans="1:14" x14ac:dyDescent="0.35">
      <c r="A97" s="2">
        <v>44610</v>
      </c>
      <c r="B97" s="3">
        <v>36.1299188194238</v>
      </c>
      <c r="C97" s="3">
        <v>15.980679537818499</v>
      </c>
      <c r="D97" s="3">
        <v>15.191773736243</v>
      </c>
      <c r="E97" s="3">
        <v>13.2241279233914</v>
      </c>
      <c r="F97" s="3">
        <v>15.018753499669501</v>
      </c>
      <c r="G97" s="3">
        <v>18.397327573743901</v>
      </c>
      <c r="H97" s="3">
        <v>12.671769103258599</v>
      </c>
      <c r="I97" s="3">
        <v>26.3630434404004</v>
      </c>
      <c r="J97" s="3">
        <v>20.673985173500402</v>
      </c>
      <c r="K97" s="3">
        <v>16.104396683685</v>
      </c>
      <c r="L97" s="3">
        <v>18.928076187739499</v>
      </c>
      <c r="M97" s="3">
        <v>11.8513886681742</v>
      </c>
      <c r="N97" s="3">
        <v>11.5506029459094</v>
      </c>
    </row>
    <row r="98" spans="1:14" x14ac:dyDescent="0.35">
      <c r="A98" s="2">
        <v>44641</v>
      </c>
      <c r="B98" s="3">
        <v>35.103164213590503</v>
      </c>
      <c r="C98" s="3">
        <v>15.738134121955</v>
      </c>
      <c r="D98" s="3">
        <v>15.1536062297544</v>
      </c>
      <c r="E98" s="3">
        <v>12.4641196396287</v>
      </c>
      <c r="F98" s="3">
        <v>14.6030575247571</v>
      </c>
      <c r="G98" s="3">
        <v>18.567614985195402</v>
      </c>
      <c r="H98" s="3">
        <v>12.463861480342301</v>
      </c>
      <c r="I98" s="3">
        <v>26.6676907263491</v>
      </c>
      <c r="J98" s="3">
        <v>20.681509441275601</v>
      </c>
      <c r="K98" s="3">
        <v>15.3393421373632</v>
      </c>
      <c r="L98" s="3">
        <v>18.4548900822912</v>
      </c>
      <c r="M98" s="3">
        <v>12.0437193966499</v>
      </c>
      <c r="N98" s="3">
        <v>10.5423482660754</v>
      </c>
    </row>
    <row r="99" spans="1:14" x14ac:dyDescent="0.35">
      <c r="A99" s="2">
        <v>44672</v>
      </c>
      <c r="B99" s="3">
        <v>34.5500746426601</v>
      </c>
      <c r="C99" s="3">
        <v>15.6778744675602</v>
      </c>
      <c r="D99" s="3">
        <v>14.8572436060277</v>
      </c>
      <c r="E99" s="3">
        <v>12.415345072318701</v>
      </c>
      <c r="F99" s="3">
        <v>14.4846141376324</v>
      </c>
      <c r="G99" s="3">
        <v>18.6238353265753</v>
      </c>
      <c r="H99" s="3">
        <v>12.220561854000699</v>
      </c>
      <c r="I99" s="3">
        <v>26.203066900358699</v>
      </c>
      <c r="J99" s="3">
        <v>20.402256509009899</v>
      </c>
      <c r="K99" s="3">
        <v>15.105431134589701</v>
      </c>
      <c r="L99" s="3">
        <v>18.5603351030814</v>
      </c>
      <c r="M99" s="3">
        <v>12.3650759048654</v>
      </c>
      <c r="N99" s="3">
        <v>10.482664320551001</v>
      </c>
    </row>
    <row r="100" spans="1:14" x14ac:dyDescent="0.35">
      <c r="A100" s="2">
        <v>44701</v>
      </c>
      <c r="B100" s="3">
        <v>34.008950592465602</v>
      </c>
      <c r="C100" s="3">
        <v>15.0992256455987</v>
      </c>
      <c r="D100" s="3">
        <v>14.277230838389899</v>
      </c>
      <c r="E100" s="3">
        <v>12.016260019987699</v>
      </c>
      <c r="F100" s="3">
        <v>14.200022207790701</v>
      </c>
      <c r="G100" s="3">
        <v>18.008619248008799</v>
      </c>
      <c r="H100" s="3">
        <v>11.7162820563367</v>
      </c>
      <c r="I100" s="3">
        <v>24.900584135411499</v>
      </c>
      <c r="J100" s="3">
        <v>19.457952862081701</v>
      </c>
      <c r="K100" s="3">
        <v>14.3573730782993</v>
      </c>
      <c r="L100" s="3">
        <v>18.167194632593599</v>
      </c>
      <c r="M100" s="3">
        <v>13.3246919681464</v>
      </c>
      <c r="N100" s="3">
        <v>10.0914469490491</v>
      </c>
    </row>
    <row r="101" spans="1:14" x14ac:dyDescent="0.35">
      <c r="A101" s="2">
        <v>44733</v>
      </c>
      <c r="B101" s="3">
        <v>32.854367665204499</v>
      </c>
      <c r="C101" s="3">
        <v>14.1474824248736</v>
      </c>
      <c r="D101" s="3">
        <v>13.6397595592261</v>
      </c>
      <c r="E101" s="3">
        <v>11.6434735514359</v>
      </c>
      <c r="F101" s="3">
        <v>13.8751489086901</v>
      </c>
      <c r="G101" s="3">
        <v>17.382604076315801</v>
      </c>
      <c r="H101" s="3">
        <v>11.281701934901401</v>
      </c>
      <c r="I101" s="3">
        <v>24.2037066238133</v>
      </c>
      <c r="J101" s="3">
        <v>18.7952928366485</v>
      </c>
      <c r="K101" s="3">
        <v>13.7298162653163</v>
      </c>
      <c r="L101" s="3">
        <v>17.847666094200498</v>
      </c>
      <c r="M101" s="3">
        <v>13.2563379392576</v>
      </c>
      <c r="N101" s="3">
        <v>9.5186233549223402</v>
      </c>
    </row>
    <row r="102" spans="1:14" x14ac:dyDescent="0.35">
      <c r="A102" s="2">
        <v>44763</v>
      </c>
      <c r="B102" s="3">
        <v>33.134187915617701</v>
      </c>
      <c r="C102" s="3">
        <v>14.3384492756489</v>
      </c>
      <c r="D102" s="3">
        <v>13.221487695406701</v>
      </c>
      <c r="E102" s="3">
        <v>11.4939230443404</v>
      </c>
      <c r="F102" s="3">
        <v>14.023507101866899</v>
      </c>
      <c r="G102" s="3">
        <v>17.8928681709572</v>
      </c>
      <c r="H102" s="3">
        <v>10.9623231101553</v>
      </c>
      <c r="I102" s="3">
        <v>25.039628251008899</v>
      </c>
      <c r="J102" s="3">
        <v>19.031175888771902</v>
      </c>
      <c r="K102" s="3">
        <v>13.438820870579599</v>
      </c>
      <c r="L102" s="3">
        <v>19.212612242991501</v>
      </c>
      <c r="M102" s="3">
        <v>14.237701619452</v>
      </c>
      <c r="N102" s="3">
        <v>9.0226284510749899</v>
      </c>
    </row>
    <row r="103" spans="1:14" x14ac:dyDescent="0.35">
      <c r="A103" s="2">
        <v>44792</v>
      </c>
      <c r="B103" s="3">
        <v>34.148009169552203</v>
      </c>
      <c r="C103" s="3">
        <v>14.580482841744001</v>
      </c>
      <c r="D103" s="3">
        <v>13.270661452803299</v>
      </c>
      <c r="E103" s="3">
        <v>11.1327435229559</v>
      </c>
      <c r="F103" s="3">
        <v>14.0611715950964</v>
      </c>
      <c r="G103" s="3">
        <v>18.262038779766002</v>
      </c>
      <c r="H103" s="3">
        <v>10.7065616381169</v>
      </c>
      <c r="I103" s="3">
        <v>26.036669780706202</v>
      </c>
      <c r="J103" s="3">
        <v>19.524358225745999</v>
      </c>
      <c r="K103" s="3">
        <v>13.0585470825046</v>
      </c>
      <c r="L103" s="3">
        <v>19.4098674091634</v>
      </c>
      <c r="M103" s="3">
        <v>14.879000571073201</v>
      </c>
      <c r="N103" s="3">
        <v>8.6160113635166606</v>
      </c>
    </row>
    <row r="104" spans="1:14" x14ac:dyDescent="0.35">
      <c r="A104" s="2">
        <v>44825</v>
      </c>
      <c r="B104" s="3">
        <v>33.147034646598698</v>
      </c>
      <c r="C104" s="3">
        <v>13.6790899680378</v>
      </c>
      <c r="D104" s="3">
        <v>12.575473077961499</v>
      </c>
      <c r="E104" s="3">
        <v>10.586688164999099</v>
      </c>
      <c r="F104" s="3">
        <v>13.4684320821897</v>
      </c>
      <c r="G104" s="3">
        <v>17.348774489065502</v>
      </c>
      <c r="H104" s="3">
        <v>9.9534715220780008</v>
      </c>
      <c r="I104" s="3">
        <v>23.7050766770198</v>
      </c>
      <c r="J104" s="3">
        <v>18.0125917629186</v>
      </c>
      <c r="K104" s="3">
        <v>12.05151090307</v>
      </c>
      <c r="L104" s="3">
        <v>17.969973561959399</v>
      </c>
      <c r="M104" s="3">
        <v>14.4479143468901</v>
      </c>
      <c r="N104" s="3">
        <v>8.3562500838856604</v>
      </c>
    </row>
    <row r="105" spans="1:14" x14ac:dyDescent="0.35">
      <c r="A105" s="2">
        <v>44855</v>
      </c>
      <c r="B105" s="3">
        <v>30.764367520078199</v>
      </c>
      <c r="C105" s="3">
        <v>13.212638209123901</v>
      </c>
      <c r="D105" s="3">
        <v>12.2845264544013</v>
      </c>
      <c r="E105" s="3">
        <v>10.2603412325875</v>
      </c>
      <c r="F105" s="3">
        <v>13.0453337959141</v>
      </c>
      <c r="G105" s="3">
        <v>17.2248937182246</v>
      </c>
      <c r="H105" s="3">
        <v>9.3990562803387707</v>
      </c>
      <c r="I105" s="3">
        <v>23.029527545226301</v>
      </c>
      <c r="J105" s="3">
        <v>17.675357506669901</v>
      </c>
      <c r="K105" s="3">
        <v>11.5846850184844</v>
      </c>
      <c r="L105" s="3">
        <v>17.471936178870902</v>
      </c>
      <c r="M105" s="3">
        <v>15.0415437833427</v>
      </c>
      <c r="N105" s="3">
        <v>7.9861654841046299</v>
      </c>
    </row>
    <row r="106" spans="1:14" x14ac:dyDescent="0.35">
      <c r="A106" s="2">
        <v>44886</v>
      </c>
      <c r="B106" s="3">
        <v>30.522483942815001</v>
      </c>
      <c r="C106" s="3">
        <v>14.0566645317503</v>
      </c>
      <c r="D106" s="3">
        <v>12.573379827117501</v>
      </c>
      <c r="E106" s="3">
        <v>11.088459421790199</v>
      </c>
      <c r="F106" s="3">
        <v>13.512624354235699</v>
      </c>
      <c r="G106" s="3">
        <v>19.551290697395402</v>
      </c>
      <c r="H106" s="3">
        <v>9.6342863153864293</v>
      </c>
      <c r="I106" s="3">
        <v>23.375684746820301</v>
      </c>
      <c r="J106" s="3">
        <v>18.2115012245523</v>
      </c>
      <c r="K106" s="3">
        <v>12.0819170697603</v>
      </c>
      <c r="L106" s="3">
        <v>18.376850817811899</v>
      </c>
      <c r="M106" s="3">
        <v>14.0429412135388</v>
      </c>
      <c r="N106" s="3">
        <v>8.2046796372778701</v>
      </c>
    </row>
    <row r="107" spans="1:14" x14ac:dyDescent="0.35">
      <c r="A107" s="2">
        <v>44916</v>
      </c>
      <c r="B107" s="3">
        <v>29.162927575569999</v>
      </c>
      <c r="C107" s="3">
        <v>14.140903092151101</v>
      </c>
      <c r="D107" s="3">
        <v>12.23947299598</v>
      </c>
      <c r="E107" s="3">
        <v>10.617461203384901</v>
      </c>
      <c r="F107" s="3">
        <v>12.8630243111441</v>
      </c>
      <c r="G107" s="3">
        <v>20.239542868891899</v>
      </c>
      <c r="H107" s="3">
        <v>9.7152591414686</v>
      </c>
      <c r="I107" s="3">
        <v>23.407872132105101</v>
      </c>
      <c r="J107" s="3">
        <v>17.691539789649699</v>
      </c>
      <c r="K107" s="3">
        <v>11.776441507763</v>
      </c>
      <c r="L107" s="3">
        <v>18.165361927863199</v>
      </c>
      <c r="M107" s="3">
        <v>15.5034841677261</v>
      </c>
      <c r="N107" s="3">
        <v>7.5526425409364597</v>
      </c>
    </row>
    <row r="108" spans="1:14" x14ac:dyDescent="0.35">
      <c r="A108" s="2">
        <v>44946</v>
      </c>
      <c r="B108" s="3">
        <v>30.039954002368699</v>
      </c>
      <c r="C108" s="3">
        <v>14.7631597650033</v>
      </c>
      <c r="D108" s="3">
        <v>12.739230066573199</v>
      </c>
      <c r="E108" s="3">
        <v>11.3054562444387</v>
      </c>
      <c r="F108" s="3">
        <v>13.060225976578799</v>
      </c>
      <c r="G108" s="3">
        <v>21.157960316536801</v>
      </c>
      <c r="H108" s="3">
        <v>10.205065963585</v>
      </c>
      <c r="I108" s="3">
        <v>24.082749551030599</v>
      </c>
      <c r="J108" s="3">
        <v>18.038201718176001</v>
      </c>
      <c r="K108" s="3">
        <v>12.6476484620259</v>
      </c>
      <c r="L108" s="3">
        <v>19.278748986552198</v>
      </c>
      <c r="M108" s="3">
        <v>22.814980104369202</v>
      </c>
      <c r="N108" s="3">
        <v>7.9833647815670901</v>
      </c>
    </row>
    <row r="109" spans="1:14" x14ac:dyDescent="0.35">
      <c r="A109" s="2">
        <v>44978</v>
      </c>
      <c r="B109" s="3">
        <v>29.201309482243499</v>
      </c>
      <c r="C109" s="3">
        <v>14.5287549971057</v>
      </c>
      <c r="D109" s="3">
        <v>12.6012135187464</v>
      </c>
      <c r="E109" s="3">
        <v>11.584223618469601</v>
      </c>
      <c r="F109" s="3">
        <v>13.558819866719301</v>
      </c>
      <c r="G109" s="3">
        <v>21.338820956468702</v>
      </c>
      <c r="H109" s="3">
        <v>10.4288491829256</v>
      </c>
      <c r="I109" s="3">
        <v>25.089743768122901</v>
      </c>
      <c r="J109" s="3">
        <v>18.147187942093801</v>
      </c>
      <c r="K109" s="3">
        <v>12.9691209412146</v>
      </c>
      <c r="L109" s="3">
        <v>21.019714003997599</v>
      </c>
      <c r="M109" s="3">
        <v>25.841642111590598</v>
      </c>
      <c r="N109" s="3">
        <v>8.3418694404970406</v>
      </c>
    </row>
    <row r="110" spans="1:14" x14ac:dyDescent="0.35">
      <c r="A110" s="2">
        <v>45006</v>
      </c>
      <c r="B110" s="3">
        <v>28.9230531276996</v>
      </c>
      <c r="C110" s="3">
        <v>14.123818329542299</v>
      </c>
      <c r="D110" s="3">
        <v>12.546305234612101</v>
      </c>
      <c r="E110" s="3">
        <v>11.306199302782799</v>
      </c>
      <c r="F110" s="3">
        <v>13.541646514831401</v>
      </c>
      <c r="G110" s="3">
        <v>20.408751259074201</v>
      </c>
      <c r="H110" s="3">
        <v>10.1830989865402</v>
      </c>
      <c r="I110" s="3">
        <v>25.452471375929399</v>
      </c>
      <c r="J110" s="3">
        <v>18.0755901154564</v>
      </c>
      <c r="K110" s="3">
        <v>12.888402489881299</v>
      </c>
      <c r="L110" s="3">
        <v>20.3316598931324</v>
      </c>
      <c r="M110" s="3">
        <v>24.756151048021501</v>
      </c>
      <c r="N110" s="3">
        <v>8.250688898181</v>
      </c>
    </row>
    <row r="111" spans="1:14" x14ac:dyDescent="0.35">
      <c r="A111" s="2">
        <v>45037</v>
      </c>
      <c r="B111" s="3">
        <v>28.547342743647398</v>
      </c>
      <c r="C111" s="3">
        <v>14.3444408904695</v>
      </c>
      <c r="D111" s="3">
        <v>12.824578536270501</v>
      </c>
      <c r="E111" s="3">
        <v>11.4441763888659</v>
      </c>
      <c r="F111" s="3">
        <v>13.7173163953491</v>
      </c>
      <c r="G111" s="3">
        <v>20.421635633208201</v>
      </c>
      <c r="H111" s="3">
        <v>10.420353582686801</v>
      </c>
      <c r="I111" s="3">
        <v>25.644978764985002</v>
      </c>
      <c r="J111" s="3">
        <v>18.305530179271699</v>
      </c>
      <c r="K111" s="3">
        <v>13.2335953599743</v>
      </c>
      <c r="L111" s="3">
        <v>20.0067767521486</v>
      </c>
      <c r="M111" s="3">
        <v>23.6412464928326</v>
      </c>
      <c r="N111" s="3">
        <v>8.4110242139440103</v>
      </c>
    </row>
    <row r="112" spans="1:14" x14ac:dyDescent="0.35">
      <c r="A112" s="2">
        <v>45065</v>
      </c>
      <c r="B112" s="3">
        <v>28.209388955071201</v>
      </c>
      <c r="C112" s="3">
        <v>14.374636714882699</v>
      </c>
      <c r="D112" s="3">
        <v>12.864921035559499</v>
      </c>
      <c r="E112" s="3">
        <v>11.378175482360801</v>
      </c>
      <c r="F112" s="3">
        <v>14.0874358683349</v>
      </c>
      <c r="G112" s="3">
        <v>20.1154599974214</v>
      </c>
      <c r="H112" s="3">
        <v>10.347244303883601</v>
      </c>
      <c r="I112" s="3">
        <v>26.089949434142401</v>
      </c>
      <c r="J112" s="3">
        <v>18.4261548189411</v>
      </c>
      <c r="K112" s="3">
        <v>13.220903407587899</v>
      </c>
      <c r="L112" s="3">
        <v>19.6481964928719</v>
      </c>
      <c r="M112" s="3">
        <v>22.582440250819602</v>
      </c>
      <c r="N112" s="3">
        <v>8.2900391325257807</v>
      </c>
    </row>
    <row r="113" spans="1:25" x14ac:dyDescent="0.35">
      <c r="A113" s="2">
        <v>45098</v>
      </c>
      <c r="B113" s="3">
        <v>26.179347475576499</v>
      </c>
      <c r="C113" s="3">
        <v>14.682272238351899</v>
      </c>
      <c r="D113" s="3">
        <v>12.8667040963178</v>
      </c>
      <c r="E113" s="3">
        <v>11.234152517615801</v>
      </c>
      <c r="F113" s="3">
        <v>14.5668630142262</v>
      </c>
      <c r="G113" s="3">
        <v>19.294633300606002</v>
      </c>
      <c r="H113" s="3">
        <v>10.334888241109899</v>
      </c>
      <c r="I113" s="3">
        <v>26.895562944241</v>
      </c>
      <c r="J113" s="3">
        <v>18.878336236280099</v>
      </c>
      <c r="K113" s="3">
        <v>13.180744820407201</v>
      </c>
      <c r="L113" s="3">
        <v>19.151064568286699</v>
      </c>
      <c r="M113" s="3">
        <v>21.178392336601298</v>
      </c>
      <c r="N113" s="3">
        <v>8.4996830042203495</v>
      </c>
    </row>
    <row r="114" spans="1:25" x14ac:dyDescent="0.35">
      <c r="A114" s="2">
        <v>45128</v>
      </c>
      <c r="B114" s="3">
        <v>25.5269573344851</v>
      </c>
      <c r="C114" s="3">
        <v>14.922463660566301</v>
      </c>
      <c r="D114" s="3">
        <v>13.459815214344699</v>
      </c>
      <c r="E114" s="3">
        <v>11.318513011184001</v>
      </c>
      <c r="F114" s="3">
        <v>14.5296371041192</v>
      </c>
      <c r="G114" s="3">
        <v>19.205184099684399</v>
      </c>
      <c r="H114" s="3">
        <v>10.5727313332613</v>
      </c>
      <c r="I114" s="3">
        <v>27.751416064042498</v>
      </c>
      <c r="J114" s="3">
        <v>19.570418422504599</v>
      </c>
      <c r="K114" s="3">
        <v>13.443643096921299</v>
      </c>
      <c r="L114" s="3">
        <v>19.0301014204321</v>
      </c>
      <c r="M114" s="3">
        <v>19.838021072486601</v>
      </c>
      <c r="N114" s="3">
        <v>8.7101932165557603</v>
      </c>
    </row>
    <row r="115" spans="1:25" x14ac:dyDescent="0.35">
      <c r="A115" s="2">
        <v>45159</v>
      </c>
      <c r="B115" s="3">
        <v>24.3440782146453</v>
      </c>
      <c r="C115" s="3">
        <v>14.6825494159432</v>
      </c>
      <c r="D115" s="3">
        <v>13.259872055545999</v>
      </c>
      <c r="E115" s="3">
        <v>11.096623661489399</v>
      </c>
      <c r="F115" s="3">
        <v>14.3865930891531</v>
      </c>
      <c r="G115" s="3">
        <v>18.6227346296834</v>
      </c>
      <c r="H115" s="3">
        <v>10.3202108919414</v>
      </c>
      <c r="I115" s="3">
        <v>26.248142278829601</v>
      </c>
      <c r="J115" s="3">
        <v>19.2166225973093</v>
      </c>
      <c r="K115" s="3">
        <v>13.139188957335699</v>
      </c>
      <c r="L115" s="3">
        <v>17.8225497539994</v>
      </c>
      <c r="M115" s="3">
        <v>18.0547692468249</v>
      </c>
      <c r="N115" s="3">
        <v>8.1587182472073305</v>
      </c>
    </row>
    <row r="116" spans="1:25" x14ac:dyDescent="0.35">
      <c r="A116" s="2">
        <v>45190</v>
      </c>
      <c r="B116" s="3">
        <v>23.849420285727099</v>
      </c>
      <c r="C116" s="3">
        <v>14.850731512853701</v>
      </c>
      <c r="D116" s="3">
        <v>13.3957645739372</v>
      </c>
      <c r="E116" s="3">
        <v>11.155877254041901</v>
      </c>
      <c r="F116" s="3">
        <v>15.0821391180297</v>
      </c>
      <c r="G116" s="3">
        <v>18.686743552933098</v>
      </c>
      <c r="H116" s="3">
        <v>10.6813178954995</v>
      </c>
      <c r="I116" s="3">
        <v>25.891797922116101</v>
      </c>
      <c r="J116" s="3">
        <v>19.156956885811901</v>
      </c>
      <c r="K116" s="3">
        <v>13.1232524504571</v>
      </c>
      <c r="L116" s="3">
        <v>16.9567149647843</v>
      </c>
      <c r="M116" s="3">
        <v>17.094653060925499</v>
      </c>
      <c r="N116" s="3">
        <v>8.3639388359626494</v>
      </c>
    </row>
    <row r="117" spans="1:25" x14ac:dyDescent="0.35">
      <c r="A117" s="2">
        <v>45219</v>
      </c>
      <c r="B117" s="3">
        <v>22.756372275695</v>
      </c>
      <c r="C117" s="3">
        <v>14.520898388078299</v>
      </c>
      <c r="D117" s="3">
        <v>13.1021039589462</v>
      </c>
      <c r="E117" s="3">
        <v>10.696415690830699</v>
      </c>
      <c r="F117" s="3">
        <v>14.524412854757299</v>
      </c>
      <c r="G117" s="3">
        <v>17.6759875814715</v>
      </c>
      <c r="H117" s="3">
        <v>10.367249956438901</v>
      </c>
      <c r="I117" s="3">
        <v>25.7864625580251</v>
      </c>
      <c r="J117" s="3">
        <v>18.975388887828899</v>
      </c>
      <c r="K117" s="3">
        <v>12.501385630273401</v>
      </c>
      <c r="L117" s="3">
        <v>15.809524450443799</v>
      </c>
      <c r="M117" s="3">
        <v>16.271654836905299</v>
      </c>
      <c r="N117" s="3">
        <v>7.9914194464854802</v>
      </c>
    </row>
    <row r="118" spans="1:25" x14ac:dyDescent="0.35">
      <c r="A118" s="2">
        <v>45251</v>
      </c>
      <c r="B118" s="3">
        <v>22.209829788114298</v>
      </c>
      <c r="C118" s="3">
        <v>15.151311517526601</v>
      </c>
      <c r="D118" s="3">
        <v>13.721108040743999</v>
      </c>
      <c r="E118" s="3">
        <v>11.3702178911901</v>
      </c>
      <c r="F118" s="3">
        <v>15.1993086139295</v>
      </c>
      <c r="G118" s="3">
        <v>17.948789019044298</v>
      </c>
      <c r="H118" s="3">
        <v>10.7358182777769</v>
      </c>
      <c r="I118" s="3">
        <v>27.673960156555101</v>
      </c>
      <c r="J118" s="3">
        <v>20.2975992875825</v>
      </c>
      <c r="K118" s="3">
        <v>13.253802717789799</v>
      </c>
      <c r="L118" s="3">
        <v>16.447531077963099</v>
      </c>
      <c r="M118" s="3">
        <v>15.7297446555734</v>
      </c>
      <c r="N118" s="3">
        <v>8.2091880721189092</v>
      </c>
    </row>
    <row r="119" spans="1:25" x14ac:dyDescent="0.35">
      <c r="A119" s="2">
        <v>45281</v>
      </c>
      <c r="B119" s="3">
        <v>23.909380684285701</v>
      </c>
      <c r="C119" s="3">
        <v>16.303377479306</v>
      </c>
      <c r="D119" s="3">
        <v>14.404610844039601</v>
      </c>
      <c r="E119" s="3">
        <v>11.895539982303101</v>
      </c>
      <c r="F119" s="3">
        <v>15.0283568237073</v>
      </c>
      <c r="G119" s="3">
        <v>18.358412090640201</v>
      </c>
      <c r="H119" s="3">
        <v>11.185928987282701</v>
      </c>
      <c r="I119" s="3">
        <v>28.9876419007017</v>
      </c>
      <c r="J119" s="3">
        <v>21.536146575997201</v>
      </c>
      <c r="K119" s="3">
        <v>14.0610826466158</v>
      </c>
      <c r="L119" s="3">
        <v>16.812716070711499</v>
      </c>
      <c r="M119" s="3">
        <v>18.029430287772499</v>
      </c>
      <c r="N119" s="3">
        <v>8.8222932804395597</v>
      </c>
    </row>
    <row r="120" spans="1:25" x14ac:dyDescent="0.35">
      <c r="A120" s="2">
        <v>45310</v>
      </c>
      <c r="B120" s="3">
        <v>23.057316912388199</v>
      </c>
      <c r="C120" s="3">
        <v>16.024109520586599</v>
      </c>
      <c r="D120" s="3">
        <v>14.5722441977082</v>
      </c>
      <c r="E120" s="3">
        <v>11.748590764801699</v>
      </c>
      <c r="F120" s="3">
        <v>16.329058038918902</v>
      </c>
      <c r="G120" s="3">
        <v>18.1743086686335</v>
      </c>
      <c r="H120" s="3">
        <v>10.9723282872387</v>
      </c>
      <c r="I120" s="3">
        <v>29.8138622575296</v>
      </c>
      <c r="J120" s="3">
        <v>22.099697138021799</v>
      </c>
      <c r="K120" s="3">
        <v>13.9177521097754</v>
      </c>
      <c r="L120" s="3">
        <v>16.439795920917899</v>
      </c>
      <c r="M120" s="3">
        <v>14.5586857918696</v>
      </c>
      <c r="N120" s="3">
        <v>8.9717098583483406</v>
      </c>
    </row>
    <row r="121" spans="1:25" x14ac:dyDescent="0.35">
      <c r="A121" s="2">
        <v>45343</v>
      </c>
      <c r="B121" s="3">
        <v>22.6861068490424</v>
      </c>
      <c r="C121" s="3">
        <v>16.496869119885599</v>
      </c>
      <c r="D121" s="3">
        <v>14.700675965834201</v>
      </c>
      <c r="E121" s="3">
        <v>12.154933158326701</v>
      </c>
      <c r="F121" s="3">
        <v>16.729855839792101</v>
      </c>
      <c r="G121" s="3">
        <v>19.161454218125499</v>
      </c>
      <c r="H121" s="3">
        <v>11.487219867734799</v>
      </c>
      <c r="I121" s="3">
        <v>29.5268056373639</v>
      </c>
      <c r="J121" s="3">
        <v>22.318183771100099</v>
      </c>
      <c r="K121" s="3">
        <v>15.2564053979123</v>
      </c>
      <c r="L121" s="3">
        <v>17.565205420057399</v>
      </c>
      <c r="M121" s="3">
        <v>15.649131143969401</v>
      </c>
      <c r="N121" s="3">
        <v>9.1783936225235294</v>
      </c>
    </row>
    <row r="122" spans="1:25" x14ac:dyDescent="0.35">
      <c r="A122" s="2">
        <v>45369</v>
      </c>
      <c r="B122" s="3">
        <v>23.832044192256198</v>
      </c>
      <c r="C122" s="3">
        <v>16.581728379974098</v>
      </c>
      <c r="D122" s="3">
        <v>14.9217474554776</v>
      </c>
      <c r="E122" s="3">
        <v>12.522056993248601</v>
      </c>
      <c r="F122" s="3">
        <v>17.0021287414603</v>
      </c>
      <c r="G122" s="3">
        <v>19.179017031434402</v>
      </c>
      <c r="H122" s="3">
        <v>11.4532600335288</v>
      </c>
      <c r="I122" s="3">
        <v>30.170207987587101</v>
      </c>
      <c r="J122" s="3">
        <v>22.776103071340099</v>
      </c>
      <c r="K122" s="3">
        <v>15.5169805208676</v>
      </c>
      <c r="L122" s="3">
        <v>18.445062057277099</v>
      </c>
      <c r="M122" s="3">
        <v>16.0200264808988</v>
      </c>
      <c r="N122" s="3">
        <v>9.4535235431802604</v>
      </c>
    </row>
    <row r="124" spans="1:25" x14ac:dyDescent="0.35">
      <c r="A124" s="2" t="s">
        <v>91</v>
      </c>
      <c r="B124" s="3" cm="1">
        <f t="array" ref="B124">MIN(_xlfn._xlws.FILTER(B1:B122, ISNUMBER(B1:B122)))</f>
        <v>17.7643404554934</v>
      </c>
      <c r="C124" s="3" cm="1">
        <f t="array" ref="C124">MIN(_xlfn._xlws.FILTER(C1:C122, ISNUMBER(C1:C122)))</f>
        <v>13.212638209123901</v>
      </c>
      <c r="D124" s="3" cm="1">
        <f t="array" ref="D124">MIN(_xlfn._xlws.FILTER(D1:D122, ISNUMBER(D1:D122)))</f>
        <v>12.23947299598</v>
      </c>
      <c r="E124" s="3" cm="1">
        <f t="array" ref="E124">MIN(_xlfn._xlws.FILTER(E1:E122, ISNUMBER(E1:E122)))</f>
        <v>10.2603412325875</v>
      </c>
      <c r="F124" s="3" cm="1">
        <f t="array" ref="F124">MIN(_xlfn._xlws.FILTER(F1:F122, ISNUMBER(F1:F122)))</f>
        <v>11.524981961317</v>
      </c>
      <c r="G124" s="3" cm="1">
        <f t="array" ref="G124">MIN(_xlfn._xlws.FILTER(G1:G122, ISNUMBER(G1:G122)))</f>
        <v>15.980183604817199</v>
      </c>
      <c r="H124" s="3" cm="1">
        <f t="array" ref="H124">MIN(_xlfn._xlws.FILTER(H1:H122, ISNUMBER(H1:H122)))</f>
        <v>9.3990562803387707</v>
      </c>
      <c r="I124" s="3" cm="1">
        <f t="array" ref="I124">MIN(_xlfn._xlws.FILTER(I1:I122, ISNUMBER(I1:I122)))</f>
        <v>18.074765152587101</v>
      </c>
      <c r="J124" s="3" cm="1">
        <f t="array" ref="J124">MIN(_xlfn._xlws.FILTER(J1:J122, ISNUMBER(J1:J122)))</f>
        <v>15.0645704519365</v>
      </c>
      <c r="K124" s="3" cm="1">
        <f t="array" ref="K124">MIN(_xlfn._xlws.FILTER(K1:K122, ISNUMBER(K1:K122)))</f>
        <v>11.5846850184844</v>
      </c>
      <c r="L124" s="3" cm="1">
        <f t="array" ref="L124">MIN(_xlfn._xlws.FILTER(L1:L122, ISNUMBER(L1:L122)))</f>
        <v>14.215783463117999</v>
      </c>
      <c r="M124" s="3" cm="1">
        <f t="array" ref="M124">MIN(_xlfn._xlws.FILTER(M1:M122, ISNUMBER(M1:M122)))</f>
        <v>11.8513886681742</v>
      </c>
      <c r="N124" s="3" cm="1">
        <f t="array" ref="N124">MIN(_xlfn._xlws.FILTER(N1:N122, ISNUMBER(N1:N122)))</f>
        <v>7.5526425409364597</v>
      </c>
    </row>
    <row r="125" spans="1:25" x14ac:dyDescent="0.35">
      <c r="A125" s="2" t="s">
        <v>92</v>
      </c>
      <c r="B125" s="3" cm="1">
        <f t="array" ref="B125">MAX(_xlfn._xlws.FILTER(B1:B122, ISNUMBER(B1:B122)))</f>
        <v>38.968733714747501</v>
      </c>
      <c r="C125" s="3" cm="1">
        <f t="array" ref="C125">MAX(_xlfn._xlws.FILTER(C1:C122, ISNUMBER(C1:C122)))</f>
        <v>23.4648686691622</v>
      </c>
      <c r="D125" s="3" cm="1">
        <f t="array" ref="D125">MAX(_xlfn._xlws.FILTER(D1:D122, ISNUMBER(D1:D122)))</f>
        <v>20.948634529160799</v>
      </c>
      <c r="E125" s="3" cm="1">
        <f t="array" ref="E125">MAX(_xlfn._xlws.FILTER(E1:E122, ISNUMBER(E1:E122)))</f>
        <v>22.002637086651902</v>
      </c>
      <c r="F125" s="3" cm="1">
        <f t="array" ref="F125">MAX(_xlfn._xlws.FILTER(F1:F122, ISNUMBER(F1:F122)))</f>
        <v>23.870813151135899</v>
      </c>
      <c r="G125" s="3" cm="1">
        <f t="array" ref="G125">MAX(_xlfn._xlws.FILTER(G1:G122, ISNUMBER(G1:G122)))</f>
        <v>21.955280914481399</v>
      </c>
      <c r="H125" s="3" cm="1">
        <f t="array" ref="H125">MAX(_xlfn._xlws.FILTER(H1:H122, ISNUMBER(H1:H122)))</f>
        <v>20.130389822673902</v>
      </c>
      <c r="I125" s="3" cm="1">
        <f t="array" ref="I125">MAX(_xlfn._xlws.FILTER(I1:I122, ISNUMBER(I1:I122)))</f>
        <v>36.2287939759672</v>
      </c>
      <c r="J125" s="3" cm="1">
        <f t="array" ref="J125">MAX(_xlfn._xlws.FILTER(J1:J122, ISNUMBER(J1:J122)))</f>
        <v>27.582308409401801</v>
      </c>
      <c r="K125" s="3" cm="1">
        <f t="array" ref="K125">MAX(_xlfn._xlws.FILTER(K1:K122, ISNUMBER(K1:K122)))</f>
        <v>28.7283488090752</v>
      </c>
      <c r="L125" s="3" cm="1">
        <f t="array" ref="L125">MAX(_xlfn._xlws.FILTER(L1:L122, ISNUMBER(L1:L122)))</f>
        <v>30.1029488642152</v>
      </c>
      <c r="M125" s="3" cm="1">
        <f t="array" ref="M125">MAX(_xlfn._xlws.FILTER(M1:M122, ISNUMBER(M1:M122)))</f>
        <v>25.841642111590598</v>
      </c>
      <c r="N125" s="3" cm="1">
        <f t="array" ref="N125">MAX(_xlfn._xlws.FILTER(N1:N122, ISNUMBER(N1:N122)))</f>
        <v>81.123868184271501</v>
      </c>
    </row>
    <row r="127" spans="1:25" x14ac:dyDescent="0.35">
      <c r="A127" s="2" t="s">
        <v>93</v>
      </c>
      <c r="B127" s="9" cm="1">
        <f t="array" ref="B127">_xlfn.PERCENTRANK.EXC(_xlfn._xlws.FILTER(B1:B122, ISNUMBER(B1:B122)),B121)</f>
        <v>0.45900000000000002</v>
      </c>
      <c r="C127" s="9" cm="1">
        <f t="array" ref="C127">_xlfn.PERCENTRANK.EXC(_xlfn._xlws.FILTER(C1:C122, ISNUMBER(C1:C122)),C121)</f>
        <v>0.622</v>
      </c>
      <c r="D127" s="9" cm="1">
        <f t="array" ref="D127">_xlfn.PERCENTRANK.EXC(_xlfn._xlws.FILTER(D1:D122, ISNUMBER(D1:D122)),D121)</f>
        <v>0.27800000000000002</v>
      </c>
      <c r="E127" s="9" cm="1">
        <f t="array" ref="E127">_xlfn.PERCENTRANK.EXC(_xlfn._xlws.FILTER(E1:E122, ISNUMBER(E1:E122)),E121)</f>
        <v>0.18</v>
      </c>
      <c r="F127" s="9" cm="1">
        <f t="array" ref="F127">_xlfn.PERCENTRANK.EXC(_xlfn._xlws.FILTER(F1:F122, ISNUMBER(F1:F122)),F121)</f>
        <v>0.78600000000000003</v>
      </c>
      <c r="G127" s="9" cm="1">
        <f t="array" ref="G127">_xlfn.PERCENTRANK.EXC(_xlfn._xlws.FILTER(G1:G122, ISNUMBER(G1:G122)),G121)</f>
        <v>0.58099999999999996</v>
      </c>
      <c r="H127" s="9" cm="1">
        <f t="array" ref="H127">_xlfn.PERCENTRANK.EXC(_xlfn._xlws.FILTER(H1:H122, ISNUMBER(H1:H122)),H121)</f>
        <v>0.18</v>
      </c>
      <c r="I127" s="9" cm="1">
        <f t="array" ref="I127">_xlfn.PERCENTRANK.EXC(_xlfn._xlws.FILTER(I1:I122, ISNUMBER(I1:I122)),I121)</f>
        <v>0.83599999999999997</v>
      </c>
      <c r="J127" s="9" cm="1">
        <f t="array" ref="J127">_xlfn.PERCENTRANK.EXC(_xlfn._xlws.FILTER(J1:J122, ISNUMBER(J1:J122)),J121)</f>
        <v>0.84399999999999997</v>
      </c>
      <c r="K127" s="9" cm="1">
        <f t="array" ref="K127">_xlfn.PERCENTRANK.EXC(_xlfn._xlws.FILTER(K1:K122, ISNUMBER(K1:K122)),K121)</f>
        <v>0.442</v>
      </c>
      <c r="L127" s="9" cm="1">
        <f t="array" ref="L127">_xlfn.PERCENTRANK.EXC(_xlfn._xlws.FILTER(L1:L122, ISNUMBER(L1:L122)),L121)</f>
        <v>0.55700000000000005</v>
      </c>
      <c r="M127" s="9" cm="1">
        <f t="array" ref="M127">_xlfn.PERCENTRANK.EXC(_xlfn._xlws.FILTER(M1:M122, ISNUMBER(M1:M122)),M121)</f>
        <v>0.254</v>
      </c>
      <c r="N127" s="9" cm="1">
        <f t="array" ref="N127">_xlfn.PERCENTRANK.EXC(_xlfn._xlws.FILTER(N1:N122, ISNUMBER(N1:N122)),N121)</f>
        <v>0.16300000000000001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Y127"/>
  <sheetViews>
    <sheetView workbookViewId="0">
      <selection activeCell="I3" sqref="I3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41719</v>
      </c>
      <c r="B2" s="3" cm="1">
        <f t="array" ref="B2:B122">_xll.FDS(B1,"FMA_PE(NTMA,-10AY,0,AM,""PORTAGG"",""MEANR"")")</f>
        <v>17.3326963044811</v>
      </c>
      <c r="C2" s="3" cm="1">
        <f t="array" ref="C2:C122">_xll.FDS(C1,"FMA_PE(NTMA,-10AY,0,AM,""PORTAGG"",""MEANR"")")</f>
        <v>13.927408504186101</v>
      </c>
      <c r="D2" s="3" cm="1">
        <f t="array" ref="D2:D122">_xll.FDS(D1,"FMA_PE(NTMA,-10AY,0,AM,""PORTAGG"",""MEANR"")")</f>
        <v>15.142730584225999</v>
      </c>
      <c r="E2" s="3" cm="1">
        <f t="array" ref="E2:E122">_xll.FDS(E1,"FMA_PE(NTMA,-10AY,0,AM,""PORTAGG"",""MEANR"")")</f>
        <v>12.843175693820401</v>
      </c>
      <c r="F2" s="3" cm="1">
        <f t="array" ref="F2:F122">_xll.FDS(F1,"FMA_PE(NTMA,-10AY,0,AM,""PORTAGG"",""MEANR"")")</f>
        <v>12.6785010305084</v>
      </c>
      <c r="G2" s="3" cm="1">
        <f t="array" ref="G2:G122">_xll.FDS(G1,"FMA_PE(NTMA,-10AY,0,AM,""PORTAGG"",""MEANR"")")</f>
        <v>15.742542546769499</v>
      </c>
      <c r="H2" s="3" cm="1">
        <f t="array" ref="H2:H122">_xll.FDS(H1,"FMA_PE(NTMA,-10AY,0,AM,""PORTAGG"",""MEANR"")")</f>
        <v>12.8734814272081</v>
      </c>
      <c r="I2" s="3" cm="1">
        <f t="array" ref="I2:I122">_xll.FDS(I1,"FMA_PE(NTMA,-10AY,0,AM,""PORTAGG"",""MEANR"")")</f>
        <v>17.4425962924979</v>
      </c>
      <c r="J2" s="3" cm="1">
        <f t="array" ref="J2:J122">_xll.FDS(J1,"FMA_PE(NTMA,-10AY,0,AM,""PORTAGG"",""MEANR"")")</f>
        <v>15.0243756402002</v>
      </c>
      <c r="K2" s="3" cm="1">
        <f t="array" ref="K2:K122">_xll.FDS(K1,"FMA_PE(NTMA,-10AY,0,AM,""PORTAGG"",""MEANR"")")</f>
        <v>13.6401377819133</v>
      </c>
      <c r="L2" s="3" cm="1">
        <f t="array" ref="L2:L122">_xll.FDS(L1,"FMA_PE(NTMA,-10AY,0,AM,""PORTAGG"",""MEANR"")")</f>
        <v>13.8737088343116</v>
      </c>
      <c r="M2" s="3" cm="1">
        <f t="array" ref="M2:M122">_xll.FDS(M1,"FMA_PE(NTMA,-10AY,0,AM,""PORTAGG"",""MEANR"")")</f>
        <v>15.717269875429301</v>
      </c>
      <c r="N2" s="3" cm="1">
        <f t="array" ref="N2:N122">_xll.FDS(N1,"FMA_PE(NTMA,-10AY,0,AM,""PORTAGG"",""MEANR"")")</f>
        <v>13.302240995688001</v>
      </c>
    </row>
    <row r="3" spans="1:14" x14ac:dyDescent="0.35">
      <c r="A3" s="2">
        <v>41750</v>
      </c>
      <c r="B3" s="3">
        <v>17.157086607250601</v>
      </c>
      <c r="C3" s="3">
        <v>14.351219883830399</v>
      </c>
      <c r="D3" s="3">
        <v>14.8610583722886</v>
      </c>
      <c r="E3" s="3">
        <v>12.851682749484601</v>
      </c>
      <c r="F3" s="3">
        <v>12.924358278970001</v>
      </c>
      <c r="G3" s="3">
        <v>16.006286130305099</v>
      </c>
      <c r="H3" s="3">
        <v>13.2239873485751</v>
      </c>
      <c r="I3" s="3">
        <v>16.8667915793589</v>
      </c>
      <c r="J3" s="3">
        <v>15.0261040737205</v>
      </c>
      <c r="K3" s="3">
        <v>13.8602080003916</v>
      </c>
      <c r="L3" s="3">
        <v>14.021873686848201</v>
      </c>
      <c r="M3" s="3">
        <v>15.444165525903101</v>
      </c>
      <c r="N3" s="3">
        <v>13.702659529284301</v>
      </c>
    </row>
    <row r="4" spans="1:14" x14ac:dyDescent="0.35">
      <c r="A4" s="2">
        <v>41780</v>
      </c>
      <c r="B4" s="3">
        <v>17.147324280761101</v>
      </c>
      <c r="C4" s="3">
        <v>14.093940884845599</v>
      </c>
      <c r="D4" s="3">
        <v>14.795837057373401</v>
      </c>
      <c r="E4" s="3">
        <v>13.0766651793887</v>
      </c>
      <c r="F4" s="3">
        <v>12.649802307209001</v>
      </c>
      <c r="G4" s="3">
        <v>16.392251112442501</v>
      </c>
      <c r="H4" s="3">
        <v>13.6571755471612</v>
      </c>
      <c r="I4" s="3">
        <v>16.797968759243599</v>
      </c>
      <c r="J4" s="3">
        <v>14.9490490458548</v>
      </c>
      <c r="K4" s="3">
        <v>14.069323025703699</v>
      </c>
      <c r="L4" s="3">
        <v>14.12855215075</v>
      </c>
      <c r="M4" s="3">
        <v>15.816459531861099</v>
      </c>
      <c r="N4" s="3">
        <v>13.477681644511501</v>
      </c>
    </row>
    <row r="5" spans="1:14" x14ac:dyDescent="0.35">
      <c r="A5" s="2">
        <v>41810</v>
      </c>
      <c r="B5" s="3">
        <v>17.0983725845146</v>
      </c>
      <c r="C5" s="3">
        <v>14.2307213083626</v>
      </c>
      <c r="D5" s="3">
        <v>15.010734026924499</v>
      </c>
      <c r="E5" s="3">
        <v>13.377516489592701</v>
      </c>
      <c r="F5" s="3">
        <v>13.8945772851621</v>
      </c>
      <c r="G5" s="3">
        <v>16.342002417595101</v>
      </c>
      <c r="H5" s="3">
        <v>13.722238660787699</v>
      </c>
      <c r="I5" s="3">
        <v>17.290763407558099</v>
      </c>
      <c r="J5" s="3">
        <v>15.4028120018778</v>
      </c>
      <c r="K5" s="3">
        <v>14.290250275768001</v>
      </c>
      <c r="L5" s="3">
        <v>14.570525966856</v>
      </c>
      <c r="M5" s="3">
        <v>15.6178525479844</v>
      </c>
      <c r="N5" s="3">
        <v>14.4776738856528</v>
      </c>
    </row>
    <row r="6" spans="1:14" x14ac:dyDescent="0.35">
      <c r="A6" s="2">
        <v>41841</v>
      </c>
      <c r="B6" s="3">
        <v>17.246835838866598</v>
      </c>
      <c r="C6" s="3">
        <v>14.7513821436601</v>
      </c>
      <c r="D6" s="3">
        <v>15.0494421024248</v>
      </c>
      <c r="E6" s="3">
        <v>12.776852453962</v>
      </c>
      <c r="F6" s="3">
        <v>13.7033947599655</v>
      </c>
      <c r="G6" s="3">
        <v>15.919625301387001</v>
      </c>
      <c r="H6" s="3">
        <v>13.547023765518199</v>
      </c>
      <c r="I6" s="3">
        <v>17.637126778669401</v>
      </c>
      <c r="J6" s="3">
        <v>15.3071085700014</v>
      </c>
      <c r="K6" s="3">
        <v>13.520879182079501</v>
      </c>
      <c r="L6" s="3">
        <v>14.0727015260962</v>
      </c>
      <c r="M6" s="3">
        <v>15.4851330070068</v>
      </c>
      <c r="N6" s="3">
        <v>13.680744302977899</v>
      </c>
    </row>
    <row r="7" spans="1:14" x14ac:dyDescent="0.35">
      <c r="A7" s="2">
        <v>41872</v>
      </c>
      <c r="B7" s="3">
        <v>17.2671290805255</v>
      </c>
      <c r="C7" s="3">
        <v>14.954557084583801</v>
      </c>
      <c r="D7" s="3">
        <v>15.203502733232201</v>
      </c>
      <c r="E7" s="3">
        <v>12.522207953917</v>
      </c>
      <c r="F7" s="3">
        <v>13.787214951806799</v>
      </c>
      <c r="G7" s="3">
        <v>16.052984728555199</v>
      </c>
      <c r="H7" s="3">
        <v>13.4842791709205</v>
      </c>
      <c r="I7" s="3">
        <v>17.7781887728299</v>
      </c>
      <c r="J7" s="3">
        <v>15.3078564750066</v>
      </c>
      <c r="K7" s="3">
        <v>13.4343350292593</v>
      </c>
      <c r="L7" s="3">
        <v>14.234208803895701</v>
      </c>
      <c r="M7" s="3">
        <v>14.750751467962999</v>
      </c>
      <c r="N7" s="3">
        <v>13.3789240313269</v>
      </c>
    </row>
    <row r="8" spans="1:14" x14ac:dyDescent="0.35">
      <c r="A8" s="2">
        <v>41901</v>
      </c>
      <c r="B8" s="3">
        <v>16.9458776867369</v>
      </c>
      <c r="C8" s="3">
        <v>14.264787361697501</v>
      </c>
      <c r="D8" s="3">
        <v>14.8817641624827</v>
      </c>
      <c r="E8" s="3">
        <v>12.9481588340572</v>
      </c>
      <c r="F8" s="3">
        <v>14.1693633612147</v>
      </c>
      <c r="G8" s="3">
        <v>16.189710021492498</v>
      </c>
      <c r="H8" s="3">
        <v>13.489754203181301</v>
      </c>
      <c r="I8" s="3">
        <v>17.750317099627701</v>
      </c>
      <c r="J8" s="3">
        <v>15.3396976600733</v>
      </c>
      <c r="K8" s="3">
        <v>13.7865235770641</v>
      </c>
      <c r="L8" s="3">
        <v>14.8323813029305</v>
      </c>
      <c r="M8" s="3">
        <v>14.9239661448463</v>
      </c>
      <c r="N8" s="3">
        <v>13.892774855994301</v>
      </c>
    </row>
    <row r="9" spans="1:14" x14ac:dyDescent="0.35">
      <c r="A9" s="2">
        <v>41933</v>
      </c>
      <c r="B9" s="3">
        <v>17.136531808481902</v>
      </c>
      <c r="C9" s="3">
        <v>14.091482794943801</v>
      </c>
      <c r="D9" s="3">
        <v>14.110632371532001</v>
      </c>
      <c r="E9" s="3">
        <v>11.732484078548501</v>
      </c>
      <c r="F9" s="3">
        <v>12.717637984765799</v>
      </c>
      <c r="G9" s="3">
        <v>15.219658846878501</v>
      </c>
      <c r="H9" s="3">
        <v>12.742679938256201</v>
      </c>
      <c r="I9" s="3">
        <v>16.889197898752698</v>
      </c>
      <c r="J9" s="3">
        <v>14.882732830463301</v>
      </c>
      <c r="K9" s="3">
        <v>12.6982599924719</v>
      </c>
      <c r="L9" s="3">
        <v>13.8425479909133</v>
      </c>
      <c r="M9" s="3">
        <v>13.850312180875401</v>
      </c>
      <c r="N9" s="3">
        <v>12.3830650768054</v>
      </c>
    </row>
    <row r="10" spans="1:14" x14ac:dyDescent="0.35">
      <c r="A10" s="2">
        <v>41964</v>
      </c>
      <c r="B10" s="3">
        <v>18.0855320076884</v>
      </c>
      <c r="C10" s="3">
        <v>13.9994835425048</v>
      </c>
      <c r="D10" s="3">
        <v>14.9097226459368</v>
      </c>
      <c r="E10" s="3">
        <v>12.7882914875153</v>
      </c>
      <c r="F10" s="3">
        <v>14.533363196839</v>
      </c>
      <c r="G10" s="3">
        <v>16.259563260335</v>
      </c>
      <c r="H10" s="3">
        <v>13.5858648355194</v>
      </c>
      <c r="I10" s="3">
        <v>18.009337392593199</v>
      </c>
      <c r="J10" s="3">
        <v>15.8157826492897</v>
      </c>
      <c r="K10" s="3">
        <v>13.612374070895299</v>
      </c>
      <c r="L10" s="3">
        <v>15.012493429593301</v>
      </c>
      <c r="M10" s="3">
        <v>15.576260967062</v>
      </c>
      <c r="N10" s="3">
        <v>13.135151822678001</v>
      </c>
    </row>
    <row r="11" spans="1:14" x14ac:dyDescent="0.35">
      <c r="A11" s="2">
        <v>41992</v>
      </c>
      <c r="B11" s="3">
        <v>18.1252959824212</v>
      </c>
      <c r="C11" s="3">
        <v>14.234168563525101</v>
      </c>
      <c r="D11" s="3">
        <v>15.262864270201201</v>
      </c>
      <c r="E11" s="3">
        <v>12.8489629399095</v>
      </c>
      <c r="F11" s="3">
        <v>14.3332210878367</v>
      </c>
      <c r="G11" s="3">
        <v>15.8136684895989</v>
      </c>
      <c r="H11" s="3">
        <v>13.7354005381977</v>
      </c>
      <c r="I11" s="3">
        <v>17.896839443580301</v>
      </c>
      <c r="J11" s="3">
        <v>16.086658666947802</v>
      </c>
      <c r="K11" s="3">
        <v>13.655933915183301</v>
      </c>
      <c r="L11" s="3">
        <v>14.664020930311599</v>
      </c>
      <c r="M11" s="3">
        <v>15.537221749027299</v>
      </c>
      <c r="N11" s="3">
        <v>12.452682228778301</v>
      </c>
    </row>
    <row r="12" spans="1:14" x14ac:dyDescent="0.35">
      <c r="A12" s="2">
        <v>42025</v>
      </c>
      <c r="B12" s="3">
        <v>18.776863651046401</v>
      </c>
      <c r="C12" s="3">
        <v>14.701273535418499</v>
      </c>
      <c r="D12" s="3">
        <v>15.8240608452155</v>
      </c>
      <c r="E12" s="3">
        <v>13.492190018975499</v>
      </c>
      <c r="F12" s="3">
        <v>13.9659470029376</v>
      </c>
      <c r="G12" s="3">
        <v>15.5015514454588</v>
      </c>
      <c r="H12" s="3">
        <v>14.704640790862999</v>
      </c>
      <c r="I12" s="3">
        <v>17.117915108218199</v>
      </c>
      <c r="J12" s="3">
        <v>16.1369415551458</v>
      </c>
      <c r="K12" s="3">
        <v>14.7914253307442</v>
      </c>
      <c r="L12" s="3">
        <v>15.370746860812201</v>
      </c>
      <c r="M12" s="3">
        <v>15.953403691962601</v>
      </c>
      <c r="N12" s="3">
        <v>13.516370194816</v>
      </c>
    </row>
    <row r="13" spans="1:14" x14ac:dyDescent="0.35">
      <c r="A13" s="2">
        <v>42055</v>
      </c>
      <c r="B13" s="3">
        <v>18.979634199758198</v>
      </c>
      <c r="C13" s="3">
        <v>16.1580082695938</v>
      </c>
      <c r="D13" s="3">
        <v>17.3365517190018</v>
      </c>
      <c r="E13" s="3">
        <v>14.379123695465299</v>
      </c>
      <c r="F13" s="3">
        <v>14.899287884554701</v>
      </c>
      <c r="G13" s="3">
        <v>17.409479985889998</v>
      </c>
      <c r="H13" s="3">
        <v>15.5437816028314</v>
      </c>
      <c r="I13" s="3">
        <v>18.1371936936251</v>
      </c>
      <c r="J13" s="3">
        <v>16.957629892824301</v>
      </c>
      <c r="K13" s="3">
        <v>16.0494245144803</v>
      </c>
      <c r="L13" s="3">
        <v>16.437044629578399</v>
      </c>
      <c r="M13" s="3">
        <v>16.9722015731247</v>
      </c>
      <c r="N13" s="3">
        <v>15.260452427746801</v>
      </c>
    </row>
    <row r="14" spans="1:14" x14ac:dyDescent="0.35">
      <c r="A14" s="2">
        <v>42083</v>
      </c>
      <c r="B14" s="3">
        <v>18.8322319650986</v>
      </c>
      <c r="C14" s="3">
        <v>16.500717799402999</v>
      </c>
      <c r="D14" s="3">
        <v>17.168437698305901</v>
      </c>
      <c r="E14" s="3">
        <v>15.5961346773817</v>
      </c>
      <c r="F14" s="3">
        <v>15.6124187551251</v>
      </c>
      <c r="G14" s="3">
        <v>18.1262175954562</v>
      </c>
      <c r="H14" s="3">
        <v>15.870765879923001</v>
      </c>
      <c r="I14" s="3">
        <v>18.121348007966201</v>
      </c>
      <c r="J14" s="3">
        <v>16.875737067556901</v>
      </c>
      <c r="K14" s="3">
        <v>16.730324207664498</v>
      </c>
      <c r="L14" s="3">
        <v>17.552231330155799</v>
      </c>
      <c r="M14" s="3">
        <v>17.444578943522799</v>
      </c>
      <c r="N14" s="3">
        <v>15.787133668804801</v>
      </c>
    </row>
    <row r="15" spans="1:14" x14ac:dyDescent="0.35">
      <c r="A15" s="2">
        <v>42115</v>
      </c>
      <c r="B15" s="3">
        <v>18.259574891460201</v>
      </c>
      <c r="C15" s="3">
        <v>16.426709860639601</v>
      </c>
      <c r="D15" s="3">
        <v>17.4166411690044</v>
      </c>
      <c r="E15" s="3">
        <v>15.3337885707006</v>
      </c>
      <c r="F15" s="3">
        <v>15.822202214455601</v>
      </c>
      <c r="G15" s="3">
        <v>18.120703845295001</v>
      </c>
      <c r="H15" s="3">
        <v>16.197820497633298</v>
      </c>
      <c r="I15" s="3">
        <v>18.024816336867499</v>
      </c>
      <c r="J15" s="3">
        <v>16.722163193844501</v>
      </c>
      <c r="K15" s="3">
        <v>16.8171292430136</v>
      </c>
      <c r="L15" s="3">
        <v>17.462099242770702</v>
      </c>
      <c r="M15" s="3">
        <v>16.706872092907901</v>
      </c>
      <c r="N15" s="3">
        <v>15.789569078706499</v>
      </c>
    </row>
    <row r="16" spans="1:14" x14ac:dyDescent="0.35">
      <c r="A16" s="2">
        <v>42145</v>
      </c>
      <c r="B16" s="3">
        <v>18.189338511560099</v>
      </c>
      <c r="C16" s="3">
        <v>15.7868348257098</v>
      </c>
      <c r="D16" s="3">
        <v>16.870725416983799</v>
      </c>
      <c r="E16" s="3">
        <v>14.734690479664</v>
      </c>
      <c r="F16" s="3">
        <v>16.238784921676</v>
      </c>
      <c r="G16" s="3">
        <v>17.9850218657059</v>
      </c>
      <c r="H16" s="3">
        <v>16.262735796699399</v>
      </c>
      <c r="I16" s="3">
        <v>18.152560505041301</v>
      </c>
      <c r="J16" s="3">
        <v>16.770146943750301</v>
      </c>
      <c r="K16" s="3">
        <v>16.596483794327501</v>
      </c>
      <c r="L16" s="3">
        <v>17.23002530506</v>
      </c>
      <c r="M16" s="3">
        <v>16.071263498856599</v>
      </c>
      <c r="N16" s="3">
        <v>15.9220003985332</v>
      </c>
    </row>
    <row r="17" spans="1:14" x14ac:dyDescent="0.35">
      <c r="A17" s="2">
        <v>42174</v>
      </c>
      <c r="B17" s="3">
        <v>17.951670445570301</v>
      </c>
      <c r="C17" s="3">
        <v>15.489921549771401</v>
      </c>
      <c r="D17" s="3">
        <v>16.043732774536899</v>
      </c>
      <c r="E17" s="3">
        <v>13.4893897642187</v>
      </c>
      <c r="F17" s="3">
        <v>15.515597452468599</v>
      </c>
      <c r="G17" s="3">
        <v>17.037921565068299</v>
      </c>
      <c r="H17" s="3">
        <v>15.489530432163701</v>
      </c>
      <c r="I17" s="3">
        <v>17.9650763237793</v>
      </c>
      <c r="J17" s="3">
        <v>16.492431555172601</v>
      </c>
      <c r="K17" s="3">
        <v>15.4038279099465</v>
      </c>
      <c r="L17" s="3">
        <v>16.253186713725</v>
      </c>
      <c r="M17" s="3">
        <v>15.548720673511699</v>
      </c>
      <c r="N17" s="3">
        <v>15.0323889583764</v>
      </c>
    </row>
    <row r="18" spans="1:14" x14ac:dyDescent="0.35">
      <c r="A18" s="2">
        <v>42206</v>
      </c>
      <c r="B18" s="3">
        <v>18.250240470902298</v>
      </c>
      <c r="C18" s="3">
        <v>15.717283281580499</v>
      </c>
      <c r="D18" s="3">
        <v>15.565178692101201</v>
      </c>
      <c r="E18" s="3">
        <v>14.0643556634726</v>
      </c>
      <c r="F18" s="3">
        <v>15.714743110088101</v>
      </c>
      <c r="G18" s="3">
        <v>17.711026950740202</v>
      </c>
      <c r="H18" s="3">
        <v>15.559956085132701</v>
      </c>
      <c r="I18" s="3">
        <v>18.7228477392167</v>
      </c>
      <c r="J18" s="3">
        <v>16.536337466500299</v>
      </c>
      <c r="K18" s="3">
        <v>16.031450780313499</v>
      </c>
      <c r="L18" s="3">
        <v>17.017261128893999</v>
      </c>
      <c r="M18" s="3">
        <v>16.2944944414727</v>
      </c>
      <c r="N18" s="3">
        <v>15.5047171536576</v>
      </c>
    </row>
    <row r="19" spans="1:14" x14ac:dyDescent="0.35">
      <c r="A19" s="2">
        <v>42237</v>
      </c>
      <c r="B19" s="3">
        <v>17.805146774318398</v>
      </c>
      <c r="C19" s="3">
        <v>14.5894904070623</v>
      </c>
      <c r="D19" s="3">
        <v>14.511656878271699</v>
      </c>
      <c r="E19" s="3">
        <v>12.300586179680399</v>
      </c>
      <c r="F19" s="3">
        <v>14.5700227074708</v>
      </c>
      <c r="G19" s="3">
        <v>16.5872289185066</v>
      </c>
      <c r="H19" s="3">
        <v>14.273262971672599</v>
      </c>
      <c r="I19" s="3">
        <v>16.980503020007401</v>
      </c>
      <c r="J19" s="3">
        <v>15.355063897413601</v>
      </c>
      <c r="K19" s="3">
        <v>14.3249231520638</v>
      </c>
      <c r="L19" s="3">
        <v>14.861778846095101</v>
      </c>
      <c r="M19" s="3">
        <v>14.888154968642199</v>
      </c>
      <c r="N19" s="3">
        <v>14.2559178390983</v>
      </c>
    </row>
    <row r="20" spans="1:14" x14ac:dyDescent="0.35">
      <c r="A20" s="2">
        <v>42268</v>
      </c>
      <c r="B20" s="3">
        <v>17.495530007460999</v>
      </c>
      <c r="C20" s="3">
        <v>14.321353155852</v>
      </c>
      <c r="D20" s="3">
        <v>14.972077040780301</v>
      </c>
      <c r="E20" s="3">
        <v>12.046206916961101</v>
      </c>
      <c r="F20" s="3">
        <v>13.458913700195</v>
      </c>
      <c r="G20" s="3">
        <v>16.468348712470998</v>
      </c>
      <c r="H20" s="3">
        <v>14.3704445220813</v>
      </c>
      <c r="I20" s="3">
        <v>17.416725930380299</v>
      </c>
      <c r="J20" s="3">
        <v>15.301932491547801</v>
      </c>
      <c r="K20" s="3">
        <v>14.2510137445853</v>
      </c>
      <c r="L20" s="3">
        <v>14.721525825224401</v>
      </c>
      <c r="M20" s="3">
        <v>14.524434682893499</v>
      </c>
      <c r="N20" s="3">
        <v>14.294483882522</v>
      </c>
    </row>
    <row r="21" spans="1:14" x14ac:dyDescent="0.35">
      <c r="A21" s="2">
        <v>42298</v>
      </c>
      <c r="B21" s="3">
        <v>17.930340998453001</v>
      </c>
      <c r="C21" s="3">
        <v>14.9665355912822</v>
      </c>
      <c r="D21" s="3">
        <v>14.921628089602599</v>
      </c>
      <c r="E21" s="3">
        <v>12.568719513461501</v>
      </c>
      <c r="F21" s="3">
        <v>14.0930662591329</v>
      </c>
      <c r="G21" s="3">
        <v>16.491826353288602</v>
      </c>
      <c r="H21" s="3">
        <v>15.2037990051034</v>
      </c>
      <c r="I21" s="3">
        <v>17.687223352005599</v>
      </c>
      <c r="J21" s="3">
        <v>15.8246772567257</v>
      </c>
      <c r="K21" s="3">
        <v>14.5802184577632</v>
      </c>
      <c r="L21" s="3">
        <v>15.297229145512199</v>
      </c>
      <c r="M21" s="3">
        <v>14.858586454355899</v>
      </c>
      <c r="N21" s="3">
        <v>14.5209852816471</v>
      </c>
    </row>
    <row r="22" spans="1:14" x14ac:dyDescent="0.35">
      <c r="A22" s="2">
        <v>42328</v>
      </c>
      <c r="B22" s="3">
        <v>17.933935551229599</v>
      </c>
      <c r="C22" s="3">
        <v>15.2443732536721</v>
      </c>
      <c r="D22" s="3">
        <v>14.648176634722001</v>
      </c>
      <c r="E22" s="3">
        <v>13.8551774870897</v>
      </c>
      <c r="F22" s="3">
        <v>14.7968998408974</v>
      </c>
      <c r="G22" s="3">
        <v>17.043728682046201</v>
      </c>
      <c r="H22" s="3">
        <v>15.382808124804001</v>
      </c>
      <c r="I22" s="3">
        <v>18.771614587056401</v>
      </c>
      <c r="J22" s="3">
        <v>16.358392919652701</v>
      </c>
      <c r="K22" s="3">
        <v>15.2761696805265</v>
      </c>
      <c r="L22" s="3">
        <v>16.3331370416191</v>
      </c>
      <c r="M22" s="3">
        <v>15.5533075902819</v>
      </c>
      <c r="N22" s="3">
        <v>14.7989927951777</v>
      </c>
    </row>
    <row r="23" spans="1:14" x14ac:dyDescent="0.35">
      <c r="A23" s="2">
        <v>42359</v>
      </c>
      <c r="B23" s="3">
        <v>17.890741538062802</v>
      </c>
      <c r="C23" s="3">
        <v>15.087052042381901</v>
      </c>
      <c r="D23" s="3">
        <v>14.309183455482</v>
      </c>
      <c r="E23" s="3">
        <v>13.0543318697272</v>
      </c>
      <c r="F23" s="3">
        <v>13.931160047720001</v>
      </c>
      <c r="G23" s="3">
        <v>16.466914999884899</v>
      </c>
      <c r="H23" s="3">
        <v>14.7590224166276</v>
      </c>
      <c r="I23" s="3">
        <v>18.1840404683795</v>
      </c>
      <c r="J23" s="3">
        <v>15.7984991739068</v>
      </c>
      <c r="K23" s="3">
        <v>14.3353594339771</v>
      </c>
      <c r="L23" s="3">
        <v>15.188788297878199</v>
      </c>
      <c r="M23" s="3">
        <v>14.710343208090199</v>
      </c>
      <c r="N23" s="3">
        <v>13.9377805049168</v>
      </c>
    </row>
    <row r="24" spans="1:14" x14ac:dyDescent="0.35">
      <c r="A24" s="2">
        <v>42390</v>
      </c>
      <c r="B24" s="3">
        <v>17.363230970326601</v>
      </c>
      <c r="C24" s="3">
        <v>14.539389323727001</v>
      </c>
      <c r="D24" s="3">
        <v>13.408836242176699</v>
      </c>
      <c r="E24" s="3">
        <v>11.9678686269671</v>
      </c>
      <c r="F24" s="3">
        <v>11.8366352749165</v>
      </c>
      <c r="G24" s="3">
        <v>15.4630809886431</v>
      </c>
      <c r="H24" s="3">
        <v>14.557695691993001</v>
      </c>
      <c r="I24" s="3">
        <v>16.6515429594747</v>
      </c>
      <c r="J24" s="3">
        <v>14.8270626747405</v>
      </c>
      <c r="K24" s="3">
        <v>13.496021253390801</v>
      </c>
      <c r="L24" s="3">
        <v>14.3750865365836</v>
      </c>
      <c r="M24" s="3">
        <v>13.761859609895801</v>
      </c>
      <c r="N24" s="3">
        <v>12.7858930435165</v>
      </c>
    </row>
    <row r="25" spans="1:14" x14ac:dyDescent="0.35">
      <c r="A25" s="2">
        <v>42419</v>
      </c>
      <c r="B25" s="3">
        <v>17.335510107403898</v>
      </c>
      <c r="C25" s="3">
        <v>15.307443335827401</v>
      </c>
      <c r="D25" s="3">
        <v>14.7101050964884</v>
      </c>
      <c r="E25" s="3">
        <v>11.944151513327901</v>
      </c>
      <c r="F25" s="3">
        <v>12.0496146097453</v>
      </c>
      <c r="G25" s="3">
        <v>16.238575862889999</v>
      </c>
      <c r="H25" s="3">
        <v>15.1840749353105</v>
      </c>
      <c r="I25" s="3">
        <v>16.778289899102099</v>
      </c>
      <c r="J25" s="3">
        <v>15.5099438140132</v>
      </c>
      <c r="K25" s="3">
        <v>13.813879583840601</v>
      </c>
      <c r="L25" s="3">
        <v>14.313593922923101</v>
      </c>
      <c r="M25" s="3">
        <v>14.9529648968398</v>
      </c>
      <c r="N25" s="3">
        <v>12.168546518501101</v>
      </c>
    </row>
    <row r="26" spans="1:14" x14ac:dyDescent="0.35">
      <c r="A26" s="2">
        <v>42450</v>
      </c>
      <c r="B26" s="3">
        <v>18.234620977855901</v>
      </c>
      <c r="C26" s="3">
        <v>16.079827291121699</v>
      </c>
      <c r="D26" s="3">
        <v>16.170618624284302</v>
      </c>
      <c r="E26" s="3">
        <v>12.670947797199601</v>
      </c>
      <c r="F26" s="3">
        <v>12.7769887854743</v>
      </c>
      <c r="G26" s="3">
        <v>16.4982186692766</v>
      </c>
      <c r="H26" s="3">
        <v>16.2567468690651</v>
      </c>
      <c r="I26" s="3">
        <v>17.694396066221199</v>
      </c>
      <c r="J26" s="3">
        <v>15.516736353630501</v>
      </c>
      <c r="K26" s="3">
        <v>14.470754109650599</v>
      </c>
      <c r="L26" s="3">
        <v>15.3387241918843</v>
      </c>
      <c r="M26" s="3">
        <v>15.164718182877699</v>
      </c>
      <c r="N26" s="3">
        <v>13.6308479114004</v>
      </c>
    </row>
    <row r="27" spans="1:14" x14ac:dyDescent="0.35">
      <c r="A27" s="2">
        <v>42481</v>
      </c>
      <c r="B27" s="3">
        <v>19.016751229579</v>
      </c>
      <c r="C27" s="3">
        <v>16.319058414465299</v>
      </c>
      <c r="D27" s="3">
        <v>16.518465447166498</v>
      </c>
      <c r="E27" s="3">
        <v>13.275670053939301</v>
      </c>
      <c r="F27" s="3">
        <v>13.385409970816699</v>
      </c>
      <c r="G27" s="3">
        <v>17.062941214617201</v>
      </c>
      <c r="H27" s="3">
        <v>16.5882133878312</v>
      </c>
      <c r="I27" s="3">
        <v>17.981042174224498</v>
      </c>
      <c r="J27" s="3">
        <v>16.500463546018398</v>
      </c>
      <c r="K27" s="3">
        <v>14.942126630768801</v>
      </c>
      <c r="L27" s="3">
        <v>15.363476883522999</v>
      </c>
      <c r="M27" s="3">
        <v>15.7447933758523</v>
      </c>
      <c r="N27" s="3">
        <v>13.642509372509901</v>
      </c>
    </row>
    <row r="28" spans="1:14" x14ac:dyDescent="0.35">
      <c r="A28" s="2">
        <v>42510</v>
      </c>
      <c r="B28" s="3">
        <v>19.2103208646299</v>
      </c>
      <c r="C28" s="3">
        <v>16.427880233447201</v>
      </c>
      <c r="D28" s="3">
        <v>16.414596956358899</v>
      </c>
      <c r="E28" s="3">
        <v>12.396265866540499</v>
      </c>
      <c r="F28" s="3">
        <v>13.2055252574719</v>
      </c>
      <c r="G28" s="3">
        <v>16.7541683828853</v>
      </c>
      <c r="H28" s="3">
        <v>15.727063997741601</v>
      </c>
      <c r="I28" s="3">
        <v>17.444818303897001</v>
      </c>
      <c r="J28" s="3">
        <v>16.522677016730398</v>
      </c>
      <c r="K28" s="3">
        <v>14.204178590163499</v>
      </c>
      <c r="L28" s="3">
        <v>14.813026229454501</v>
      </c>
      <c r="M28" s="3">
        <v>14.7520541754704</v>
      </c>
      <c r="N28" s="3">
        <v>13.572588248728</v>
      </c>
    </row>
    <row r="29" spans="1:14" x14ac:dyDescent="0.35">
      <c r="A29" s="2">
        <v>42542</v>
      </c>
      <c r="B29" s="3">
        <v>18.8530264706285</v>
      </c>
      <c r="C29" s="3">
        <v>16.132227588467501</v>
      </c>
      <c r="D29" s="3">
        <v>16.418264144982899</v>
      </c>
      <c r="E29" s="3">
        <v>12.309975988384499</v>
      </c>
      <c r="F29" s="3">
        <v>13.056296372144001</v>
      </c>
      <c r="G29" s="3">
        <v>16.691258222872001</v>
      </c>
      <c r="H29" s="3">
        <v>15.8375755383464</v>
      </c>
      <c r="I29" s="3">
        <v>17.656667411649</v>
      </c>
      <c r="J29" s="3">
        <v>16.443361384052501</v>
      </c>
      <c r="K29" s="3">
        <v>13.996200621996</v>
      </c>
      <c r="L29" s="3">
        <v>14.5160827631193</v>
      </c>
      <c r="M29" s="3">
        <v>14.7550470044936</v>
      </c>
      <c r="N29" s="3">
        <v>12.6651518744666</v>
      </c>
    </row>
    <row r="30" spans="1:14" x14ac:dyDescent="0.35">
      <c r="A30" s="2">
        <v>42572</v>
      </c>
      <c r="B30" s="3">
        <v>19.9560785882022</v>
      </c>
      <c r="C30" s="3">
        <v>16.671777661287599</v>
      </c>
      <c r="D30" s="3">
        <v>16.566806053266099</v>
      </c>
      <c r="E30" s="3">
        <v>12.522709934888599</v>
      </c>
      <c r="F30" s="3">
        <v>13.723421867120701</v>
      </c>
      <c r="G30" s="3">
        <v>17.071609858749099</v>
      </c>
      <c r="H30" s="3">
        <v>16.058876905695499</v>
      </c>
      <c r="I30" s="3">
        <v>18.4463044380627</v>
      </c>
      <c r="J30" s="3">
        <v>16.936653100586899</v>
      </c>
      <c r="K30" s="3">
        <v>14.0004127629197</v>
      </c>
      <c r="L30" s="3">
        <v>14.7259138354309</v>
      </c>
      <c r="M30" s="3">
        <v>15.1603496538079</v>
      </c>
      <c r="N30" s="3">
        <v>12.400896971519</v>
      </c>
    </row>
    <row r="31" spans="1:14" x14ac:dyDescent="0.35">
      <c r="A31" s="2">
        <v>42601</v>
      </c>
      <c r="B31" s="3">
        <v>20.389176875543601</v>
      </c>
      <c r="C31" s="3">
        <v>16.783119462393699</v>
      </c>
      <c r="D31" s="3">
        <v>16.4296771339149</v>
      </c>
      <c r="E31" s="3">
        <v>12.936511469261699</v>
      </c>
      <c r="F31" s="3">
        <v>13.199909740026699</v>
      </c>
      <c r="G31" s="3">
        <v>17.295915939722299</v>
      </c>
      <c r="H31" s="3">
        <v>16.171931463215302</v>
      </c>
      <c r="I31" s="3">
        <v>18.728456890612101</v>
      </c>
      <c r="J31" s="3">
        <v>16.939294522338699</v>
      </c>
      <c r="K31" s="3">
        <v>13.8788919741811</v>
      </c>
      <c r="L31" s="3">
        <v>14.765227516790899</v>
      </c>
      <c r="M31" s="3">
        <v>15.3180917892956</v>
      </c>
      <c r="N31" s="3">
        <v>12.242165454654</v>
      </c>
    </row>
    <row r="32" spans="1:14" x14ac:dyDescent="0.35">
      <c r="A32" s="2">
        <v>42634</v>
      </c>
      <c r="B32" s="3">
        <v>20.268949735845201</v>
      </c>
      <c r="C32" s="3">
        <v>16.042118821318098</v>
      </c>
      <c r="D32" s="3">
        <v>16.115511642757699</v>
      </c>
      <c r="E32" s="3">
        <v>12.810576878121299</v>
      </c>
      <c r="F32" s="3">
        <v>13.643398619169201</v>
      </c>
      <c r="G32" s="3">
        <v>17.220081251581</v>
      </c>
      <c r="H32" s="3">
        <v>15.639905278431</v>
      </c>
      <c r="I32" s="3">
        <v>18.651217273305999</v>
      </c>
      <c r="J32" s="3">
        <v>16.659453056015401</v>
      </c>
      <c r="K32" s="3">
        <v>13.7730295978273</v>
      </c>
      <c r="L32" s="3">
        <v>14.7554985443078</v>
      </c>
      <c r="M32" s="3">
        <v>15.5031005913117</v>
      </c>
      <c r="N32" s="3">
        <v>11.791132864666499</v>
      </c>
    </row>
    <row r="33" spans="1:14" x14ac:dyDescent="0.35">
      <c r="A33" s="2">
        <v>42664</v>
      </c>
      <c r="B33" s="3">
        <v>19.122085817854799</v>
      </c>
      <c r="C33" s="3">
        <v>16.0934565203967</v>
      </c>
      <c r="D33" s="3">
        <v>16.1693333867502</v>
      </c>
      <c r="E33" s="3">
        <v>13.053744769482099</v>
      </c>
      <c r="F33" s="3">
        <v>13.6011668441542</v>
      </c>
      <c r="G33" s="3">
        <v>16.744177601243099</v>
      </c>
      <c r="H33" s="3">
        <v>15.1940977676595</v>
      </c>
      <c r="I33" s="3">
        <v>18.3932915116151</v>
      </c>
      <c r="J33" s="3">
        <v>16.341771147985199</v>
      </c>
      <c r="K33" s="3">
        <v>14.037482091439101</v>
      </c>
      <c r="L33" s="3">
        <v>14.8866798049604</v>
      </c>
      <c r="M33" s="3">
        <v>16.498655670684901</v>
      </c>
      <c r="N33" s="3">
        <v>12.199615917495599</v>
      </c>
    </row>
    <row r="34" spans="1:14" x14ac:dyDescent="0.35">
      <c r="A34" s="2">
        <v>42695</v>
      </c>
      <c r="B34" s="3">
        <v>18.691734123936399</v>
      </c>
      <c r="C34" s="3">
        <v>15.700199525654799</v>
      </c>
      <c r="D34" s="3">
        <v>16.065026302812601</v>
      </c>
      <c r="E34" s="3">
        <v>12.789615273975899</v>
      </c>
      <c r="F34" s="3">
        <v>14.2366456560204</v>
      </c>
      <c r="G34" s="3">
        <v>16.3180408150502</v>
      </c>
      <c r="H34" s="3">
        <v>14.308307798809601</v>
      </c>
      <c r="I34" s="3">
        <v>18.285429744612902</v>
      </c>
      <c r="J34" s="3">
        <v>16.7298476641338</v>
      </c>
      <c r="K34" s="3">
        <v>13.7707879852306</v>
      </c>
      <c r="L34" s="3">
        <v>14.583102233106599</v>
      </c>
      <c r="M34" s="3">
        <v>16.1545985086291</v>
      </c>
      <c r="N34" s="3">
        <v>11.4123581893453</v>
      </c>
    </row>
    <row r="35" spans="1:14" x14ac:dyDescent="0.35">
      <c r="A35" s="2">
        <v>42725</v>
      </c>
      <c r="B35" s="3">
        <v>18.302130717057601</v>
      </c>
      <c r="C35" s="3">
        <v>15.710792729952299</v>
      </c>
      <c r="D35" s="3">
        <v>15.9409349426102</v>
      </c>
      <c r="E35" s="3">
        <v>13.6523886277245</v>
      </c>
      <c r="F35" s="3">
        <v>14.971522774338</v>
      </c>
      <c r="G35" s="3">
        <v>16.756609484246901</v>
      </c>
      <c r="H35" s="3">
        <v>14.316057301289799</v>
      </c>
      <c r="I35" s="3">
        <v>18.468409061985501</v>
      </c>
      <c r="J35" s="3">
        <v>17.068115543457299</v>
      </c>
      <c r="K35" s="3">
        <v>14.500169400151201</v>
      </c>
      <c r="L35" s="3">
        <v>15.1295574322184</v>
      </c>
      <c r="M35" s="3">
        <v>16.5076969190082</v>
      </c>
      <c r="N35" s="3">
        <v>13.870224471195399</v>
      </c>
    </row>
    <row r="36" spans="1:14" x14ac:dyDescent="0.35">
      <c r="A36" s="2">
        <v>42755</v>
      </c>
      <c r="B36" s="3">
        <v>18.912303125766702</v>
      </c>
      <c r="C36" s="3">
        <v>15.7168413845788</v>
      </c>
      <c r="D36" s="3">
        <v>16.1960048140973</v>
      </c>
      <c r="E36" s="3">
        <v>13.744290848276</v>
      </c>
      <c r="F36" s="3">
        <v>14.651375296076001</v>
      </c>
      <c r="G36" s="3">
        <v>16.936511912432898</v>
      </c>
      <c r="H36" s="3">
        <v>14.2653423927094</v>
      </c>
      <c r="I36" s="3">
        <v>18.664672747955699</v>
      </c>
      <c r="J36" s="3">
        <v>16.9274509103616</v>
      </c>
      <c r="K36" s="3">
        <v>14.48767477885</v>
      </c>
      <c r="L36" s="3">
        <v>15.079070351713201</v>
      </c>
      <c r="M36" s="3">
        <v>16.173601057791</v>
      </c>
      <c r="N36" s="3">
        <v>13.373712019885501</v>
      </c>
    </row>
    <row r="37" spans="1:14" x14ac:dyDescent="0.35">
      <c r="A37" s="2">
        <v>42787</v>
      </c>
      <c r="B37" s="3">
        <v>18.972950887174701</v>
      </c>
      <c r="C37" s="3">
        <v>16.018914340329101</v>
      </c>
      <c r="D37" s="3">
        <v>16.440607065111902</v>
      </c>
      <c r="E37" s="3">
        <v>13.891425267850799</v>
      </c>
      <c r="F37" s="3">
        <v>14.3967726380471</v>
      </c>
      <c r="G37" s="3">
        <v>17.582087544043802</v>
      </c>
      <c r="H37" s="3">
        <v>14.494744644953601</v>
      </c>
      <c r="I37" s="3">
        <v>20.159182806887902</v>
      </c>
      <c r="J37" s="3">
        <v>17.676766939058599</v>
      </c>
      <c r="K37" s="3">
        <v>14.289117988883699</v>
      </c>
      <c r="L37" s="3">
        <v>15.604707613126299</v>
      </c>
      <c r="M37" s="3">
        <v>16.601291227323799</v>
      </c>
      <c r="N37" s="3">
        <v>13.1207114342615</v>
      </c>
    </row>
    <row r="38" spans="1:14" x14ac:dyDescent="0.35">
      <c r="A38" s="2">
        <v>42815</v>
      </c>
      <c r="B38" s="3">
        <v>18.7350658650399</v>
      </c>
      <c r="C38" s="3">
        <v>15.689954329034601</v>
      </c>
      <c r="D38" s="3">
        <v>15.611430855586001</v>
      </c>
      <c r="E38" s="3">
        <v>13.7802403053219</v>
      </c>
      <c r="F38" s="3">
        <v>14.226053793851699</v>
      </c>
      <c r="G38" s="3">
        <v>17.624003072112799</v>
      </c>
      <c r="H38" s="3">
        <v>14.520833718544001</v>
      </c>
      <c r="I38" s="3">
        <v>19.9034833135415</v>
      </c>
      <c r="J38" s="3">
        <v>17.4317900031863</v>
      </c>
      <c r="K38" s="3">
        <v>14.5624574751805</v>
      </c>
      <c r="L38" s="3">
        <v>16.0072265803806</v>
      </c>
      <c r="M38" s="3">
        <v>16.657891592337499</v>
      </c>
      <c r="N38" s="3">
        <v>13.3918997962252</v>
      </c>
    </row>
    <row r="39" spans="1:14" x14ac:dyDescent="0.35">
      <c r="A39" s="2">
        <v>42846</v>
      </c>
      <c r="B39" s="3">
        <v>19.0068523513775</v>
      </c>
      <c r="C39" s="3">
        <v>15.778738711284699</v>
      </c>
      <c r="D39" s="3">
        <v>15.80233094217</v>
      </c>
      <c r="E39" s="3">
        <v>13.6397854774381</v>
      </c>
      <c r="F39" s="3">
        <v>13.477626957085199</v>
      </c>
      <c r="G39" s="3">
        <v>17.208094590521</v>
      </c>
      <c r="H39" s="3">
        <v>14.1152398837832</v>
      </c>
      <c r="I39" s="3">
        <v>20.002033370743799</v>
      </c>
      <c r="J39" s="3">
        <v>17.271035563830701</v>
      </c>
      <c r="K39" s="3">
        <v>14.6306345947838</v>
      </c>
      <c r="L39" s="3">
        <v>16.1227343733152</v>
      </c>
      <c r="M39" s="3">
        <v>16.8548921791858</v>
      </c>
      <c r="N39" s="3">
        <v>12.939644611414799</v>
      </c>
    </row>
    <row r="40" spans="1:14" x14ac:dyDescent="0.35">
      <c r="A40" s="2">
        <v>42874</v>
      </c>
      <c r="B40" s="3">
        <v>19.4406972369081</v>
      </c>
      <c r="C40" s="3">
        <v>15.3598760409749</v>
      </c>
      <c r="D40" s="3">
        <v>15.527647307414</v>
      </c>
      <c r="E40" s="3">
        <v>13.8297910272041</v>
      </c>
      <c r="F40" s="3">
        <v>14.166329377917799</v>
      </c>
      <c r="G40" s="3">
        <v>18.054670203509101</v>
      </c>
      <c r="H40" s="3">
        <v>14.7907185525751</v>
      </c>
      <c r="I40" s="3">
        <v>20.489185589062</v>
      </c>
      <c r="J40" s="3">
        <v>17.3146624055505</v>
      </c>
      <c r="K40" s="3">
        <v>15.236564445723801</v>
      </c>
      <c r="L40" s="3">
        <v>16.311073084935199</v>
      </c>
      <c r="M40" s="3">
        <v>17.987440626066601</v>
      </c>
      <c r="N40" s="3">
        <v>13.835091321407299</v>
      </c>
    </row>
    <row r="41" spans="1:14" x14ac:dyDescent="0.35">
      <c r="A41" s="2">
        <v>42907</v>
      </c>
      <c r="B41" s="3">
        <v>19.539817424231799</v>
      </c>
      <c r="C41" s="3">
        <v>15.168888061310501</v>
      </c>
      <c r="D41" s="3">
        <v>15.166498072479699</v>
      </c>
      <c r="E41" s="3">
        <v>13.794525088274201</v>
      </c>
      <c r="F41" s="3">
        <v>14.440913551792001</v>
      </c>
      <c r="G41" s="3">
        <v>17.9302316040161</v>
      </c>
      <c r="H41" s="3">
        <v>14.481454575193199</v>
      </c>
      <c r="I41" s="3">
        <v>20.644987328669998</v>
      </c>
      <c r="J41" s="3">
        <v>17.549975105137399</v>
      </c>
      <c r="K41" s="3">
        <v>14.9856866986947</v>
      </c>
      <c r="L41" s="3">
        <v>16.063311391058299</v>
      </c>
      <c r="M41" s="3">
        <v>16.863675159020399</v>
      </c>
      <c r="N41" s="3">
        <v>13.3693019561813</v>
      </c>
    </row>
    <row r="42" spans="1:14" x14ac:dyDescent="0.35">
      <c r="A42" s="2">
        <v>42937</v>
      </c>
      <c r="B42" s="3">
        <v>19.713781793996301</v>
      </c>
      <c r="C42" s="3">
        <v>15.6694384113566</v>
      </c>
      <c r="D42" s="3">
        <v>15.563501222777999</v>
      </c>
      <c r="E42" s="3">
        <v>13.185003885294</v>
      </c>
      <c r="F42" s="3">
        <v>14.3018694223789</v>
      </c>
      <c r="G42" s="3">
        <v>17.806436186657901</v>
      </c>
      <c r="H42" s="3">
        <v>14.7893898476638</v>
      </c>
      <c r="I42" s="3">
        <v>20.955780400147901</v>
      </c>
      <c r="J42" s="3">
        <v>17.750108667157001</v>
      </c>
      <c r="K42" s="3">
        <v>14.665066436080901</v>
      </c>
      <c r="L42" s="3">
        <v>15.8870327337855</v>
      </c>
      <c r="M42" s="3">
        <v>16.355964103202702</v>
      </c>
      <c r="N42" s="3">
        <v>13.3981315270577</v>
      </c>
    </row>
    <row r="43" spans="1:14" x14ac:dyDescent="0.35">
      <c r="A43" s="2">
        <v>42968</v>
      </c>
      <c r="B43" s="3">
        <v>20.2754994720922</v>
      </c>
      <c r="C43" s="3">
        <v>15.688762164517801</v>
      </c>
      <c r="D43" s="3">
        <v>15.3409202445755</v>
      </c>
      <c r="E43" s="3">
        <v>12.9277594771044</v>
      </c>
      <c r="F43" s="3">
        <v>13.638949546276301</v>
      </c>
      <c r="G43" s="3">
        <v>17.435070445757201</v>
      </c>
      <c r="H43" s="3">
        <v>14.364672359820901</v>
      </c>
      <c r="I43" s="3">
        <v>20.102407380867898</v>
      </c>
      <c r="J43" s="3">
        <v>17.2372973481469</v>
      </c>
      <c r="K43" s="3">
        <v>14.427667671652101</v>
      </c>
      <c r="L43" s="3">
        <v>15.6898935913388</v>
      </c>
      <c r="M43" s="3">
        <v>15.5487027383877</v>
      </c>
      <c r="N43" s="3">
        <v>13.297309163189899</v>
      </c>
    </row>
    <row r="44" spans="1:14" x14ac:dyDescent="0.35">
      <c r="A44" s="2">
        <v>42999</v>
      </c>
      <c r="B44" s="3">
        <v>19.621232265111399</v>
      </c>
      <c r="C44" s="3">
        <v>15.400584156694901</v>
      </c>
      <c r="D44" s="3">
        <v>15.6034188598134</v>
      </c>
      <c r="E44" s="3">
        <v>13.4468816146034</v>
      </c>
      <c r="F44" s="3">
        <v>13.994375952291399</v>
      </c>
      <c r="G44" s="3">
        <v>17.703128812693201</v>
      </c>
      <c r="H44" s="3">
        <v>14.463011006472099</v>
      </c>
      <c r="I44" s="3">
        <v>20.369717954294</v>
      </c>
      <c r="J44" s="3">
        <v>17.6527437848492</v>
      </c>
      <c r="K44" s="3">
        <v>14.9559036611703</v>
      </c>
      <c r="L44" s="3">
        <v>15.8234076054119</v>
      </c>
      <c r="M44" s="3">
        <v>16.402489541606901</v>
      </c>
      <c r="N44" s="3">
        <v>13.536767450514301</v>
      </c>
    </row>
    <row r="45" spans="1:14" x14ac:dyDescent="0.35">
      <c r="A45" s="2">
        <v>43028</v>
      </c>
      <c r="B45" s="3">
        <v>20.085245205866201</v>
      </c>
      <c r="C45" s="3">
        <v>15.9011603531807</v>
      </c>
      <c r="D45" s="3">
        <v>15.793478930164699</v>
      </c>
      <c r="E45" s="3">
        <v>13.794345478286401</v>
      </c>
      <c r="F45" s="3">
        <v>14.383187309045899</v>
      </c>
      <c r="G45" s="3">
        <v>17.8309451336204</v>
      </c>
      <c r="H45" s="3">
        <v>14.5730637589989</v>
      </c>
      <c r="I45" s="3">
        <v>20.6086292544543</v>
      </c>
      <c r="J45" s="3">
        <v>18.035144857574899</v>
      </c>
      <c r="K45" s="3">
        <v>15.1618918107644</v>
      </c>
      <c r="L45" s="3">
        <v>16.192478237758301</v>
      </c>
      <c r="M45" s="3">
        <v>17.292377629886101</v>
      </c>
      <c r="N45" s="3">
        <v>13.483173681429999</v>
      </c>
    </row>
    <row r="46" spans="1:14" x14ac:dyDescent="0.35">
      <c r="A46" s="2">
        <v>43060</v>
      </c>
      <c r="B46" s="3">
        <v>20.220139276636999</v>
      </c>
      <c r="C46" s="3">
        <v>15.8857201541751</v>
      </c>
      <c r="D46" s="3">
        <v>15.8972278934237</v>
      </c>
      <c r="E46" s="3">
        <v>13.9686239146546</v>
      </c>
      <c r="F46" s="3">
        <v>14.520677807016099</v>
      </c>
      <c r="G46" s="3">
        <v>17.779257709600099</v>
      </c>
      <c r="H46" s="3">
        <v>14.2603659191821</v>
      </c>
      <c r="I46" s="3">
        <v>21.009738272022499</v>
      </c>
      <c r="J46" s="3">
        <v>17.967964933125</v>
      </c>
      <c r="K46" s="3">
        <v>14.922897603998701</v>
      </c>
      <c r="L46" s="3">
        <v>16.0746205429081</v>
      </c>
      <c r="M46" s="3">
        <v>16.890748019050701</v>
      </c>
      <c r="N46" s="3">
        <v>13.228074962431799</v>
      </c>
    </row>
    <row r="47" spans="1:14" x14ac:dyDescent="0.35">
      <c r="A47" s="2">
        <v>43090</v>
      </c>
      <c r="B47" s="3">
        <v>20.8932741822751</v>
      </c>
      <c r="C47" s="3">
        <v>15.934045143784999</v>
      </c>
      <c r="D47" s="3">
        <v>15.9502669736091</v>
      </c>
      <c r="E47" s="3">
        <v>13.9574944149276</v>
      </c>
      <c r="F47" s="3">
        <v>14.725715825699799</v>
      </c>
      <c r="G47" s="3">
        <v>17.716849864698499</v>
      </c>
      <c r="H47" s="3">
        <v>14.5695342897648</v>
      </c>
      <c r="I47" s="3">
        <v>21.1075192464872</v>
      </c>
      <c r="J47" s="3">
        <v>18.282377083647301</v>
      </c>
      <c r="K47" s="3">
        <v>14.991511507955099</v>
      </c>
      <c r="L47" s="3">
        <v>16.063918474021101</v>
      </c>
      <c r="M47" s="3">
        <v>16.542613215671199</v>
      </c>
      <c r="N47" s="3">
        <v>13.231380348097799</v>
      </c>
    </row>
    <row r="48" spans="1:14" x14ac:dyDescent="0.35">
      <c r="A48" s="2">
        <v>43119</v>
      </c>
      <c r="B48" s="3">
        <v>20.530568062761201</v>
      </c>
      <c r="C48" s="3">
        <v>15.704492644217</v>
      </c>
      <c r="D48" s="3">
        <v>15.7579108415669</v>
      </c>
      <c r="E48" s="3">
        <v>14.222390375909701</v>
      </c>
      <c r="F48" s="3">
        <v>15.2634875894685</v>
      </c>
      <c r="G48" s="3">
        <v>17.9196403365418</v>
      </c>
      <c r="H48" s="3">
        <v>14.707613382907001</v>
      </c>
      <c r="I48" s="3">
        <v>21.8269085103591</v>
      </c>
      <c r="J48" s="3">
        <v>18.333819969430799</v>
      </c>
      <c r="K48" s="3">
        <v>15.3002442314099</v>
      </c>
      <c r="L48" s="3">
        <v>16.490764744154902</v>
      </c>
      <c r="M48" s="3">
        <v>16.727428114069301</v>
      </c>
      <c r="N48" s="3">
        <v>13.723024020421001</v>
      </c>
    </row>
    <row r="49" spans="1:14" x14ac:dyDescent="0.35">
      <c r="A49" s="2">
        <v>43152</v>
      </c>
      <c r="B49" s="3">
        <v>20.3792368850117</v>
      </c>
      <c r="C49" s="3">
        <v>15.407514623776001</v>
      </c>
      <c r="D49" s="3">
        <v>14.6112047804169</v>
      </c>
      <c r="E49" s="3">
        <v>13.164947905673101</v>
      </c>
      <c r="F49" s="3">
        <v>13.3468459430562</v>
      </c>
      <c r="G49" s="3">
        <v>16.8212883068473</v>
      </c>
      <c r="H49" s="3">
        <v>13.725310143126499</v>
      </c>
      <c r="I49" s="3">
        <v>20.553146892833698</v>
      </c>
      <c r="J49" s="3">
        <v>16.855064564246</v>
      </c>
      <c r="K49" s="3">
        <v>14.644506108291599</v>
      </c>
      <c r="L49" s="3">
        <v>15.611724098780099</v>
      </c>
      <c r="M49" s="3">
        <v>16.351540197393302</v>
      </c>
      <c r="N49" s="3">
        <v>12.5983893937637</v>
      </c>
    </row>
    <row r="50" spans="1:14" x14ac:dyDescent="0.35">
      <c r="A50" s="2">
        <v>43180</v>
      </c>
      <c r="B50" s="3">
        <v>20.778397155497199</v>
      </c>
      <c r="C50" s="3">
        <v>15.2430939316679</v>
      </c>
      <c r="D50" s="3">
        <v>14.490955715865301</v>
      </c>
      <c r="E50" s="3">
        <v>12.9585033258188</v>
      </c>
      <c r="F50" s="3">
        <v>12.823699530013499</v>
      </c>
      <c r="G50" s="3">
        <v>16.144141280935401</v>
      </c>
      <c r="H50" s="3">
        <v>13.2277757334894</v>
      </c>
      <c r="I50" s="3">
        <v>20.664751227978801</v>
      </c>
      <c r="J50" s="3">
        <v>16.813886829148402</v>
      </c>
      <c r="K50" s="3">
        <v>14.3868487860929</v>
      </c>
      <c r="L50" s="3">
        <v>15.6691189392655</v>
      </c>
      <c r="M50" s="3">
        <v>15.9833370323769</v>
      </c>
      <c r="N50" s="3">
        <v>12.646368592002901</v>
      </c>
    </row>
    <row r="51" spans="1:14" x14ac:dyDescent="0.35">
      <c r="A51" s="2">
        <v>43210</v>
      </c>
      <c r="B51" s="3">
        <v>19.902314417933798</v>
      </c>
      <c r="C51" s="3">
        <v>14.970630770749899</v>
      </c>
      <c r="D51" s="3">
        <v>14.1130331686968</v>
      </c>
      <c r="E51" s="3">
        <v>13.176138363363499</v>
      </c>
      <c r="F51" s="3">
        <v>13.027126929694999</v>
      </c>
      <c r="G51" s="3">
        <v>16.090779201842</v>
      </c>
      <c r="H51" s="3">
        <v>13.685911132452301</v>
      </c>
      <c r="I51" s="3">
        <v>19.886191889602799</v>
      </c>
      <c r="J51" s="3">
        <v>16.369281830170401</v>
      </c>
      <c r="K51" s="3">
        <v>14.684316160325199</v>
      </c>
      <c r="L51" s="3">
        <v>15.4843756580229</v>
      </c>
      <c r="M51" s="3">
        <v>15.9804808375417</v>
      </c>
      <c r="N51" s="3">
        <v>13.0694795120097</v>
      </c>
    </row>
    <row r="52" spans="1:14" x14ac:dyDescent="0.35">
      <c r="A52" s="2">
        <v>43241</v>
      </c>
      <c r="B52" s="3">
        <v>20.3754259674844</v>
      </c>
      <c r="C52" s="3">
        <v>15.4466218819604</v>
      </c>
      <c r="D52" s="3">
        <v>14.3755570391332</v>
      </c>
      <c r="E52" s="3">
        <v>13.446505033642399</v>
      </c>
      <c r="F52" s="3">
        <v>13.456489704496001</v>
      </c>
      <c r="G52" s="3">
        <v>16.271417866585299</v>
      </c>
      <c r="H52" s="3">
        <v>14.071153643203001</v>
      </c>
      <c r="I52" s="3">
        <v>19.946474407464098</v>
      </c>
      <c r="J52" s="3">
        <v>16.382106336019099</v>
      </c>
      <c r="K52" s="3">
        <v>14.969406788206401</v>
      </c>
      <c r="L52" s="3">
        <v>15.939425037000101</v>
      </c>
      <c r="M52" s="3">
        <v>16.216671172602499</v>
      </c>
      <c r="N52" s="3">
        <v>12.277404468705299</v>
      </c>
    </row>
    <row r="53" spans="1:14" x14ac:dyDescent="0.35">
      <c r="A53" s="2">
        <v>43272</v>
      </c>
      <c r="B53" s="3">
        <v>21.316797508661899</v>
      </c>
      <c r="C53" s="3">
        <v>15.512913770547501</v>
      </c>
      <c r="D53" s="3">
        <v>14.3618308373369</v>
      </c>
      <c r="E53" s="3">
        <v>12.9706462114756</v>
      </c>
      <c r="F53" s="3">
        <v>12.960013879074801</v>
      </c>
      <c r="G53" s="3">
        <v>15.337437849271501</v>
      </c>
      <c r="H53" s="3">
        <v>13.2353880779556</v>
      </c>
      <c r="I53" s="3">
        <v>20.659292427420599</v>
      </c>
      <c r="J53" s="3">
        <v>16.348746239564999</v>
      </c>
      <c r="K53" s="3">
        <v>14.0187582387878</v>
      </c>
      <c r="L53" s="3">
        <v>15.673283309533099</v>
      </c>
      <c r="M53" s="3">
        <v>15.248743921640299</v>
      </c>
      <c r="N53" s="3">
        <v>11.4149818646613</v>
      </c>
    </row>
    <row r="54" spans="1:14" x14ac:dyDescent="0.35">
      <c r="A54" s="2">
        <v>43301</v>
      </c>
      <c r="B54" s="3">
        <v>21.101194286268001</v>
      </c>
      <c r="C54" s="3">
        <v>15.663684307514499</v>
      </c>
      <c r="D54" s="3">
        <v>14.230238680993301</v>
      </c>
      <c r="E54" s="3">
        <v>12.9849931266052</v>
      </c>
      <c r="F54" s="3">
        <v>12.900305967207</v>
      </c>
      <c r="G54" s="3">
        <v>16.1764337781417</v>
      </c>
      <c r="H54" s="3">
        <v>13.1392086005172</v>
      </c>
      <c r="I54" s="3">
        <v>20.7555757448965</v>
      </c>
      <c r="J54" s="3">
        <v>16.475731595005101</v>
      </c>
      <c r="K54" s="3">
        <v>14.0413616127931</v>
      </c>
      <c r="L54" s="3">
        <v>16.012861098701499</v>
      </c>
      <c r="M54" s="3">
        <v>15.3446470194569</v>
      </c>
      <c r="N54" s="3">
        <v>11.4033245724639</v>
      </c>
    </row>
    <row r="55" spans="1:14" x14ac:dyDescent="0.35">
      <c r="A55" s="2">
        <v>43333</v>
      </c>
      <c r="B55" s="3">
        <v>21.516934938215499</v>
      </c>
      <c r="C55" s="3">
        <v>15.755508075163201</v>
      </c>
      <c r="D55" s="3">
        <v>13.918646183688899</v>
      </c>
      <c r="E55" s="3">
        <v>12.8294030002555</v>
      </c>
      <c r="F55" s="3">
        <v>12.3955198630686</v>
      </c>
      <c r="G55" s="3">
        <v>16.081884427636599</v>
      </c>
      <c r="H55" s="3">
        <v>12.841125015217299</v>
      </c>
      <c r="I55" s="3">
        <v>20.497285486347199</v>
      </c>
      <c r="J55" s="3">
        <v>16.630908629694499</v>
      </c>
      <c r="K55" s="3">
        <v>13.8069860019309</v>
      </c>
      <c r="L55" s="3">
        <v>15.4506886803543</v>
      </c>
      <c r="M55" s="3">
        <v>15.666326537606899</v>
      </c>
      <c r="N55" s="3">
        <v>10.909621594698301</v>
      </c>
    </row>
    <row r="56" spans="1:14" x14ac:dyDescent="0.35">
      <c r="A56" s="2">
        <v>43364</v>
      </c>
      <c r="B56" s="3">
        <v>21.734816553579002</v>
      </c>
      <c r="C56" s="3">
        <v>15.3045452767697</v>
      </c>
      <c r="D56" s="3">
        <v>13.720761850839899</v>
      </c>
      <c r="E56" s="3">
        <v>12.840598496739601</v>
      </c>
      <c r="F56" s="3">
        <v>13.2522009189224</v>
      </c>
      <c r="G56" s="3">
        <v>16.0396008562494</v>
      </c>
      <c r="H56" s="3">
        <v>12.7639970234146</v>
      </c>
      <c r="I56" s="3">
        <v>20.641621439838602</v>
      </c>
      <c r="J56" s="3">
        <v>16.8753622361642</v>
      </c>
      <c r="K56" s="3">
        <v>13.9100023952768</v>
      </c>
      <c r="L56" s="3">
        <v>15.145513549614799</v>
      </c>
      <c r="M56" s="3">
        <v>15.8985700305688</v>
      </c>
      <c r="N56" s="3">
        <v>11.050782256877101</v>
      </c>
    </row>
    <row r="57" spans="1:14" x14ac:dyDescent="0.35">
      <c r="A57" s="2">
        <v>43392</v>
      </c>
      <c r="B57" s="3">
        <v>20.1959892276804</v>
      </c>
      <c r="C57" s="3">
        <v>14.544535939410901</v>
      </c>
      <c r="D57" s="3">
        <v>12.8834181886489</v>
      </c>
      <c r="E57" s="3">
        <v>11.9691476749086</v>
      </c>
      <c r="F57" s="3">
        <v>12.3328512637998</v>
      </c>
      <c r="G57" s="3">
        <v>15.4043805867062</v>
      </c>
      <c r="H57" s="3">
        <v>11.8714957748792</v>
      </c>
      <c r="I57" s="3">
        <v>19.353141499735301</v>
      </c>
      <c r="J57" s="3">
        <v>15.839259051392499</v>
      </c>
      <c r="K57" s="3">
        <v>12.775421857930001</v>
      </c>
      <c r="L57" s="3">
        <v>14.1928415454299</v>
      </c>
      <c r="M57" s="3">
        <v>14.3487098993693</v>
      </c>
      <c r="N57" s="3">
        <v>9.7956360930325896</v>
      </c>
    </row>
    <row r="58" spans="1:14" x14ac:dyDescent="0.35">
      <c r="A58" s="2">
        <v>43425</v>
      </c>
      <c r="B58" s="3">
        <v>19.664392338936398</v>
      </c>
      <c r="C58" s="3">
        <v>14.0132039853533</v>
      </c>
      <c r="D58" s="3">
        <v>12.620442659442199</v>
      </c>
      <c r="E58" s="3">
        <v>11.5217564023359</v>
      </c>
      <c r="F58" s="3">
        <v>11.8620840060972</v>
      </c>
      <c r="G58" s="3">
        <v>15.370575917721</v>
      </c>
      <c r="H58" s="3">
        <v>11.759756299110901</v>
      </c>
      <c r="I58" s="3">
        <v>17.829905736366602</v>
      </c>
      <c r="J58" s="3">
        <v>15.1394028079227</v>
      </c>
      <c r="K58" s="3">
        <v>12.450693942406501</v>
      </c>
      <c r="L58" s="3">
        <v>14.0069616645574</v>
      </c>
      <c r="M58" s="3">
        <v>13.8472021012774</v>
      </c>
      <c r="N58" s="3">
        <v>9.4569440393395006</v>
      </c>
    </row>
    <row r="59" spans="1:14" x14ac:dyDescent="0.35">
      <c r="A59" s="2">
        <v>43455</v>
      </c>
      <c r="B59" s="3">
        <v>19.854164124775298</v>
      </c>
      <c r="C59" s="3">
        <v>13.5409468919636</v>
      </c>
      <c r="D59" s="3">
        <v>11.777730421635001</v>
      </c>
      <c r="E59" s="3">
        <v>11.026756751753901</v>
      </c>
      <c r="F59" s="3">
        <v>11.068554444202</v>
      </c>
      <c r="G59" s="3">
        <v>14.510648588218</v>
      </c>
      <c r="H59" s="3">
        <v>11.383088745853399</v>
      </c>
      <c r="I59" s="3">
        <v>16.499717384391101</v>
      </c>
      <c r="J59" s="3">
        <v>13.891829899582</v>
      </c>
      <c r="K59" s="3">
        <v>11.803438910637199</v>
      </c>
      <c r="L59" s="3">
        <v>13.011900818352</v>
      </c>
      <c r="M59" s="3">
        <v>13.2863595605209</v>
      </c>
      <c r="N59" s="3">
        <v>9.2279253001857793</v>
      </c>
    </row>
    <row r="60" spans="1:14" x14ac:dyDescent="0.35">
      <c r="A60" s="2">
        <v>43483</v>
      </c>
      <c r="B60" s="3">
        <v>20.643724861129801</v>
      </c>
      <c r="C60" s="3">
        <v>14.7056799229484</v>
      </c>
      <c r="D60" s="3">
        <v>13.328398825742299</v>
      </c>
      <c r="E60" s="3">
        <v>11.7177722778855</v>
      </c>
      <c r="F60" s="3">
        <v>11.752555212316301</v>
      </c>
      <c r="G60" s="3">
        <v>15.5836518380407</v>
      </c>
      <c r="H60" s="3">
        <v>12.0274366857112</v>
      </c>
      <c r="I60" s="3">
        <v>18.612319200318499</v>
      </c>
      <c r="J60" s="3">
        <v>15.517622270228401</v>
      </c>
      <c r="K60" s="3">
        <v>12.5377028865311</v>
      </c>
      <c r="L60" s="3">
        <v>13.6370287671703</v>
      </c>
      <c r="M60" s="3">
        <v>14.432259267403699</v>
      </c>
      <c r="N60" s="3">
        <v>9.8985619386426293</v>
      </c>
    </row>
    <row r="61" spans="1:14" x14ac:dyDescent="0.35">
      <c r="A61" s="2">
        <v>43517</v>
      </c>
      <c r="B61" s="3">
        <v>21.1529374034704</v>
      </c>
      <c r="C61" s="3">
        <v>15.2375770670421</v>
      </c>
      <c r="D61" s="3">
        <v>14.0807289582851</v>
      </c>
      <c r="E61" s="3">
        <v>12.016430814861099</v>
      </c>
      <c r="F61" s="3">
        <v>12.437710824289301</v>
      </c>
      <c r="G61" s="3">
        <v>16.1181222501538</v>
      </c>
      <c r="H61" s="3">
        <v>12.451844437683199</v>
      </c>
      <c r="I61" s="3">
        <v>19.434679313508799</v>
      </c>
      <c r="J61" s="3">
        <v>16.166041675166898</v>
      </c>
      <c r="K61" s="3">
        <v>13.308799540011799</v>
      </c>
      <c r="L61" s="3">
        <v>14.8213842441289</v>
      </c>
      <c r="M61" s="3">
        <v>14.782872675948401</v>
      </c>
      <c r="N61" s="3">
        <v>10.374461028506699</v>
      </c>
    </row>
    <row r="62" spans="1:14" x14ac:dyDescent="0.35">
      <c r="A62" s="2">
        <v>43545</v>
      </c>
      <c r="B62" s="3">
        <v>21.431195150571298</v>
      </c>
      <c r="C62" s="3">
        <v>15.2406057155606</v>
      </c>
      <c r="D62" s="3">
        <v>14.249145983997201</v>
      </c>
      <c r="E62" s="3">
        <v>12.237772737496201</v>
      </c>
      <c r="F62" s="3">
        <v>12.653470314741501</v>
      </c>
      <c r="G62" s="3">
        <v>16.568468829770001</v>
      </c>
      <c r="H62" s="3">
        <v>12.706288810540601</v>
      </c>
      <c r="I62" s="3">
        <v>20.708130056436801</v>
      </c>
      <c r="J62" s="3">
        <v>16.5756754193356</v>
      </c>
      <c r="K62" s="3">
        <v>13.7359217170143</v>
      </c>
      <c r="L62" s="3">
        <v>15.2593114319685</v>
      </c>
      <c r="M62" s="3">
        <v>15.107251880319099</v>
      </c>
      <c r="N62" s="3">
        <v>10.8289758309891</v>
      </c>
    </row>
    <row r="63" spans="1:14" x14ac:dyDescent="0.35">
      <c r="A63" s="2">
        <v>43573</v>
      </c>
      <c r="B63" s="3">
        <v>22.548448591100499</v>
      </c>
      <c r="C63" s="3">
        <v>15.305057363825799</v>
      </c>
      <c r="D63" s="3">
        <v>13.999462341573899</v>
      </c>
      <c r="E63" s="3">
        <v>12.891157790258401</v>
      </c>
      <c r="F63" s="3">
        <v>12.703238411430799</v>
      </c>
      <c r="G63" s="3">
        <v>16.872925771015598</v>
      </c>
      <c r="H63" s="3">
        <v>12.756563962563099</v>
      </c>
      <c r="I63" s="3">
        <v>21.071114329050801</v>
      </c>
      <c r="J63" s="3">
        <v>16.752089414980802</v>
      </c>
      <c r="K63" s="3">
        <v>14.1174344043869</v>
      </c>
      <c r="L63" s="3">
        <v>15.762674385456201</v>
      </c>
      <c r="M63" s="3">
        <v>15.492477159296399</v>
      </c>
      <c r="N63" s="3">
        <v>10.9743371254587</v>
      </c>
    </row>
    <row r="64" spans="1:14" x14ac:dyDescent="0.35">
      <c r="A64" s="2">
        <v>43606</v>
      </c>
      <c r="B64" s="3">
        <v>23.2969434924686</v>
      </c>
      <c r="C64" s="3">
        <v>15.870109152084201</v>
      </c>
      <c r="D64" s="3">
        <v>13.673940378224099</v>
      </c>
      <c r="E64" s="3">
        <v>12.517090760899601</v>
      </c>
      <c r="F64" s="3">
        <v>12.3342005813684</v>
      </c>
      <c r="G64" s="3">
        <v>16.687379071550701</v>
      </c>
      <c r="H64" s="3">
        <v>12.362638183082</v>
      </c>
      <c r="I64" s="3">
        <v>20.281583915511199</v>
      </c>
      <c r="J64" s="3">
        <v>16.361010264570201</v>
      </c>
      <c r="K64" s="3">
        <v>13.6051455192446</v>
      </c>
      <c r="L64" s="3">
        <v>15.2014387024999</v>
      </c>
      <c r="M64" s="3">
        <v>14.9980359191972</v>
      </c>
      <c r="N64" s="3">
        <v>10.326421087244199</v>
      </c>
    </row>
    <row r="65" spans="1:14" x14ac:dyDescent="0.35">
      <c r="A65" s="2">
        <v>43637</v>
      </c>
      <c r="B65" s="3">
        <v>23.208336649641598</v>
      </c>
      <c r="C65" s="3">
        <v>16.228214341102099</v>
      </c>
      <c r="D65" s="3">
        <v>13.776076832357701</v>
      </c>
      <c r="E65" s="3">
        <v>12.6426575438608</v>
      </c>
      <c r="F65" s="3">
        <v>12.649840194005399</v>
      </c>
      <c r="G65" s="3">
        <v>17.165480562732601</v>
      </c>
      <c r="H65" s="3">
        <v>12.554852082175801</v>
      </c>
      <c r="I65" s="3">
        <v>20.937337880432601</v>
      </c>
      <c r="J65" s="3">
        <v>16.776895991317801</v>
      </c>
      <c r="K65" s="3">
        <v>13.8736101744115</v>
      </c>
      <c r="L65" s="3">
        <v>15.4679899564166</v>
      </c>
      <c r="M65" s="3">
        <v>15.1062061875416</v>
      </c>
      <c r="N65" s="3">
        <v>10.5834804241097</v>
      </c>
    </row>
    <row r="66" spans="1:14" x14ac:dyDescent="0.35">
      <c r="A66" s="2">
        <v>43665</v>
      </c>
      <c r="B66" s="3">
        <v>24.362707798795899</v>
      </c>
      <c r="C66" s="3">
        <v>16.285063873535599</v>
      </c>
      <c r="D66" s="3">
        <v>13.6822234938865</v>
      </c>
      <c r="E66" s="3">
        <v>12.7576789396309</v>
      </c>
      <c r="F66" s="3">
        <v>12.8344694226833</v>
      </c>
      <c r="G66" s="3">
        <v>17.171967275813401</v>
      </c>
      <c r="H66" s="3">
        <v>12.6530972588221</v>
      </c>
      <c r="I66" s="3">
        <v>21.060534491959999</v>
      </c>
      <c r="J66" s="3">
        <v>16.950449143246001</v>
      </c>
      <c r="K66" s="3">
        <v>14.007663049649601</v>
      </c>
      <c r="L66" s="3">
        <v>15.7048698743572</v>
      </c>
      <c r="M66" s="3">
        <v>15.0813115212464</v>
      </c>
      <c r="N66" s="3">
        <v>10.650906374461499</v>
      </c>
    </row>
    <row r="67" spans="1:14" x14ac:dyDescent="0.35">
      <c r="A67" s="2">
        <v>43698</v>
      </c>
      <c r="B67" s="3">
        <v>24.343922298341401</v>
      </c>
      <c r="C67" s="3">
        <v>15.897449027404701</v>
      </c>
      <c r="D67" s="3">
        <v>13.593326794140999</v>
      </c>
      <c r="E67" s="3">
        <v>12.4607616831121</v>
      </c>
      <c r="F67" s="3">
        <v>12.402178046295299</v>
      </c>
      <c r="G67" s="3">
        <v>16.918769551536901</v>
      </c>
      <c r="H67" s="3">
        <v>11.9784686686765</v>
      </c>
      <c r="I67" s="3">
        <v>20.632631617370201</v>
      </c>
      <c r="J67" s="3">
        <v>16.590296109450701</v>
      </c>
      <c r="K67" s="3">
        <v>13.7172393462494</v>
      </c>
      <c r="L67" s="3">
        <v>15.2769386941193</v>
      </c>
      <c r="M67" s="3">
        <v>13.739414035633301</v>
      </c>
      <c r="N67" s="3">
        <v>10.2608045154685</v>
      </c>
    </row>
    <row r="68" spans="1:14" x14ac:dyDescent="0.35">
      <c r="A68" s="2">
        <v>43728</v>
      </c>
      <c r="B68" s="3">
        <v>25.623079811923599</v>
      </c>
      <c r="C68" s="3">
        <v>16.666586032512999</v>
      </c>
      <c r="D68" s="3">
        <v>14.1297211689308</v>
      </c>
      <c r="E68" s="3">
        <v>13.1101827120198</v>
      </c>
      <c r="F68" s="3">
        <v>13.428351543840099</v>
      </c>
      <c r="G68" s="3">
        <v>17.130248478860299</v>
      </c>
      <c r="H68" s="3">
        <v>12.4146242143274</v>
      </c>
      <c r="I68" s="3">
        <v>20.6638850365627</v>
      </c>
      <c r="J68" s="3">
        <v>16.866287696708</v>
      </c>
      <c r="K68" s="3">
        <v>14.259760330008699</v>
      </c>
      <c r="L68" s="3">
        <v>16.273201508892701</v>
      </c>
      <c r="M68" s="3">
        <v>14.735128640908099</v>
      </c>
      <c r="N68" s="3">
        <v>10.856875433249501</v>
      </c>
    </row>
    <row r="69" spans="1:14" x14ac:dyDescent="0.35">
      <c r="A69" s="2">
        <v>43759</v>
      </c>
      <c r="B69" s="3">
        <v>25.430724698962301</v>
      </c>
      <c r="C69" s="3">
        <v>16.759410687036301</v>
      </c>
      <c r="D69" s="3">
        <v>13.796856297187301</v>
      </c>
      <c r="E69" s="3">
        <v>13.401158560941001</v>
      </c>
      <c r="F69" s="3">
        <v>13.5534859847126</v>
      </c>
      <c r="G69" s="3">
        <v>17.005059610435101</v>
      </c>
      <c r="H69" s="3">
        <v>12.434357338553101</v>
      </c>
      <c r="I69" s="3">
        <v>20.780317401431201</v>
      </c>
      <c r="J69" s="3">
        <v>16.995495294032299</v>
      </c>
      <c r="K69" s="3">
        <v>14.257859335381101</v>
      </c>
      <c r="L69" s="3">
        <v>16.1822029461404</v>
      </c>
      <c r="M69" s="3">
        <v>15.6964436646407</v>
      </c>
      <c r="N69" s="3">
        <v>10.9480613718074</v>
      </c>
    </row>
    <row r="70" spans="1:14" x14ac:dyDescent="0.35">
      <c r="A70" s="2">
        <v>43790</v>
      </c>
      <c r="B70" s="3">
        <v>25.0623730738739</v>
      </c>
      <c r="C70" s="3">
        <v>16.919393799510999</v>
      </c>
      <c r="D70" s="3">
        <v>14.3453538518953</v>
      </c>
      <c r="E70" s="3">
        <v>13.9293908971687</v>
      </c>
      <c r="F70" s="3">
        <v>14.0770957301772</v>
      </c>
      <c r="G70" s="3">
        <v>17.364725214367201</v>
      </c>
      <c r="H70" s="3">
        <v>12.696624014630499</v>
      </c>
      <c r="I70" s="3">
        <v>21.686488999103101</v>
      </c>
      <c r="J70" s="3">
        <v>17.530603214877399</v>
      </c>
      <c r="K70" s="3">
        <v>14.7070831876899</v>
      </c>
      <c r="L70" s="3">
        <v>16.513724945744801</v>
      </c>
      <c r="M70" s="3">
        <v>15.517939753747701</v>
      </c>
      <c r="N70" s="3">
        <v>11.2081993088727</v>
      </c>
    </row>
    <row r="71" spans="1:14" x14ac:dyDescent="0.35">
      <c r="A71" s="2">
        <v>43819</v>
      </c>
      <c r="B71" s="3">
        <v>25.9790548918875</v>
      </c>
      <c r="C71" s="3">
        <v>17.461531392830899</v>
      </c>
      <c r="D71" s="3">
        <v>14.520281912079</v>
      </c>
      <c r="E71" s="3">
        <v>14.219254891300899</v>
      </c>
      <c r="F71" s="3">
        <v>14.632513626746899</v>
      </c>
      <c r="G71" s="3">
        <v>17.879137142902799</v>
      </c>
      <c r="H71" s="3">
        <v>13.4664607816512</v>
      </c>
      <c r="I71" s="3">
        <v>22.577206833141101</v>
      </c>
      <c r="J71" s="3">
        <v>18.115284370615999</v>
      </c>
      <c r="K71" s="3">
        <v>14.964725029894501</v>
      </c>
      <c r="L71" s="3">
        <v>17.164647855799899</v>
      </c>
      <c r="M71" s="3">
        <v>16.286145532511298</v>
      </c>
      <c r="N71" s="3">
        <v>11.6441301000518</v>
      </c>
    </row>
    <row r="72" spans="1:14" x14ac:dyDescent="0.35">
      <c r="A72" s="2">
        <v>43851</v>
      </c>
      <c r="B72" s="3">
        <v>26.414777359285601</v>
      </c>
      <c r="C72" s="3">
        <v>18.048956670184701</v>
      </c>
      <c r="D72" s="3">
        <v>14.719273019904699</v>
      </c>
      <c r="E72" s="3">
        <v>14.414801456550499</v>
      </c>
      <c r="F72" s="3">
        <v>14.625274331532101</v>
      </c>
      <c r="G72" s="3">
        <v>18.268009040486199</v>
      </c>
      <c r="H72" s="3">
        <v>13.519798315393</v>
      </c>
      <c r="I72" s="3">
        <v>23.6919675851478</v>
      </c>
      <c r="J72" s="3">
        <v>18.5893304743797</v>
      </c>
      <c r="K72" s="3">
        <v>15.0577096917176</v>
      </c>
      <c r="L72" s="3">
        <v>17.247480353511801</v>
      </c>
      <c r="M72" s="3">
        <v>16.478452012540298</v>
      </c>
      <c r="N72" s="3">
        <v>11.507500051632199</v>
      </c>
    </row>
    <row r="73" spans="1:14" x14ac:dyDescent="0.35">
      <c r="A73" s="2">
        <v>43882</v>
      </c>
      <c r="B73" s="3">
        <v>27.4450754740487</v>
      </c>
      <c r="C73" s="3">
        <v>18.346735180880099</v>
      </c>
      <c r="D73" s="3">
        <v>15.0150758140171</v>
      </c>
      <c r="E73" s="3">
        <v>14.375801549094</v>
      </c>
      <c r="F73" s="3">
        <v>14.2410865040729</v>
      </c>
      <c r="G73" s="3">
        <v>18.4692071763161</v>
      </c>
      <c r="H73" s="3">
        <v>13.3265763328665</v>
      </c>
      <c r="I73" s="3">
        <v>23.862699795902699</v>
      </c>
      <c r="J73" s="3">
        <v>18.709780704168899</v>
      </c>
      <c r="K73" s="3">
        <v>15.1653896301816</v>
      </c>
      <c r="L73" s="3">
        <v>17.8739988674667</v>
      </c>
      <c r="M73" s="3">
        <v>16.9047108510599</v>
      </c>
      <c r="N73" s="3">
        <v>11.828448499122</v>
      </c>
    </row>
    <row r="74" spans="1:14" x14ac:dyDescent="0.35">
      <c r="A74" s="2">
        <v>43910</v>
      </c>
      <c r="B74" s="3">
        <v>22.851064071848999</v>
      </c>
      <c r="C74" s="3">
        <v>12.7641802991023</v>
      </c>
      <c r="D74" s="3">
        <v>11.124202499292201</v>
      </c>
      <c r="E74" s="3">
        <v>10.004337404113601</v>
      </c>
      <c r="F74" s="3">
        <v>11.0345319948362</v>
      </c>
      <c r="G74" s="3">
        <v>14.433109313131901</v>
      </c>
      <c r="H74" s="3">
        <v>10.1166116481985</v>
      </c>
      <c r="I74" s="3">
        <v>18.038494909665001</v>
      </c>
      <c r="J74" s="3">
        <v>13.406835718475801</v>
      </c>
      <c r="K74" s="3">
        <v>10.9569264585363</v>
      </c>
      <c r="L74" s="3">
        <v>12.629163133726699</v>
      </c>
      <c r="M74" s="3">
        <v>12.2671867858782</v>
      </c>
      <c r="N74" s="3">
        <v>8.3541135279334409</v>
      </c>
    </row>
    <row r="75" spans="1:14" x14ac:dyDescent="0.35">
      <c r="A75" s="2">
        <v>43942</v>
      </c>
      <c r="B75" s="3">
        <v>28.460452732969198</v>
      </c>
      <c r="C75" s="3">
        <v>15.8587679005508</v>
      </c>
      <c r="D75" s="3">
        <v>15.061838215567001</v>
      </c>
      <c r="E75" s="3">
        <v>13.6666349359134</v>
      </c>
      <c r="F75" s="3">
        <v>13.285432170242601</v>
      </c>
      <c r="G75" s="3">
        <v>17.733973471090799</v>
      </c>
      <c r="H75" s="3">
        <v>13.488002239712999</v>
      </c>
      <c r="I75" s="3">
        <v>23.197599472162999</v>
      </c>
      <c r="J75" s="3">
        <v>18.5635069703855</v>
      </c>
      <c r="K75" s="3">
        <v>14.9856958741954</v>
      </c>
      <c r="L75" s="3">
        <v>16.068009166090899</v>
      </c>
      <c r="M75" s="3">
        <v>15.9393254923857</v>
      </c>
      <c r="N75" s="3">
        <v>11.092784968303301</v>
      </c>
    </row>
    <row r="76" spans="1:14" x14ac:dyDescent="0.35">
      <c r="A76" s="2">
        <v>43972</v>
      </c>
      <c r="B76" s="3">
        <v>31.1701481973904</v>
      </c>
      <c r="C76" s="3">
        <v>17.795414747598102</v>
      </c>
      <c r="D76" s="3">
        <v>18.189876424166901</v>
      </c>
      <c r="E76" s="3">
        <v>15.823347183645099</v>
      </c>
      <c r="F76" s="3">
        <v>14.999936556794999</v>
      </c>
      <c r="G76" s="3">
        <v>18.949781239662901</v>
      </c>
      <c r="H76" s="3">
        <v>15.597094650797301</v>
      </c>
      <c r="I76" s="3">
        <v>26.9400892084094</v>
      </c>
      <c r="J76" s="3">
        <v>21.030425301907702</v>
      </c>
      <c r="K76" s="3">
        <v>16.5118704375903</v>
      </c>
      <c r="L76" s="3">
        <v>17.940887083962402</v>
      </c>
      <c r="M76" s="3">
        <v>17.7242056320997</v>
      </c>
      <c r="N76" s="3">
        <v>14.7608812140403</v>
      </c>
    </row>
    <row r="77" spans="1:14" x14ac:dyDescent="0.35">
      <c r="A77" s="2">
        <v>44001</v>
      </c>
      <c r="B77" s="3">
        <v>30.433855199104901</v>
      </c>
      <c r="C77" s="3">
        <v>19.0173691939851</v>
      </c>
      <c r="D77" s="3">
        <v>17.865132758376401</v>
      </c>
      <c r="E77" s="3">
        <v>17.834585882458398</v>
      </c>
      <c r="F77" s="3">
        <v>17.810235118596101</v>
      </c>
      <c r="G77" s="3">
        <v>19.601342499330801</v>
      </c>
      <c r="H77" s="3">
        <v>16.236231788626</v>
      </c>
      <c r="I77" s="3">
        <v>28.297376719700601</v>
      </c>
      <c r="J77" s="3">
        <v>21.735687313507999</v>
      </c>
      <c r="K77" s="3">
        <v>18.8911848801879</v>
      </c>
      <c r="L77" s="3">
        <v>19.731668782117499</v>
      </c>
      <c r="M77" s="3">
        <v>19.015592094788399</v>
      </c>
      <c r="N77" s="3">
        <v>17.487520349284399</v>
      </c>
    </row>
    <row r="78" spans="1:14" x14ac:dyDescent="0.35">
      <c r="A78" s="2">
        <v>44033</v>
      </c>
      <c r="B78" s="3">
        <v>32.548905860884098</v>
      </c>
      <c r="C78" s="3">
        <v>19.7432777024407</v>
      </c>
      <c r="D78" s="3">
        <v>17.697729937597401</v>
      </c>
      <c r="E78" s="3">
        <v>18.833316708503101</v>
      </c>
      <c r="F78" s="3">
        <v>18.0101796738705</v>
      </c>
      <c r="G78" s="3">
        <v>20.024180040204602</v>
      </c>
      <c r="H78" s="3">
        <v>16.065029897026701</v>
      </c>
      <c r="I78" s="3">
        <v>29.8039480748462</v>
      </c>
      <c r="J78" s="3">
        <v>22.4131559688899</v>
      </c>
      <c r="K78" s="3">
        <v>19.912114042850401</v>
      </c>
      <c r="L78" s="3">
        <v>20.430618436510301</v>
      </c>
      <c r="M78" s="3">
        <v>19.635468952927301</v>
      </c>
      <c r="N78" s="3">
        <v>18.018826101763501</v>
      </c>
    </row>
    <row r="79" spans="1:14" x14ac:dyDescent="0.35">
      <c r="A79" s="2">
        <v>44064</v>
      </c>
      <c r="B79" s="3">
        <v>32.5514963066558</v>
      </c>
      <c r="C79" s="3">
        <v>19.66895118923</v>
      </c>
      <c r="D79" s="3">
        <v>17.355029078592398</v>
      </c>
      <c r="E79" s="3">
        <v>17.734796654842601</v>
      </c>
      <c r="F79" s="3">
        <v>17.961846272806898</v>
      </c>
      <c r="G79" s="3">
        <v>19.496083910640401</v>
      </c>
      <c r="H79" s="3">
        <v>15.2908968781441</v>
      </c>
      <c r="I79" s="3">
        <v>30.150463875526299</v>
      </c>
      <c r="J79" s="3">
        <v>22.3438545420948</v>
      </c>
      <c r="K79" s="3">
        <v>19.285851799007599</v>
      </c>
      <c r="L79" s="3">
        <v>19.628632827134201</v>
      </c>
      <c r="M79" s="3">
        <v>17.998150229311701</v>
      </c>
      <c r="N79" s="3">
        <v>15.9451028948637</v>
      </c>
    </row>
    <row r="80" spans="1:14" x14ac:dyDescent="0.35">
      <c r="A80" s="2">
        <v>44095</v>
      </c>
      <c r="B80" s="3">
        <v>30.892723901626098</v>
      </c>
      <c r="C80" s="3">
        <v>18.196742177286399</v>
      </c>
      <c r="D80" s="3">
        <v>16.268284562497701</v>
      </c>
      <c r="E80" s="3">
        <v>16.731078848903099</v>
      </c>
      <c r="F80" s="3">
        <v>18.414478207531101</v>
      </c>
      <c r="G80" s="3">
        <v>19.168663384628601</v>
      </c>
      <c r="H80" s="3">
        <v>14.330870752457299</v>
      </c>
      <c r="I80" s="3">
        <v>28.2347566859046</v>
      </c>
      <c r="J80" s="3">
        <v>21.1326012717679</v>
      </c>
      <c r="K80" s="3">
        <v>18.072722123142899</v>
      </c>
      <c r="L80" s="3">
        <v>18.847364557776199</v>
      </c>
      <c r="M80" s="3">
        <v>17.826510362478398</v>
      </c>
      <c r="N80" s="3">
        <v>14.7315639704691</v>
      </c>
    </row>
    <row r="81" spans="1:14" x14ac:dyDescent="0.35">
      <c r="A81" s="2">
        <v>44125</v>
      </c>
      <c r="B81" s="3">
        <v>33.069333330284103</v>
      </c>
      <c r="C81" s="3">
        <v>18.624876123273999</v>
      </c>
      <c r="D81" s="3">
        <v>15.938826720164201</v>
      </c>
      <c r="E81" s="3">
        <v>16.095571709290201</v>
      </c>
      <c r="F81" s="3">
        <v>17.8751558731093</v>
      </c>
      <c r="G81" s="3">
        <v>18.5161995234361</v>
      </c>
      <c r="H81" s="3">
        <v>13.857571628970501</v>
      </c>
      <c r="I81" s="3">
        <v>29.4877231199116</v>
      </c>
      <c r="J81" s="3">
        <v>21.574942713752399</v>
      </c>
      <c r="K81" s="3">
        <v>17.8546368966472</v>
      </c>
      <c r="L81" s="3">
        <v>19.5874234742246</v>
      </c>
      <c r="M81" s="3">
        <v>17.116110649754201</v>
      </c>
      <c r="N81" s="3">
        <v>14.2741902544344</v>
      </c>
    </row>
    <row r="82" spans="1:14" x14ac:dyDescent="0.35">
      <c r="A82" s="2">
        <v>44155</v>
      </c>
      <c r="B82" s="3">
        <v>32.026205722933199</v>
      </c>
      <c r="C82" s="3">
        <v>19.485299545510401</v>
      </c>
      <c r="D82" s="3">
        <v>16.037867979662501</v>
      </c>
      <c r="E82" s="3">
        <v>16.163053124776098</v>
      </c>
      <c r="F82" s="3">
        <v>18.355435010591702</v>
      </c>
      <c r="G82" s="3">
        <v>18.885577394852799</v>
      </c>
      <c r="H82" s="3">
        <v>14.7174342010948</v>
      </c>
      <c r="I82" s="3">
        <v>28.9387351672219</v>
      </c>
      <c r="J82" s="3">
        <v>21.5485902980876</v>
      </c>
      <c r="K82" s="3">
        <v>19.1074525426543</v>
      </c>
      <c r="L82" s="3">
        <v>20.5880690405058</v>
      </c>
      <c r="M82" s="3">
        <v>17.305013094603499</v>
      </c>
      <c r="N82" s="3">
        <v>15.049103312726499</v>
      </c>
    </row>
    <row r="83" spans="1:14" x14ac:dyDescent="0.35">
      <c r="A83" s="2">
        <v>44186</v>
      </c>
      <c r="B83" s="3">
        <v>33.131158013413803</v>
      </c>
      <c r="C83" s="3">
        <v>19.294047968066799</v>
      </c>
      <c r="D83" s="3">
        <v>15.9399397464648</v>
      </c>
      <c r="E83" s="3">
        <v>15.711905182622701</v>
      </c>
      <c r="F83" s="3">
        <v>18.335666322559099</v>
      </c>
      <c r="G83" s="3">
        <v>18.239213874147101</v>
      </c>
      <c r="H83" s="3">
        <v>14.2883532513017</v>
      </c>
      <c r="I83" s="3">
        <v>29.805817800957001</v>
      </c>
      <c r="J83" s="3">
        <v>22.219954350394399</v>
      </c>
      <c r="K83" s="3">
        <v>17.748952470966302</v>
      </c>
      <c r="L83" s="3">
        <v>20.222609549889999</v>
      </c>
      <c r="M83" s="3">
        <v>16.846434611034201</v>
      </c>
      <c r="N83" s="3">
        <v>14.427988956344601</v>
      </c>
    </row>
    <row r="84" spans="1:14" x14ac:dyDescent="0.35">
      <c r="A84" s="2">
        <v>44217</v>
      </c>
      <c r="B84" s="3">
        <v>33.606158726921599</v>
      </c>
      <c r="C84" s="3">
        <v>19.356047139177701</v>
      </c>
      <c r="D84" s="3">
        <v>16.007824936489001</v>
      </c>
      <c r="E84" s="3">
        <v>16.0717508208376</v>
      </c>
      <c r="F84" s="3">
        <v>18.730859024421701</v>
      </c>
      <c r="G84" s="3">
        <v>18.977092346156599</v>
      </c>
      <c r="H84" s="3">
        <v>14.427852116513</v>
      </c>
      <c r="I84" s="3">
        <v>30.882865529418499</v>
      </c>
      <c r="J84" s="3">
        <v>22.519838739085099</v>
      </c>
      <c r="K84" s="3">
        <v>17.9921083784036</v>
      </c>
      <c r="L84" s="3">
        <v>21.7573129460276</v>
      </c>
      <c r="M84" s="3">
        <v>18.931312973747001</v>
      </c>
      <c r="N84" s="3">
        <v>13.71568750438</v>
      </c>
    </row>
    <row r="85" spans="1:14" x14ac:dyDescent="0.35">
      <c r="A85" s="2">
        <v>44246</v>
      </c>
      <c r="B85" s="3">
        <v>31.610052934896</v>
      </c>
      <c r="C85" s="3">
        <v>18.413316991786498</v>
      </c>
      <c r="D85" s="3">
        <v>16.070555796830401</v>
      </c>
      <c r="E85" s="3">
        <v>15.678071405355199</v>
      </c>
      <c r="F85" s="3">
        <v>18.5883420228175</v>
      </c>
      <c r="G85" s="3">
        <v>18.756946249559999</v>
      </c>
      <c r="H85" s="3">
        <v>14.1722355021888</v>
      </c>
      <c r="I85" s="3">
        <v>29.668559659054701</v>
      </c>
      <c r="J85" s="3">
        <v>22.019360178355399</v>
      </c>
      <c r="K85" s="3">
        <v>18.027615441804301</v>
      </c>
      <c r="L85" s="3">
        <v>22.5778810362219</v>
      </c>
      <c r="M85" s="3">
        <v>19.031499672865301</v>
      </c>
      <c r="N85" s="3">
        <v>13.922133315636099</v>
      </c>
    </row>
    <row r="86" spans="1:14" x14ac:dyDescent="0.35">
      <c r="A86" s="2">
        <v>44274</v>
      </c>
      <c r="B86" s="3">
        <v>32.424538498943299</v>
      </c>
      <c r="C86" s="3">
        <v>17.7126631217482</v>
      </c>
      <c r="D86" s="3">
        <v>15.493140498619599</v>
      </c>
      <c r="E86" s="3">
        <v>15.927062833414601</v>
      </c>
      <c r="F86" s="3">
        <v>18.1307878884435</v>
      </c>
      <c r="G86" s="3">
        <v>18.680324432353999</v>
      </c>
      <c r="H86" s="3">
        <v>13.8188699080417</v>
      </c>
      <c r="I86" s="3">
        <v>27.5395164184518</v>
      </c>
      <c r="J86" s="3">
        <v>21.636627467518899</v>
      </c>
      <c r="K86" s="3">
        <v>18.239219769310001</v>
      </c>
      <c r="L86" s="3">
        <v>21.861615403076399</v>
      </c>
      <c r="M86" s="3">
        <v>20.014947752091398</v>
      </c>
      <c r="N86" s="3">
        <v>13.981833957160701</v>
      </c>
    </row>
    <row r="87" spans="1:14" x14ac:dyDescent="0.35">
      <c r="A87" s="2">
        <v>44307</v>
      </c>
      <c r="B87" s="3">
        <v>31.857809849030101</v>
      </c>
      <c r="C87" s="3">
        <v>18.054161262418699</v>
      </c>
      <c r="D87" s="3">
        <v>15.472942664662099</v>
      </c>
      <c r="E87" s="3">
        <v>15.6632144330014</v>
      </c>
      <c r="F87" s="3">
        <v>16.6872326314258</v>
      </c>
      <c r="G87" s="3">
        <v>19.323902601852801</v>
      </c>
      <c r="H87" s="3">
        <v>13.4007584679954</v>
      </c>
      <c r="I87" s="3">
        <v>29.441734905081098</v>
      </c>
      <c r="J87" s="3">
        <v>22.325532696851202</v>
      </c>
      <c r="K87" s="3">
        <v>18.054378362064799</v>
      </c>
      <c r="L87" s="3">
        <v>22.140194399517501</v>
      </c>
      <c r="M87" s="3">
        <v>19.4563808103231</v>
      </c>
      <c r="N87" s="3">
        <v>13.638284138685099</v>
      </c>
    </row>
    <row r="88" spans="1:14" x14ac:dyDescent="0.35">
      <c r="A88" s="2">
        <v>44337</v>
      </c>
      <c r="B88" s="3">
        <v>32.5951864597289</v>
      </c>
      <c r="C88" s="3">
        <v>17.746026508714799</v>
      </c>
      <c r="D88" s="3">
        <v>15.3447925811567</v>
      </c>
      <c r="E88" s="3">
        <v>14.784207298468701</v>
      </c>
      <c r="F88" s="3">
        <v>16.248578029406598</v>
      </c>
      <c r="G88" s="3">
        <v>19.090730410894</v>
      </c>
      <c r="H88" s="3">
        <v>13.2470585531601</v>
      </c>
      <c r="I88" s="3">
        <v>26.566659907103102</v>
      </c>
      <c r="J88" s="3">
        <v>21.1118927102508</v>
      </c>
      <c r="K88" s="3">
        <v>17.717837651369901</v>
      </c>
      <c r="L88" s="3">
        <v>21.200612103795699</v>
      </c>
      <c r="M88" s="3">
        <v>18.018661856391599</v>
      </c>
      <c r="N88" s="3">
        <v>13.4035616926896</v>
      </c>
    </row>
    <row r="89" spans="1:14" x14ac:dyDescent="0.35">
      <c r="A89" s="2">
        <v>44368</v>
      </c>
      <c r="B89" s="3">
        <v>33.335220945307597</v>
      </c>
      <c r="C89" s="3">
        <v>17.723112722785999</v>
      </c>
      <c r="D89" s="3">
        <v>15.6368164439859</v>
      </c>
      <c r="E89" s="3">
        <v>14.8789180639029</v>
      </c>
      <c r="F89" s="3">
        <v>15.9267787458733</v>
      </c>
      <c r="G89" s="3">
        <v>19.9257100693839</v>
      </c>
      <c r="H89" s="3">
        <v>12.9441028228714</v>
      </c>
      <c r="I89" s="3">
        <v>27.6289244888738</v>
      </c>
      <c r="J89" s="3">
        <v>21.1042996958654</v>
      </c>
      <c r="K89" s="3">
        <v>17.8282858512272</v>
      </c>
      <c r="L89" s="3">
        <v>21.212357214418599</v>
      </c>
      <c r="M89" s="3">
        <v>18.648344142865199</v>
      </c>
      <c r="N89" s="3">
        <v>13.6321018750563</v>
      </c>
    </row>
    <row r="90" spans="1:14" x14ac:dyDescent="0.35">
      <c r="A90" s="2">
        <v>44398</v>
      </c>
      <c r="B90" s="3">
        <v>34.178327126225398</v>
      </c>
      <c r="C90" s="3">
        <v>16.632832276374302</v>
      </c>
      <c r="D90" s="3">
        <v>15.1501678342507</v>
      </c>
      <c r="E90" s="3">
        <v>14.3062984959268</v>
      </c>
      <c r="F90" s="3">
        <v>15.650199495252499</v>
      </c>
      <c r="G90" s="3">
        <v>19.6162267482493</v>
      </c>
      <c r="H90" s="3">
        <v>12.3179134536006</v>
      </c>
      <c r="I90" s="3">
        <v>28.677441735044201</v>
      </c>
      <c r="J90" s="3">
        <v>21.2528937768957</v>
      </c>
      <c r="K90" s="3">
        <v>16.8208811006403</v>
      </c>
      <c r="L90" s="3">
        <v>20.879029412028299</v>
      </c>
      <c r="M90" s="3">
        <v>18.531528837361002</v>
      </c>
      <c r="N90" s="3">
        <v>12.852794609681901</v>
      </c>
    </row>
    <row r="91" spans="1:14" x14ac:dyDescent="0.35">
      <c r="A91" s="2">
        <v>44428</v>
      </c>
      <c r="B91" s="3">
        <v>34.447778075608802</v>
      </c>
      <c r="C91" s="3">
        <v>16.8478149498353</v>
      </c>
      <c r="D91" s="3">
        <v>14.8412872254299</v>
      </c>
      <c r="E91" s="3">
        <v>14.189976110345601</v>
      </c>
      <c r="F91" s="3">
        <v>14.9219723081459</v>
      </c>
      <c r="G91" s="3">
        <v>19.8874051650421</v>
      </c>
      <c r="H91" s="3">
        <v>12.0728240155735</v>
      </c>
      <c r="I91" s="3">
        <v>27.7932014826605</v>
      </c>
      <c r="J91" s="3">
        <v>20.919533357891002</v>
      </c>
      <c r="K91" s="3">
        <v>16.1990348598876</v>
      </c>
      <c r="L91" s="3">
        <v>21.5155661854672</v>
      </c>
      <c r="M91" s="3">
        <v>18.3372118566773</v>
      </c>
      <c r="N91" s="3">
        <v>12.018606303333399</v>
      </c>
    </row>
    <row r="92" spans="1:14" x14ac:dyDescent="0.35">
      <c r="A92" s="2">
        <v>44460</v>
      </c>
      <c r="B92" s="3">
        <v>34.727368423788903</v>
      </c>
      <c r="C92" s="3">
        <v>16.762660755134</v>
      </c>
      <c r="D92" s="3">
        <v>14.491188830225299</v>
      </c>
      <c r="E92" s="3">
        <v>13.6941462152315</v>
      </c>
      <c r="F92" s="3">
        <v>15.820138674965699</v>
      </c>
      <c r="G92" s="3">
        <v>18.7283388944583</v>
      </c>
      <c r="H92" s="3">
        <v>11.789457155005399</v>
      </c>
      <c r="I92" s="3">
        <v>27.456647413831501</v>
      </c>
      <c r="J92" s="3">
        <v>20.360441392488902</v>
      </c>
      <c r="K92" s="3">
        <v>15.885061115345501</v>
      </c>
      <c r="L92" s="3">
        <v>21.345613063213101</v>
      </c>
      <c r="M92" s="3">
        <v>17.881147811062299</v>
      </c>
      <c r="N92" s="3">
        <v>11.445078326571201</v>
      </c>
    </row>
    <row r="93" spans="1:14" x14ac:dyDescent="0.35">
      <c r="A93" s="2">
        <v>44490</v>
      </c>
      <c r="B93" s="3">
        <v>33.777251491104003</v>
      </c>
      <c r="C93" s="3">
        <v>17.622633246895798</v>
      </c>
      <c r="D93" s="3">
        <v>15.109229831954799</v>
      </c>
      <c r="E93" s="3">
        <v>13.635533122502499</v>
      </c>
      <c r="F93" s="3">
        <v>15.1630780093378</v>
      </c>
      <c r="G93" s="3">
        <v>18.904202031094702</v>
      </c>
      <c r="H93" s="3">
        <v>12.1833370835061</v>
      </c>
      <c r="I93" s="3">
        <v>28.1341197673101</v>
      </c>
      <c r="J93" s="3">
        <v>20.963121176845299</v>
      </c>
      <c r="K93" s="3">
        <v>15.5654178167045</v>
      </c>
      <c r="L93" s="3">
        <v>21.105650087115901</v>
      </c>
      <c r="M93" s="3">
        <v>18.403602509199999</v>
      </c>
      <c r="N93" s="3">
        <v>11.7223909091765</v>
      </c>
    </row>
    <row r="94" spans="1:14" x14ac:dyDescent="0.35">
      <c r="A94" s="2">
        <v>44519</v>
      </c>
      <c r="B94" s="3">
        <v>32.634863917927497</v>
      </c>
      <c r="C94" s="3">
        <v>17.2501593311286</v>
      </c>
      <c r="D94" s="3">
        <v>14.8603055652879</v>
      </c>
      <c r="E94" s="3">
        <v>13.7604013796232</v>
      </c>
      <c r="F94" s="3">
        <v>15.306601254858601</v>
      </c>
      <c r="G94" s="3">
        <v>19.3294429478021</v>
      </c>
      <c r="H94" s="3">
        <v>11.973637402876101</v>
      </c>
      <c r="I94" s="3">
        <v>29.929964191434099</v>
      </c>
      <c r="J94" s="3">
        <v>21.3487005936896</v>
      </c>
      <c r="K94" s="3">
        <v>15.9378425770741</v>
      </c>
      <c r="L94" s="3">
        <v>21.516163483814601</v>
      </c>
      <c r="M94" s="3">
        <v>18.8597221754694</v>
      </c>
      <c r="N94" s="3">
        <v>11.5928211158226</v>
      </c>
    </row>
    <row r="95" spans="1:14" x14ac:dyDescent="0.35">
      <c r="A95" s="2">
        <v>44551</v>
      </c>
      <c r="B95" s="3">
        <v>32.297275652961098</v>
      </c>
      <c r="C95" s="3">
        <v>17.224785215551599</v>
      </c>
      <c r="D95" s="3">
        <v>14.255640796583</v>
      </c>
      <c r="E95" s="3">
        <v>13.081222287847799</v>
      </c>
      <c r="F95" s="3">
        <v>14.4190861341056</v>
      </c>
      <c r="G95" s="3">
        <v>19.4004330621771</v>
      </c>
      <c r="H95" s="3">
        <v>11.9486755208044</v>
      </c>
      <c r="I95" s="3">
        <v>28.662440917969001</v>
      </c>
      <c r="J95" s="3">
        <v>20.8993152726411</v>
      </c>
      <c r="K95" s="3">
        <v>15.435605918384599</v>
      </c>
      <c r="L95" s="3">
        <v>19.894307851139899</v>
      </c>
      <c r="M95" s="3">
        <v>17.832805081754799</v>
      </c>
      <c r="N95" s="3">
        <v>10.8317913621391</v>
      </c>
    </row>
    <row r="96" spans="1:14" x14ac:dyDescent="0.35">
      <c r="A96" s="2">
        <v>44582</v>
      </c>
      <c r="B96" s="3">
        <v>30.224138239744601</v>
      </c>
      <c r="C96" s="3">
        <v>16.632827717147102</v>
      </c>
      <c r="D96" s="3">
        <v>13.845544089037899</v>
      </c>
      <c r="E96" s="3">
        <v>13.078401699116901</v>
      </c>
      <c r="F96" s="3">
        <v>13.908097925166601</v>
      </c>
      <c r="G96" s="3">
        <v>18.581218504271</v>
      </c>
      <c r="H96" s="3">
        <v>12.324921335303699</v>
      </c>
      <c r="I96" s="3">
        <v>25.6563748647302</v>
      </c>
      <c r="J96" s="3">
        <v>19.557368126588599</v>
      </c>
      <c r="K96" s="3">
        <v>15.329715297626599</v>
      </c>
      <c r="L96" s="3">
        <v>19.114884310226</v>
      </c>
      <c r="M96" s="3">
        <v>16.961464889617201</v>
      </c>
      <c r="N96" s="3">
        <v>10.998190873287101</v>
      </c>
    </row>
    <row r="97" spans="1:14" x14ac:dyDescent="0.35">
      <c r="A97" s="2">
        <v>44610</v>
      </c>
      <c r="B97" s="3">
        <v>29.4572258063608</v>
      </c>
      <c r="C97" s="3">
        <v>15.761970279423499</v>
      </c>
      <c r="D97" s="3">
        <v>13.868393052125301</v>
      </c>
      <c r="E97" s="3">
        <v>12.353830908528201</v>
      </c>
      <c r="F97" s="3">
        <v>13.551260945640999</v>
      </c>
      <c r="G97" s="3">
        <v>18.0838679852456</v>
      </c>
      <c r="H97" s="3">
        <v>12.1458130526728</v>
      </c>
      <c r="I97" s="3">
        <v>24.459080505390901</v>
      </c>
      <c r="J97" s="3">
        <v>19.048506636935599</v>
      </c>
      <c r="K97" s="3">
        <v>14.5086923022308</v>
      </c>
      <c r="L97" s="3">
        <v>18.042736165589702</v>
      </c>
      <c r="M97" s="3">
        <v>15.6153795079444</v>
      </c>
      <c r="N97" s="3">
        <v>10.444037929157</v>
      </c>
    </row>
    <row r="98" spans="1:14" x14ac:dyDescent="0.35">
      <c r="A98" s="2">
        <v>44641</v>
      </c>
      <c r="B98" s="3">
        <v>29.420592154222899</v>
      </c>
      <c r="C98" s="3">
        <v>15.9171317503242</v>
      </c>
      <c r="D98" s="3">
        <v>13.879150174768199</v>
      </c>
      <c r="E98" s="3">
        <v>11.6433989429152</v>
      </c>
      <c r="F98" s="3">
        <v>13.0260380039586</v>
      </c>
      <c r="G98" s="3">
        <v>18.333595482174299</v>
      </c>
      <c r="H98" s="3">
        <v>11.711720723285399</v>
      </c>
      <c r="I98" s="3">
        <v>24.892308386277001</v>
      </c>
      <c r="J98" s="3">
        <v>19.249752745894099</v>
      </c>
      <c r="K98" s="3">
        <v>13.6679340154892</v>
      </c>
      <c r="L98" s="3">
        <v>18.0276738276191</v>
      </c>
      <c r="M98" s="3">
        <v>15.6656165396759</v>
      </c>
      <c r="N98" s="3">
        <v>9.5486107679618293</v>
      </c>
    </row>
    <row r="99" spans="1:14" x14ac:dyDescent="0.35">
      <c r="A99" s="2">
        <v>44672</v>
      </c>
      <c r="B99" s="3">
        <v>28.5362587417786</v>
      </c>
      <c r="C99" s="3">
        <v>15.730859576819199</v>
      </c>
      <c r="D99" s="3">
        <v>13.2610690901605</v>
      </c>
      <c r="E99" s="3">
        <v>11.599576158912001</v>
      </c>
      <c r="F99" s="3">
        <v>13.099538768109699</v>
      </c>
      <c r="G99" s="3">
        <v>18.278506084030901</v>
      </c>
      <c r="H99" s="3">
        <v>11.217057875985301</v>
      </c>
      <c r="I99" s="3">
        <v>23.543602085699799</v>
      </c>
      <c r="J99" s="3">
        <v>18.591903815492302</v>
      </c>
      <c r="K99" s="3">
        <v>13.411657885912801</v>
      </c>
      <c r="L99" s="3">
        <v>18.023384158630101</v>
      </c>
      <c r="M99" s="3">
        <v>15.270084209558901</v>
      </c>
      <c r="N99" s="3">
        <v>9.6226162917250999</v>
      </c>
    </row>
    <row r="100" spans="1:14" x14ac:dyDescent="0.35">
      <c r="A100" s="2">
        <v>44701</v>
      </c>
      <c r="B100" s="3">
        <v>27.399742282990701</v>
      </c>
      <c r="C100" s="3">
        <v>14.2815330275574</v>
      </c>
      <c r="D100" s="3">
        <v>12.207169112481701</v>
      </c>
      <c r="E100" s="3">
        <v>10.6635752618516</v>
      </c>
      <c r="F100" s="3">
        <v>12.6556590983758</v>
      </c>
      <c r="G100" s="3">
        <v>16.5153369609096</v>
      </c>
      <c r="H100" s="3">
        <v>10.232322656659401</v>
      </c>
      <c r="I100" s="3">
        <v>20.513145098268101</v>
      </c>
      <c r="J100" s="3">
        <v>16.450827546029</v>
      </c>
      <c r="K100" s="3">
        <v>12.0158623659605</v>
      </c>
      <c r="L100" s="3">
        <v>16.538216964431498</v>
      </c>
      <c r="M100" s="3">
        <v>15.658502638639201</v>
      </c>
      <c r="N100" s="3">
        <v>8.9078566906310304</v>
      </c>
    </row>
    <row r="101" spans="1:14" x14ac:dyDescent="0.35">
      <c r="A101" s="2">
        <v>44733</v>
      </c>
      <c r="B101" s="3">
        <v>25.420487477142</v>
      </c>
      <c r="C101" s="3">
        <v>12.618609075668999</v>
      </c>
      <c r="D101" s="3">
        <v>11.4230275376361</v>
      </c>
      <c r="E101" s="3">
        <v>10.114356372437801</v>
      </c>
      <c r="F101" s="3">
        <v>12.286961169275299</v>
      </c>
      <c r="G101" s="3">
        <v>15.278760168456399</v>
      </c>
      <c r="H101" s="3">
        <v>9.7524922352973</v>
      </c>
      <c r="I101" s="3">
        <v>19.854945144523001</v>
      </c>
      <c r="J101" s="3">
        <v>15.7098615272314</v>
      </c>
      <c r="K101" s="3">
        <v>11.336519300359299</v>
      </c>
      <c r="L101" s="3">
        <v>15.692567465080201</v>
      </c>
      <c r="M101" s="3">
        <v>14.365673070447601</v>
      </c>
      <c r="N101" s="3">
        <v>7.9754292630100503</v>
      </c>
    </row>
    <row r="102" spans="1:14" x14ac:dyDescent="0.35">
      <c r="A102" s="2">
        <v>44763</v>
      </c>
      <c r="B102" s="3">
        <v>26.0974755172847</v>
      </c>
      <c r="C102" s="3">
        <v>13.4061419668885</v>
      </c>
      <c r="D102" s="3">
        <v>11.2144317046449</v>
      </c>
      <c r="E102" s="3">
        <v>10.147103549785401</v>
      </c>
      <c r="F102" s="3">
        <v>12.842595689398699</v>
      </c>
      <c r="G102" s="3">
        <v>16.376236781429199</v>
      </c>
      <c r="H102" s="3">
        <v>9.6458100749257891</v>
      </c>
      <c r="I102" s="3">
        <v>21.9674197287571</v>
      </c>
      <c r="J102" s="3">
        <v>16.7390146902415</v>
      </c>
      <c r="K102" s="3">
        <v>11.535786995309801</v>
      </c>
      <c r="L102" s="3">
        <v>17.509850433387001</v>
      </c>
      <c r="M102" s="3">
        <v>15.0048541482304</v>
      </c>
      <c r="N102" s="3">
        <v>7.5324518528889399</v>
      </c>
    </row>
    <row r="103" spans="1:14" x14ac:dyDescent="0.35">
      <c r="A103" s="2">
        <v>44792</v>
      </c>
      <c r="B103" s="3">
        <v>27.4377608779436</v>
      </c>
      <c r="C103" s="3">
        <v>14.128291390044</v>
      </c>
      <c r="D103" s="3">
        <v>11.845422703197199</v>
      </c>
      <c r="E103" s="3">
        <v>10.090093152451001</v>
      </c>
      <c r="F103" s="3">
        <v>13.0534313838677</v>
      </c>
      <c r="G103" s="3">
        <v>16.7013940220146</v>
      </c>
      <c r="H103" s="3">
        <v>9.7356280821853396</v>
      </c>
      <c r="I103" s="3">
        <v>23.596473792947201</v>
      </c>
      <c r="J103" s="3">
        <v>17.827121986937598</v>
      </c>
      <c r="K103" s="3">
        <v>11.677297420919199</v>
      </c>
      <c r="L103" s="3">
        <v>17.3774864083402</v>
      </c>
      <c r="M103" s="3">
        <v>14.885854005508399</v>
      </c>
      <c r="N103" s="3">
        <v>7.6237050266990796</v>
      </c>
    </row>
    <row r="104" spans="1:14" x14ac:dyDescent="0.35">
      <c r="A104" s="2">
        <v>44825</v>
      </c>
      <c r="B104" s="3">
        <v>25.606235470096301</v>
      </c>
      <c r="C104" s="3">
        <v>13.074733334786201</v>
      </c>
      <c r="D104" s="3">
        <v>11.1932254234344</v>
      </c>
      <c r="E104" s="3">
        <v>9.5156166535363091</v>
      </c>
      <c r="F104" s="3">
        <v>12.4939120031807</v>
      </c>
      <c r="G104" s="3">
        <v>15.3816598890013</v>
      </c>
      <c r="H104" s="3">
        <v>9.0539877994380298</v>
      </c>
      <c r="I104" s="3">
        <v>20.632406856096601</v>
      </c>
      <c r="J104" s="3">
        <v>15.984390675839199</v>
      </c>
      <c r="K104" s="3">
        <v>10.7378094867274</v>
      </c>
      <c r="L104" s="3">
        <v>15.275406778130099</v>
      </c>
      <c r="M104" s="3">
        <v>13.425877712513399</v>
      </c>
      <c r="N104" s="3">
        <v>7.5972144870602696</v>
      </c>
    </row>
    <row r="105" spans="1:14" x14ac:dyDescent="0.35">
      <c r="A105" s="2">
        <v>44855</v>
      </c>
      <c r="B105" s="3">
        <v>23.089822667259799</v>
      </c>
      <c r="C105" s="3">
        <v>12.884081646550699</v>
      </c>
      <c r="D105" s="3">
        <v>11.146046791504901</v>
      </c>
      <c r="E105" s="3">
        <v>9.4606338309228004</v>
      </c>
      <c r="F105" s="3">
        <v>12.1773766822549</v>
      </c>
      <c r="G105" s="3">
        <v>15.1747497728607</v>
      </c>
      <c r="H105" s="3">
        <v>8.7099684695222201</v>
      </c>
      <c r="I105" s="3">
        <v>20.290836531115399</v>
      </c>
      <c r="J105" s="3">
        <v>15.9800842000671</v>
      </c>
      <c r="K105" s="3">
        <v>10.7631364751874</v>
      </c>
      <c r="L105" s="3">
        <v>14.7508581744744</v>
      </c>
      <c r="M105" s="3">
        <v>13.2774565422325</v>
      </c>
      <c r="N105" s="3">
        <v>7.4929181131129603</v>
      </c>
    </row>
    <row r="106" spans="1:14" x14ac:dyDescent="0.35">
      <c r="A106" s="2">
        <v>44886</v>
      </c>
      <c r="B106" s="3">
        <v>23.7665261406651</v>
      </c>
      <c r="C106" s="3">
        <v>14.1525393408405</v>
      </c>
      <c r="D106" s="3">
        <v>11.9086874598236</v>
      </c>
      <c r="E106" s="3">
        <v>10.707173568761499</v>
      </c>
      <c r="F106" s="3">
        <v>12.826819385062601</v>
      </c>
      <c r="G106" s="3">
        <v>16.727457322231601</v>
      </c>
      <c r="H106" s="3">
        <v>9.4535510602334796</v>
      </c>
      <c r="I106" s="3">
        <v>21.503399758900699</v>
      </c>
      <c r="J106" s="3">
        <v>17.094944153400501</v>
      </c>
      <c r="K106" s="3">
        <v>11.8762144926154</v>
      </c>
      <c r="L106" s="3">
        <v>16.316483858269901</v>
      </c>
      <c r="M106" s="3">
        <v>12.875961281318901</v>
      </c>
      <c r="N106" s="3">
        <v>8.1245444095547299</v>
      </c>
    </row>
    <row r="107" spans="1:14" x14ac:dyDescent="0.35">
      <c r="A107" s="2">
        <v>44916</v>
      </c>
      <c r="B107" s="3">
        <v>23.103433459761298</v>
      </c>
      <c r="C107" s="3">
        <v>14.251190507120301</v>
      </c>
      <c r="D107" s="3">
        <v>12.020977370230501</v>
      </c>
      <c r="E107" s="3">
        <v>10.5765128693462</v>
      </c>
      <c r="F107" s="3">
        <v>12.266308159953001</v>
      </c>
      <c r="G107" s="3">
        <v>16.431256373330601</v>
      </c>
      <c r="H107" s="3">
        <v>9.8553306852030396</v>
      </c>
      <c r="I107" s="3">
        <v>21.4041485457325</v>
      </c>
      <c r="J107" s="3">
        <v>16.816370610337898</v>
      </c>
      <c r="K107" s="3">
        <v>11.9822970846351</v>
      </c>
      <c r="L107" s="3">
        <v>15.836856524640201</v>
      </c>
      <c r="M107" s="3">
        <v>12.8283437557649</v>
      </c>
      <c r="N107" s="3">
        <v>7.7276355041820697</v>
      </c>
    </row>
    <row r="108" spans="1:14" x14ac:dyDescent="0.35">
      <c r="A108" s="2">
        <v>44946</v>
      </c>
      <c r="B108" s="3">
        <v>24.063018378360599</v>
      </c>
      <c r="C108" s="3">
        <v>14.8391724929427</v>
      </c>
      <c r="D108" s="3">
        <v>12.8610111435154</v>
      </c>
      <c r="E108" s="3">
        <v>11.4031199551592</v>
      </c>
      <c r="F108" s="3">
        <v>12.5353060275425</v>
      </c>
      <c r="G108" s="3">
        <v>17.2689454150476</v>
      </c>
      <c r="H108" s="3">
        <v>10.5877784049545</v>
      </c>
      <c r="I108" s="3">
        <v>22.2236460365379</v>
      </c>
      <c r="J108" s="3">
        <v>17.382522271508702</v>
      </c>
      <c r="K108" s="3">
        <v>12.990900458094501</v>
      </c>
      <c r="L108" s="3">
        <v>16.84158617221</v>
      </c>
      <c r="M108" s="3">
        <v>13.687652601463601</v>
      </c>
      <c r="N108" s="3">
        <v>8.2944078277433704</v>
      </c>
    </row>
    <row r="109" spans="1:14" x14ac:dyDescent="0.35">
      <c r="A109" s="2">
        <v>44978</v>
      </c>
      <c r="B109" s="3">
        <v>24.0529959648801</v>
      </c>
      <c r="C109" s="3">
        <v>14.756230072827501</v>
      </c>
      <c r="D109" s="3">
        <v>12.722569129651999</v>
      </c>
      <c r="E109" s="3">
        <v>11.616074466051</v>
      </c>
      <c r="F109" s="3">
        <v>13.0603617879196</v>
      </c>
      <c r="G109" s="3">
        <v>17.335502559982299</v>
      </c>
      <c r="H109" s="3">
        <v>10.705224217842201</v>
      </c>
      <c r="I109" s="3">
        <v>23.1656292730773</v>
      </c>
      <c r="J109" s="3">
        <v>17.613717180032399</v>
      </c>
      <c r="K109" s="3">
        <v>13.331218478883599</v>
      </c>
      <c r="L109" s="3">
        <v>16.7531693275352</v>
      </c>
      <c r="M109" s="3">
        <v>14.0436418626897</v>
      </c>
      <c r="N109" s="3">
        <v>8.4186162826952202</v>
      </c>
    </row>
    <row r="110" spans="1:14" x14ac:dyDescent="0.35">
      <c r="A110" s="2">
        <v>45006</v>
      </c>
      <c r="B110" s="3">
        <v>22.419244099727599</v>
      </c>
      <c r="C110" s="3">
        <v>13.7707582056508</v>
      </c>
      <c r="D110" s="3">
        <v>12.405909912745701</v>
      </c>
      <c r="E110" s="3">
        <v>11.166916788002601</v>
      </c>
      <c r="F110" s="3">
        <v>12.6518446630156</v>
      </c>
      <c r="G110" s="3">
        <v>16.6604416941883</v>
      </c>
      <c r="H110" s="3">
        <v>10.0626773468896</v>
      </c>
      <c r="I110" s="3">
        <v>24.259120627255101</v>
      </c>
      <c r="J110" s="3">
        <v>17.552011461428702</v>
      </c>
      <c r="K110" s="3">
        <v>12.943867277480599</v>
      </c>
      <c r="L110" s="3">
        <v>16.008300179092799</v>
      </c>
      <c r="M110" s="3">
        <v>13.4944151325824</v>
      </c>
      <c r="N110" s="3">
        <v>8.3048578144247394</v>
      </c>
    </row>
    <row r="111" spans="1:14" x14ac:dyDescent="0.35">
      <c r="A111" s="2">
        <v>45037</v>
      </c>
      <c r="B111" s="3">
        <v>23.296753898960901</v>
      </c>
      <c r="C111" s="3">
        <v>14.640958114296801</v>
      </c>
      <c r="D111" s="3">
        <v>13.161905133468199</v>
      </c>
      <c r="E111" s="3">
        <v>11.4581699961439</v>
      </c>
      <c r="F111" s="3">
        <v>13.3677652934759</v>
      </c>
      <c r="G111" s="3">
        <v>17.679605610838902</v>
      </c>
      <c r="H111" s="3">
        <v>10.8196702859917</v>
      </c>
      <c r="I111" s="3">
        <v>24.598202818638399</v>
      </c>
      <c r="J111" s="3">
        <v>18.159331464086399</v>
      </c>
      <c r="K111" s="3">
        <v>13.8221201314247</v>
      </c>
      <c r="L111" s="3">
        <v>16.1048878290033</v>
      </c>
      <c r="M111" s="3">
        <v>13.8147259010351</v>
      </c>
      <c r="N111" s="3">
        <v>8.7596680578266497</v>
      </c>
    </row>
    <row r="112" spans="1:14" x14ac:dyDescent="0.35">
      <c r="A112" s="2">
        <v>45065</v>
      </c>
      <c r="B112" s="3">
        <v>23.705107993858999</v>
      </c>
      <c r="C112" s="3">
        <v>14.626696760449301</v>
      </c>
      <c r="D112" s="3">
        <v>13.015149145694901</v>
      </c>
      <c r="E112" s="3">
        <v>11.158617909738</v>
      </c>
      <c r="F112" s="3">
        <v>14.243029742528501</v>
      </c>
      <c r="G112" s="3">
        <v>17.464003791476699</v>
      </c>
      <c r="H112" s="3">
        <v>10.479854861660399</v>
      </c>
      <c r="I112" s="3">
        <v>25.358853125320501</v>
      </c>
      <c r="J112" s="3">
        <v>18.2065945292617</v>
      </c>
      <c r="K112" s="3">
        <v>13.4845909072721</v>
      </c>
      <c r="L112" s="3">
        <v>15.883628124606799</v>
      </c>
      <c r="M112" s="3">
        <v>13.770496407954701</v>
      </c>
      <c r="N112" s="3">
        <v>8.3470069767515902</v>
      </c>
    </row>
    <row r="113" spans="1:25" x14ac:dyDescent="0.35">
      <c r="A113" s="2">
        <v>45098</v>
      </c>
      <c r="B113" s="3">
        <v>20.6799274290609</v>
      </c>
      <c r="C113" s="3">
        <v>15.1569114018553</v>
      </c>
      <c r="D113" s="3">
        <v>12.735765828151001</v>
      </c>
      <c r="E113" s="3">
        <v>10.7505204593879</v>
      </c>
      <c r="F113" s="3">
        <v>14.967259236554099</v>
      </c>
      <c r="G113" s="3">
        <v>16.336082085735601</v>
      </c>
      <c r="H113" s="3">
        <v>10.3395437867591</v>
      </c>
      <c r="I113" s="3">
        <v>26.312075128583899</v>
      </c>
      <c r="J113" s="3">
        <v>18.7735612345422</v>
      </c>
      <c r="K113" s="3">
        <v>13.1077498639611</v>
      </c>
      <c r="L113" s="3">
        <v>15.4945744300749</v>
      </c>
      <c r="M113" s="3">
        <v>13.429974424162999</v>
      </c>
      <c r="N113" s="3">
        <v>8.6591905952363604</v>
      </c>
    </row>
    <row r="114" spans="1:25" x14ac:dyDescent="0.35">
      <c r="A114" s="2">
        <v>45128</v>
      </c>
      <c r="B114" s="3">
        <v>20.9055429901282</v>
      </c>
      <c r="C114" s="3">
        <v>15.4266016489569</v>
      </c>
      <c r="D114" s="3">
        <v>13.486611249706399</v>
      </c>
      <c r="E114" s="3">
        <v>10.8332947227765</v>
      </c>
      <c r="F114" s="3">
        <v>14.536486237014699</v>
      </c>
      <c r="G114" s="3">
        <v>16.7017801923169</v>
      </c>
      <c r="H114" s="3">
        <v>10.6632279552539</v>
      </c>
      <c r="I114" s="3">
        <v>26.924264887051201</v>
      </c>
      <c r="J114" s="3">
        <v>19.4905434090951</v>
      </c>
      <c r="K114" s="3">
        <v>13.373730549090499</v>
      </c>
      <c r="L114" s="3">
        <v>15.8682394600487</v>
      </c>
      <c r="M114" s="3">
        <v>13.228471276446699</v>
      </c>
      <c r="N114" s="3">
        <v>8.8924291226570595</v>
      </c>
    </row>
    <row r="115" spans="1:25" x14ac:dyDescent="0.35">
      <c r="A115" s="2">
        <v>45159</v>
      </c>
      <c r="B115" s="3">
        <v>19.972635489435302</v>
      </c>
      <c r="C115" s="3">
        <v>14.870123720762001</v>
      </c>
      <c r="D115" s="3">
        <v>12.857744136759701</v>
      </c>
      <c r="E115" s="3">
        <v>10.456164908219</v>
      </c>
      <c r="F115" s="3">
        <v>14.0520203422211</v>
      </c>
      <c r="G115" s="3">
        <v>16.221933742328002</v>
      </c>
      <c r="H115" s="3">
        <v>10.133981159542101</v>
      </c>
      <c r="I115" s="3">
        <v>24.144680669018101</v>
      </c>
      <c r="J115" s="3">
        <v>18.552566639000201</v>
      </c>
      <c r="K115" s="3">
        <v>12.762745228149599</v>
      </c>
      <c r="L115" s="3">
        <v>14.6168016265296</v>
      </c>
      <c r="M115" s="3">
        <v>12.4772425525438</v>
      </c>
      <c r="N115" s="3">
        <v>8.1553697399407703</v>
      </c>
    </row>
    <row r="116" spans="1:25" x14ac:dyDescent="0.35">
      <c r="A116" s="2">
        <v>45190</v>
      </c>
      <c r="B116" s="3">
        <v>20.2780314511832</v>
      </c>
      <c r="C116" s="3">
        <v>14.971276992139099</v>
      </c>
      <c r="D116" s="3">
        <v>12.7633210796526</v>
      </c>
      <c r="E116" s="3">
        <v>10.484470587100899</v>
      </c>
      <c r="F116" s="3">
        <v>14.801080000022299</v>
      </c>
      <c r="G116" s="3">
        <v>16.486053336050698</v>
      </c>
      <c r="H116" s="3">
        <v>10.5526693325235</v>
      </c>
      <c r="I116" s="3">
        <v>23.192721059889401</v>
      </c>
      <c r="J116" s="3">
        <v>18.0464070858181</v>
      </c>
      <c r="K116" s="3">
        <v>12.691863140801599</v>
      </c>
      <c r="L116" s="3">
        <v>13.728902471435299</v>
      </c>
      <c r="M116" s="3">
        <v>12.9554904585921</v>
      </c>
      <c r="N116" s="3">
        <v>8.4255295804852608</v>
      </c>
    </row>
    <row r="117" spans="1:25" x14ac:dyDescent="0.35">
      <c r="A117" s="2">
        <v>45219</v>
      </c>
      <c r="B117" s="3">
        <v>19.2888667395883</v>
      </c>
      <c r="C117" s="3">
        <v>14.4723322163762</v>
      </c>
      <c r="D117" s="3">
        <v>12.262021485366301</v>
      </c>
      <c r="E117" s="3">
        <v>9.8828335747685294</v>
      </c>
      <c r="F117" s="3">
        <v>13.889943051131</v>
      </c>
      <c r="G117" s="3">
        <v>15.4712532960078</v>
      </c>
      <c r="H117" s="3">
        <v>10.0775088607024</v>
      </c>
      <c r="I117" s="3">
        <v>22.753659555453702</v>
      </c>
      <c r="J117" s="3">
        <v>17.5308272045488</v>
      </c>
      <c r="K117" s="3">
        <v>11.9131500183983</v>
      </c>
      <c r="L117" s="3">
        <v>13.0540700733017</v>
      </c>
      <c r="M117" s="3">
        <v>12.6291394824656</v>
      </c>
      <c r="N117" s="3">
        <v>7.9129964942893896</v>
      </c>
    </row>
    <row r="118" spans="1:25" x14ac:dyDescent="0.35">
      <c r="A118" s="2">
        <v>45251</v>
      </c>
      <c r="B118" s="3">
        <v>20.2106675422568</v>
      </c>
      <c r="C118" s="3">
        <v>15.187213336544101</v>
      </c>
      <c r="D118" s="3">
        <v>12.798537936982401</v>
      </c>
      <c r="E118" s="3">
        <v>10.7345178204042</v>
      </c>
      <c r="F118" s="3">
        <v>14.349664540266501</v>
      </c>
      <c r="G118" s="3">
        <v>16.201646764059301</v>
      </c>
      <c r="H118" s="3">
        <v>10.4182307668856</v>
      </c>
      <c r="I118" s="3">
        <v>24.516278566722299</v>
      </c>
      <c r="J118" s="3">
        <v>18.7241561155524</v>
      </c>
      <c r="K118" s="3">
        <v>12.8112571132362</v>
      </c>
      <c r="L118" s="3">
        <v>14.6069047732143</v>
      </c>
      <c r="M118" s="3">
        <v>13.357937451023901</v>
      </c>
      <c r="N118" s="3">
        <v>8.2297527009192901</v>
      </c>
    </row>
    <row r="119" spans="1:25" x14ac:dyDescent="0.35">
      <c r="A119" s="2">
        <v>45281</v>
      </c>
      <c r="B119" s="3">
        <v>22.679127198105501</v>
      </c>
      <c r="C119" s="3">
        <v>16.251081548454401</v>
      </c>
      <c r="D119" s="3">
        <v>13.537769479303799</v>
      </c>
      <c r="E119" s="3">
        <v>11.1634890914819</v>
      </c>
      <c r="F119" s="3">
        <v>13.861018519262901</v>
      </c>
      <c r="G119" s="3">
        <v>16.763031234538399</v>
      </c>
      <c r="H119" s="3">
        <v>10.8621799745857</v>
      </c>
      <c r="I119" s="3">
        <v>25.097804417930298</v>
      </c>
      <c r="J119" s="3">
        <v>19.462332524210598</v>
      </c>
      <c r="K119" s="3">
        <v>13.4553684766042</v>
      </c>
      <c r="L119" s="3">
        <v>15.2012444403329</v>
      </c>
      <c r="M119" s="3">
        <v>15.6091007892741</v>
      </c>
      <c r="N119" s="3">
        <v>8.8764551023463092</v>
      </c>
    </row>
    <row r="120" spans="1:25" x14ac:dyDescent="0.35">
      <c r="A120" s="2">
        <v>45310</v>
      </c>
      <c r="B120" s="3">
        <v>22.130133099330202</v>
      </c>
      <c r="C120" s="3">
        <v>15.9559291109819</v>
      </c>
      <c r="D120" s="3">
        <v>13.6873100231909</v>
      </c>
      <c r="E120" s="3">
        <v>11.031519762032399</v>
      </c>
      <c r="F120" s="3">
        <v>14.909512611970101</v>
      </c>
      <c r="G120" s="3">
        <v>16.789138333134201</v>
      </c>
      <c r="H120" s="3">
        <v>10.697232747867799</v>
      </c>
      <c r="I120" s="3">
        <v>25.616324993971901</v>
      </c>
      <c r="J120" s="3">
        <v>19.7711172782085</v>
      </c>
      <c r="K120" s="3">
        <v>13.196663377304899</v>
      </c>
      <c r="L120" s="3">
        <v>14.871414735453101</v>
      </c>
      <c r="M120" s="3">
        <v>15.084450958195101</v>
      </c>
      <c r="N120" s="3">
        <v>8.9334990319791796</v>
      </c>
    </row>
    <row r="121" spans="1:25" x14ac:dyDescent="0.35">
      <c r="A121" s="2">
        <v>45343</v>
      </c>
      <c r="B121" s="3">
        <v>21.893328499378601</v>
      </c>
      <c r="C121" s="3">
        <v>16.420796988022701</v>
      </c>
      <c r="D121" s="3">
        <v>14.001959895168699</v>
      </c>
      <c r="E121" s="3">
        <v>11.625135025970399</v>
      </c>
      <c r="F121" s="3">
        <v>15.308540410107</v>
      </c>
      <c r="G121" s="3">
        <v>17.533875850279198</v>
      </c>
      <c r="H121" s="3">
        <v>11.1509358650609</v>
      </c>
      <c r="I121" s="3">
        <v>25.590561802065501</v>
      </c>
      <c r="J121" s="3">
        <v>20.132117893445699</v>
      </c>
      <c r="K121" s="3">
        <v>14.075790156751999</v>
      </c>
      <c r="L121" s="3">
        <v>16.067468618046501</v>
      </c>
      <c r="M121" s="3">
        <v>16.014873653525399</v>
      </c>
      <c r="N121" s="3">
        <v>9.1032284240973294</v>
      </c>
    </row>
    <row r="122" spans="1:25" x14ac:dyDescent="0.35">
      <c r="A122" s="2">
        <v>45369</v>
      </c>
      <c r="B122" s="3">
        <v>24.728874740024299</v>
      </c>
      <c r="C122" s="3">
        <v>16.425311001150501</v>
      </c>
      <c r="D122" s="3">
        <v>14.4897833466545</v>
      </c>
      <c r="E122" s="3">
        <v>12.0704620930793</v>
      </c>
      <c r="F122" s="3">
        <v>15.637172022955401</v>
      </c>
      <c r="G122" s="3">
        <v>17.661928176964</v>
      </c>
      <c r="H122" s="3">
        <v>11.2494469954474</v>
      </c>
      <c r="I122" s="3">
        <v>26.321458119461401</v>
      </c>
      <c r="J122" s="3">
        <v>20.899401057473</v>
      </c>
      <c r="K122" s="3">
        <v>14.6152923130056</v>
      </c>
      <c r="L122" s="3">
        <v>16.0186150181719</v>
      </c>
      <c r="M122" s="3">
        <v>16.4969837914038</v>
      </c>
      <c r="N122" s="3">
        <v>9.7316402312476296</v>
      </c>
    </row>
    <row r="124" spans="1:25" x14ac:dyDescent="0.35">
      <c r="A124" s="2" t="s">
        <v>91</v>
      </c>
      <c r="B124" s="3" cm="1">
        <f t="array" ref="B124">MIN(_xlfn._xlws.FILTER(B1:B122, ISNUMBER(B1:B122)))</f>
        <v>16.9458776867369</v>
      </c>
      <c r="C124" s="3" cm="1">
        <f t="array" ref="C124">MIN(_xlfn._xlws.FILTER(C1:C122, ISNUMBER(C1:C122)))</f>
        <v>12.618609075668999</v>
      </c>
      <c r="D124" s="3" cm="1">
        <f t="array" ref="D124">MIN(_xlfn._xlws.FILTER(D1:D122, ISNUMBER(D1:D122)))</f>
        <v>11.124202499292201</v>
      </c>
      <c r="E124" s="3" cm="1">
        <f t="array" ref="E124">MIN(_xlfn._xlws.FILTER(E1:E122, ISNUMBER(E1:E122)))</f>
        <v>9.4606338309228004</v>
      </c>
      <c r="F124" s="3" cm="1">
        <f t="array" ref="F124">MIN(_xlfn._xlws.FILTER(F1:F122, ISNUMBER(F1:F122)))</f>
        <v>11.0345319948362</v>
      </c>
      <c r="G124" s="3" cm="1">
        <f t="array" ref="G124">MIN(_xlfn._xlws.FILTER(G1:G122, ISNUMBER(G1:G122)))</f>
        <v>14.433109313131901</v>
      </c>
      <c r="H124" s="3" cm="1">
        <f t="array" ref="H124">MIN(_xlfn._xlws.FILTER(H1:H122, ISNUMBER(H1:H122)))</f>
        <v>8.7099684695222201</v>
      </c>
      <c r="I124" s="3" cm="1">
        <f t="array" ref="I124">MIN(_xlfn._xlws.FILTER(I1:I122, ISNUMBER(I1:I122)))</f>
        <v>16.499717384391101</v>
      </c>
      <c r="J124" s="3" cm="1">
        <f t="array" ref="J124">MIN(_xlfn._xlws.FILTER(J1:J122, ISNUMBER(J1:J122)))</f>
        <v>13.406835718475801</v>
      </c>
      <c r="K124" s="3" cm="1">
        <f t="array" ref="K124">MIN(_xlfn._xlws.FILTER(K1:K122, ISNUMBER(K1:K122)))</f>
        <v>10.7378094867274</v>
      </c>
      <c r="L124" s="3" cm="1">
        <f t="array" ref="L124">MIN(_xlfn._xlws.FILTER(L1:L122, ISNUMBER(L1:L122)))</f>
        <v>12.629163133726699</v>
      </c>
      <c r="M124" s="3" cm="1">
        <f t="array" ref="M124">MIN(_xlfn._xlws.FILTER(M1:M122, ISNUMBER(M1:M122)))</f>
        <v>12.2671867858782</v>
      </c>
      <c r="N124" s="3" cm="1">
        <f t="array" ref="N124">MIN(_xlfn._xlws.FILTER(N1:N122, ISNUMBER(N1:N122)))</f>
        <v>7.4929181131129603</v>
      </c>
    </row>
    <row r="125" spans="1:25" x14ac:dyDescent="0.35">
      <c r="A125" s="2" t="s">
        <v>92</v>
      </c>
      <c r="B125" s="3" cm="1">
        <f t="array" ref="B125">MAX(_xlfn._xlws.FILTER(B1:B122, ISNUMBER(B1:B122)))</f>
        <v>34.727368423788903</v>
      </c>
      <c r="C125" s="3" cm="1">
        <f t="array" ref="C125">MAX(_xlfn._xlws.FILTER(C1:C122, ISNUMBER(C1:C122)))</f>
        <v>19.7432777024407</v>
      </c>
      <c r="D125" s="3" cm="1">
        <f t="array" ref="D125">MAX(_xlfn._xlws.FILTER(D1:D122, ISNUMBER(D1:D122)))</f>
        <v>18.189876424166901</v>
      </c>
      <c r="E125" s="3" cm="1">
        <f t="array" ref="E125">MAX(_xlfn._xlws.FILTER(E1:E122, ISNUMBER(E1:E122)))</f>
        <v>18.833316708503101</v>
      </c>
      <c r="F125" s="3" cm="1">
        <f t="array" ref="F125">MAX(_xlfn._xlws.FILTER(F1:F122, ISNUMBER(F1:F122)))</f>
        <v>18.730859024421701</v>
      </c>
      <c r="G125" s="3" cm="1">
        <f t="array" ref="G125">MAX(_xlfn._xlws.FILTER(G1:G122, ISNUMBER(G1:G122)))</f>
        <v>20.024180040204602</v>
      </c>
      <c r="H125" s="3" cm="1">
        <f t="array" ref="H125">MAX(_xlfn._xlws.FILTER(H1:H122, ISNUMBER(H1:H122)))</f>
        <v>16.5882133878312</v>
      </c>
      <c r="I125" s="3" cm="1">
        <f t="array" ref="I125">MAX(_xlfn._xlws.FILTER(I1:I122, ISNUMBER(I1:I122)))</f>
        <v>30.882865529418499</v>
      </c>
      <c r="J125" s="3" cm="1">
        <f t="array" ref="J125">MAX(_xlfn._xlws.FILTER(J1:J122, ISNUMBER(J1:J122)))</f>
        <v>22.519838739085099</v>
      </c>
      <c r="K125" s="3" cm="1">
        <f t="array" ref="K125">MAX(_xlfn._xlws.FILTER(K1:K122, ISNUMBER(K1:K122)))</f>
        <v>19.912114042850401</v>
      </c>
      <c r="L125" s="3" cm="1">
        <f t="array" ref="L125">MAX(_xlfn._xlws.FILTER(L1:L122, ISNUMBER(L1:L122)))</f>
        <v>22.5778810362219</v>
      </c>
      <c r="M125" s="3" cm="1">
        <f t="array" ref="M125">MAX(_xlfn._xlws.FILTER(M1:M122, ISNUMBER(M1:M122)))</f>
        <v>20.014947752091398</v>
      </c>
      <c r="N125" s="3" cm="1">
        <f t="array" ref="N125">MAX(_xlfn._xlws.FILTER(N1:N122, ISNUMBER(N1:N122)))</f>
        <v>18.018826101763501</v>
      </c>
    </row>
    <row r="127" spans="1:25" x14ac:dyDescent="0.35">
      <c r="A127" s="2" t="s">
        <v>93</v>
      </c>
      <c r="B127" s="9" cm="1">
        <f t="array" ref="B127">_xlfn.PERCENTRANK.EXC(_xlfn._xlws.FILTER(B1:B122, ISNUMBER(B1:B122)),B122)</f>
        <v>0.69599999999999995</v>
      </c>
      <c r="C127" s="9" cm="1">
        <f t="array" ref="C127">_xlfn.PERCENTRANK.EXC(_xlfn._xlws.FILTER(C1:C122, ISNUMBER(C1:C122)),C122)</f>
        <v>0.72899999999999998</v>
      </c>
      <c r="D127" s="9" cm="1">
        <f t="array" ref="D127">_xlfn.PERCENTRANK.EXC(_xlfn._xlws.FILTER(D1:D122, ISNUMBER(D1:D122)),D122)</f>
        <v>0.42599999999999999</v>
      </c>
      <c r="E127" s="9" cm="1">
        <f t="array" ref="E127">_xlfn.PERCENTRANK.EXC(_xlfn._xlws.FILTER(E1:E122, ISNUMBER(E1:E122)),E122)</f>
        <v>0.28599999999999998</v>
      </c>
      <c r="F127" s="9" cm="1">
        <f t="array" ref="F127">_xlfn.PERCENTRANK.EXC(_xlfn._xlws.FILTER(F1:F122, ISNUMBER(F1:F122)),F122)</f>
        <v>0.84399999999999997</v>
      </c>
      <c r="G127" s="9" cm="1">
        <f t="array" ref="G127">_xlfn.PERCENTRANK.EXC(_xlfn._xlws.FILTER(G1:G122, ISNUMBER(G1:G122)),G122)</f>
        <v>0.65500000000000003</v>
      </c>
      <c r="H127" s="9" cm="1">
        <f t="array" ref="H127">_xlfn.PERCENTRANK.EXC(_xlfn._xlws.FILTER(H1:H122, ISNUMBER(H1:H122)),H122)</f>
        <v>0.20399999999999999</v>
      </c>
      <c r="I127" s="9" cm="1">
        <f t="array" ref="I127">_xlfn.PERCENTRANK.EXC(_xlfn._xlws.FILTER(I1:I122, ISNUMBER(I1:I122)),I122)</f>
        <v>0.81899999999999995</v>
      </c>
      <c r="J127" s="9" cm="1">
        <f t="array" ref="J127">_xlfn.PERCENTRANK.EXC(_xlfn._xlws.FILTER(J1:J122, ISNUMBER(J1:J122)),J122)</f>
        <v>0.84399999999999997</v>
      </c>
      <c r="K127" s="9" cm="1">
        <f t="array" ref="K127">_xlfn.PERCENTRANK.EXC(_xlfn._xlws.FILTER(K1:K122, ISNUMBER(K1:K122)),K122)</f>
        <v>0.60599999999999998</v>
      </c>
      <c r="L127" s="9" cm="1">
        <f t="array" ref="L127">_xlfn.PERCENTRANK.EXC(_xlfn._xlws.FILTER(L1:L122, ISNUMBER(L1:L122)),L122)</f>
        <v>0.55700000000000005</v>
      </c>
      <c r="M127" s="9" cm="1">
        <f t="array" ref="M127">_xlfn.PERCENTRANK.EXC(_xlfn._xlws.FILTER(M1:M122, ISNUMBER(M1:M122)),M122)</f>
        <v>0.69599999999999995</v>
      </c>
      <c r="N127" s="9" cm="1">
        <f t="array" ref="N127">_xlfn.PERCENTRANK.EXC(_xlfn._xlws.FILTER(N1:N122, ISNUMBER(N1:N122)),N122)</f>
        <v>0.22900000000000001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28"/>
  <sheetViews>
    <sheetView topLeftCell="A113" workbookViewId="0">
      <selection activeCell="N122" sqref="N12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41719</v>
      </c>
      <c r="B2" s="3" cm="1">
        <f t="array" ref="B2:B122">_xll.FDS(B1,"FMA_DIV_YLD(NTMA,-10AY,0,AM,""PORTAGG"",""MEANR"")")</f>
        <v>4.0533240948515497</v>
      </c>
      <c r="C2" s="3" cm="1">
        <f t="array" ref="C2:C122">_xll.FDS(C1,"FMA_DIV_YLD(NTMA,-10AY,0,AM,""PORTAGG"",""MEANR"")")</f>
        <v>4.9023575299200699</v>
      </c>
      <c r="D2" s="3" cm="1">
        <f t="array" ref="D2:D122">_xll.FDS(D1,"FMA_DIV_YLD(NTMA,-10AY,0,AM,""PORTAGG"",""MEANR"")")</f>
        <v>2.8932903192419701</v>
      </c>
      <c r="E2" s="3" cm="1">
        <f t="array" ref="E2:E122">_xll.FDS(E1,"FMA_DIV_YLD(NTMA,-10AY,0,AM,""PORTAGG"",""MEANR"")")</f>
        <v>3.00971628627993</v>
      </c>
      <c r="F2" s="3" cm="1">
        <f t="array" ref="F2:F122">_xll.FDS(F1,"FMA_DIV_YLD(NTMA,-10AY,0,AM,""PORTAGG"",""MEANR"")")</f>
        <v>2.2039348091620998</v>
      </c>
      <c r="G2" s="3" cm="1">
        <f t="array" ref="G2:G122">_xll.FDS(G1,"FMA_DIV_YLD(NTMA,-10AY,0,AM,""PORTAGG"",""MEANR"")")</f>
        <v>3.2633484259237502</v>
      </c>
      <c r="H2" s="3" cm="1">
        <f t="array" ref="H2:H122">_xll.FDS(H1,"FMA_DIV_YLD(NTMA,-10AY,0,AM,""PORTAGG"",""MEANR"")")</f>
        <v>3.9961482538544999</v>
      </c>
      <c r="I2" s="3" cm="1">
        <f t="array" ref="I2:I122">_xll.FDS(I1,"FMA_DIV_YLD(NTMA,-10AY,0,AM,""PORTAGG"",""MEANR"")")</f>
        <v>1.38534582717674</v>
      </c>
      <c r="J2" s="3" cm="1">
        <f t="array" ref="J2:J122">_xll.FDS(J1,"FMA_DIV_YLD(NTMA,-10AY,0,AM,""PORTAGG"",""MEANR"")")</f>
        <v>2.1722592257720001</v>
      </c>
      <c r="K2" s="3" cm="1">
        <f t="array" ref="K2:K122">_xll.FDS(K1,"FMA_DIV_YLD(NTMA,-10AY,0,AM,""PORTAGG"",""MEANR"")")</f>
        <v>3.5409024437802499</v>
      </c>
      <c r="L2" s="3" cm="1">
        <f t="array" ref="L2:L122">_xll.FDS(L1,"FMA_DIV_YLD(NTMA,-10AY,0,AM,""PORTAGG"",""MEANR"")")</f>
        <v>2.7718800405203599</v>
      </c>
      <c r="M2" s="3" cm="1">
        <f t="array" ref="M2:M122">_xll.FDS(M1,"FMA_DIV_YLD(NTMA,-10AY,0,AM,""PORTAGG"",""MEANR"")")</f>
        <v>4.0389501891722404</v>
      </c>
      <c r="N2" s="3" cm="1">
        <f t="array" ref="N2:N122">_xll.FDS(N1,"FMA_DIV_YLD(NTMA,-10AY,0,AM,""PORTAGG"",""MEANR"")")</f>
        <v>3.4332478541069902</v>
      </c>
    </row>
    <row r="3" spans="1:14" x14ac:dyDescent="0.35">
      <c r="A3" s="2">
        <v>41750</v>
      </c>
      <c r="B3" s="3">
        <v>4.1244575947364401</v>
      </c>
      <c r="C3" s="3">
        <v>4.7731256745203501</v>
      </c>
      <c r="D3" s="3">
        <v>2.9031306971125099</v>
      </c>
      <c r="E3" s="3">
        <v>3.0331183761326099</v>
      </c>
      <c r="F3" s="3">
        <v>2.1615613652803098</v>
      </c>
      <c r="G3" s="3">
        <v>3.2308396817425802</v>
      </c>
      <c r="H3" s="3">
        <v>3.9270198101154801</v>
      </c>
      <c r="I3" s="3">
        <v>1.4156567565131899</v>
      </c>
      <c r="J3" s="3">
        <v>2.1758140951431901</v>
      </c>
      <c r="K3" s="3">
        <v>3.5006562089533801</v>
      </c>
      <c r="L3" s="3">
        <v>2.8013134470639001</v>
      </c>
      <c r="M3" s="3">
        <v>4.1106749360439396</v>
      </c>
      <c r="N3" s="3">
        <v>3.4286784937366499</v>
      </c>
    </row>
    <row r="4" spans="1:14" x14ac:dyDescent="0.35">
      <c r="A4" s="2">
        <v>41780</v>
      </c>
      <c r="B4" s="3">
        <v>4.1742597339163501</v>
      </c>
      <c r="C4" s="3">
        <v>4.8336752060920896</v>
      </c>
      <c r="D4" s="3">
        <v>2.87860813914719</v>
      </c>
      <c r="E4" s="3">
        <v>3.01733069319183</v>
      </c>
      <c r="F4" s="3">
        <v>2.2537075914905298</v>
      </c>
      <c r="G4" s="3">
        <v>3.2030909195417001</v>
      </c>
      <c r="H4" s="3">
        <v>3.8338915868543202</v>
      </c>
      <c r="I4" s="3">
        <v>1.3449465599877399</v>
      </c>
      <c r="J4" s="3">
        <v>2.15890032745178</v>
      </c>
      <c r="K4" s="3">
        <v>3.4305565853839899</v>
      </c>
      <c r="L4" s="3">
        <v>2.8267324831620799</v>
      </c>
      <c r="M4" s="3">
        <v>4.0468154409439201</v>
      </c>
      <c r="N4" s="3">
        <v>3.6029138153291198</v>
      </c>
    </row>
    <row r="5" spans="1:14" x14ac:dyDescent="0.35">
      <c r="A5" s="2">
        <v>41810</v>
      </c>
      <c r="B5" s="3">
        <v>4.2642570369205499</v>
      </c>
      <c r="C5" s="3">
        <v>4.84150427480854</v>
      </c>
      <c r="D5" s="3">
        <v>2.81119747993823</v>
      </c>
      <c r="E5" s="3">
        <v>2.9645458728145302</v>
      </c>
      <c r="F5" s="3">
        <v>2.0565956932634402</v>
      </c>
      <c r="G5" s="3">
        <v>3.21447314813105</v>
      </c>
      <c r="H5" s="3">
        <v>3.8343289610819702</v>
      </c>
      <c r="I5" s="3">
        <v>1.2941685271334</v>
      </c>
      <c r="J5" s="3">
        <v>2.0913565240900498</v>
      </c>
      <c r="K5" s="3">
        <v>3.38253829740774</v>
      </c>
      <c r="L5" s="3">
        <v>2.7961104818501901</v>
      </c>
      <c r="M5" s="3">
        <v>4.1256164002635698</v>
      </c>
      <c r="N5" s="3">
        <v>3.4051177760543498</v>
      </c>
    </row>
    <row r="6" spans="1:14" x14ac:dyDescent="0.35">
      <c r="A6" s="2">
        <v>41841</v>
      </c>
      <c r="B6" s="3">
        <v>4.4521050140117797</v>
      </c>
      <c r="C6" s="3">
        <v>4.7196475484049696</v>
      </c>
      <c r="D6" s="3">
        <v>2.7780725725383801</v>
      </c>
      <c r="E6" s="3">
        <v>3.1235960296797498</v>
      </c>
      <c r="F6" s="3">
        <v>2.0810777229031601</v>
      </c>
      <c r="G6" s="3">
        <v>3.3430151540612298</v>
      </c>
      <c r="H6" s="3">
        <v>3.8949126472722599</v>
      </c>
      <c r="I6" s="3">
        <v>1.2462279804088201</v>
      </c>
      <c r="J6" s="3">
        <v>2.0975929210668798</v>
      </c>
      <c r="K6" s="3">
        <v>3.54862796516568</v>
      </c>
      <c r="L6" s="3">
        <v>2.9174583427345699</v>
      </c>
      <c r="M6" s="3">
        <v>4.2044807402572504</v>
      </c>
      <c r="N6" s="3">
        <v>3.5423678712648599</v>
      </c>
    </row>
    <row r="7" spans="1:14" x14ac:dyDescent="0.35">
      <c r="A7" s="2">
        <v>41872</v>
      </c>
      <c r="B7" s="3">
        <v>4.4951501297426804</v>
      </c>
      <c r="C7" s="3">
        <v>4.6720970867848903</v>
      </c>
      <c r="D7" s="3">
        <v>2.7571518586247898</v>
      </c>
      <c r="E7" s="3">
        <v>3.1902934142263399</v>
      </c>
      <c r="F7" s="3">
        <v>2.0576853410145799</v>
      </c>
      <c r="G7" s="3">
        <v>3.3479218762728502</v>
      </c>
      <c r="H7" s="3">
        <v>3.9292481736073901</v>
      </c>
      <c r="I7" s="3">
        <v>1.21949181954911</v>
      </c>
      <c r="J7" s="3">
        <v>2.0939830915179698</v>
      </c>
      <c r="K7" s="3">
        <v>3.5917720181597201</v>
      </c>
      <c r="L7" s="3">
        <v>3.0104655830596898</v>
      </c>
      <c r="M7" s="3">
        <v>4.2153687473777701</v>
      </c>
      <c r="N7" s="3">
        <v>3.6509729400533</v>
      </c>
    </row>
    <row r="8" spans="1:14" x14ac:dyDescent="0.35">
      <c r="A8" s="2">
        <v>41901</v>
      </c>
      <c r="B8" s="3">
        <v>4.6264969946583197</v>
      </c>
      <c r="C8" s="3">
        <v>4.9053239947118996</v>
      </c>
      <c r="D8" s="3">
        <v>2.81143194972171</v>
      </c>
      <c r="E8" s="3">
        <v>3.08001519858691</v>
      </c>
      <c r="F8" s="3">
        <v>2.0063930517974802</v>
      </c>
      <c r="G8" s="3">
        <v>3.2906644960628602</v>
      </c>
      <c r="H8" s="3">
        <v>3.9015398581707799</v>
      </c>
      <c r="I8" s="3">
        <v>1.2244076167887701</v>
      </c>
      <c r="J8" s="3">
        <v>2.0899246625618</v>
      </c>
      <c r="K8" s="3">
        <v>3.5097878521171801</v>
      </c>
      <c r="L8" s="3">
        <v>2.9719848979029702</v>
      </c>
      <c r="M8" s="3">
        <v>4.1329603050111503</v>
      </c>
      <c r="N8" s="3">
        <v>3.5500979658324998</v>
      </c>
    </row>
    <row r="9" spans="1:14" x14ac:dyDescent="0.35">
      <c r="A9" s="2">
        <v>41933</v>
      </c>
      <c r="B9" s="3">
        <v>4.6024727569035502</v>
      </c>
      <c r="C9" s="3">
        <v>5.0110294674813103</v>
      </c>
      <c r="D9" s="3">
        <v>2.9833259006412498</v>
      </c>
      <c r="E9" s="3">
        <v>3.4093098078511201</v>
      </c>
      <c r="F9" s="3">
        <v>2.24027130595851</v>
      </c>
      <c r="G9" s="3">
        <v>3.48364420333708</v>
      </c>
      <c r="H9" s="3">
        <v>4.1987680734051001</v>
      </c>
      <c r="I9" s="3">
        <v>1.27515306163191</v>
      </c>
      <c r="J9" s="3">
        <v>2.1769244593504502</v>
      </c>
      <c r="K9" s="3">
        <v>3.8249906502840201</v>
      </c>
      <c r="L9" s="3">
        <v>3.2210536282765498</v>
      </c>
      <c r="M9" s="3">
        <v>4.4194044379369597</v>
      </c>
      <c r="N9" s="3">
        <v>4.0138131815146298</v>
      </c>
    </row>
    <row r="10" spans="1:14" x14ac:dyDescent="0.35">
      <c r="A10" s="2">
        <v>41964</v>
      </c>
      <c r="B10" s="3">
        <v>4.4467815396126298</v>
      </c>
      <c r="C10" s="3">
        <v>5.0609517927799397</v>
      </c>
      <c r="D10" s="3">
        <v>2.8788864804359502</v>
      </c>
      <c r="E10" s="3">
        <v>3.19844048766093</v>
      </c>
      <c r="F10" s="3">
        <v>1.94976065748657</v>
      </c>
      <c r="G10" s="3">
        <v>3.2252628656227902</v>
      </c>
      <c r="H10" s="3">
        <v>4.0098489425665402</v>
      </c>
      <c r="I10" s="3">
        <v>1.2106284882462699</v>
      </c>
      <c r="J10" s="3">
        <v>2.0702891410013602</v>
      </c>
      <c r="K10" s="3">
        <v>3.6022345155720501</v>
      </c>
      <c r="L10" s="3">
        <v>3.0593995590810699</v>
      </c>
      <c r="M10" s="3">
        <v>4.1069809164192801</v>
      </c>
      <c r="N10" s="3">
        <v>3.8501038952860198</v>
      </c>
    </row>
    <row r="11" spans="1:14" x14ac:dyDescent="0.35">
      <c r="A11" s="2">
        <v>41992</v>
      </c>
      <c r="B11" s="3">
        <v>4.46255241450638</v>
      </c>
      <c r="C11" s="3">
        <v>5.0388972623092103</v>
      </c>
      <c r="D11" s="3">
        <v>2.9742842611284601</v>
      </c>
      <c r="E11" s="3">
        <v>3.1916264221630599</v>
      </c>
      <c r="F11" s="3">
        <v>1.97180319069752</v>
      </c>
      <c r="G11" s="3">
        <v>3.2848802347878898</v>
      </c>
      <c r="H11" s="3">
        <v>4.1388370310673199</v>
      </c>
      <c r="I11" s="3">
        <v>1.2126283907964199</v>
      </c>
      <c r="J11" s="3">
        <v>2.0832092164995402</v>
      </c>
      <c r="K11" s="3">
        <v>3.6670986314270202</v>
      </c>
      <c r="L11" s="3">
        <v>3.1073009357802199</v>
      </c>
      <c r="M11" s="3">
        <v>4.1271971590943997</v>
      </c>
      <c r="N11" s="3">
        <v>4.0599271851668002</v>
      </c>
    </row>
    <row r="12" spans="1:14" x14ac:dyDescent="0.35">
      <c r="A12" s="2">
        <v>42025</v>
      </c>
      <c r="B12" s="3">
        <v>4.3409627013024803</v>
      </c>
      <c r="C12" s="3">
        <v>4.9955697303383797</v>
      </c>
      <c r="D12" s="3">
        <v>2.9699476081354801</v>
      </c>
      <c r="E12" s="3">
        <v>3.0503612720783502</v>
      </c>
      <c r="F12" s="3">
        <v>2.0257466807333602</v>
      </c>
      <c r="G12" s="3">
        <v>3.50540442888882</v>
      </c>
      <c r="H12" s="3">
        <v>4.0736790368064604</v>
      </c>
      <c r="I12" s="3">
        <v>1.2229096561719199</v>
      </c>
      <c r="J12" s="3">
        <v>2.1426106347600098</v>
      </c>
      <c r="K12" s="3">
        <v>3.45473282680793</v>
      </c>
      <c r="L12" s="3">
        <v>2.98130463937812</v>
      </c>
      <c r="M12" s="3">
        <v>4.0118574059923002</v>
      </c>
      <c r="N12" s="3">
        <v>3.9134161108222401</v>
      </c>
    </row>
    <row r="13" spans="1:14" x14ac:dyDescent="0.35">
      <c r="A13" s="2">
        <v>42055</v>
      </c>
      <c r="B13" s="3">
        <v>4.2754986396742396</v>
      </c>
      <c r="C13" s="3">
        <v>4.6101409957262396</v>
      </c>
      <c r="D13" s="3">
        <v>2.8639036330649401</v>
      </c>
      <c r="E13" s="3">
        <v>2.8537839638225901</v>
      </c>
      <c r="F13" s="3">
        <v>1.9059814852021599</v>
      </c>
      <c r="G13" s="3">
        <v>3.1949322375483198</v>
      </c>
      <c r="H13" s="3">
        <v>3.9457800845340301</v>
      </c>
      <c r="I13" s="3">
        <v>1.21085807847868</v>
      </c>
      <c r="J13" s="3">
        <v>2.09472585091694</v>
      </c>
      <c r="K13" s="3">
        <v>3.1878986887949599</v>
      </c>
      <c r="L13" s="3">
        <v>2.7927149494391599</v>
      </c>
      <c r="M13" s="3">
        <v>3.6421266793146199</v>
      </c>
      <c r="N13" s="3">
        <v>3.4967035984525201</v>
      </c>
    </row>
    <row r="14" spans="1:14" x14ac:dyDescent="0.35">
      <c r="A14" s="2">
        <v>42083</v>
      </c>
      <c r="B14" s="3">
        <v>4.3517877043916302</v>
      </c>
      <c r="C14" s="3">
        <v>4.5266607988299397</v>
      </c>
      <c r="D14" s="3">
        <v>2.9076872761678501</v>
      </c>
      <c r="E14" s="3">
        <v>2.6536751615207699</v>
      </c>
      <c r="F14" s="3">
        <v>1.8291294059229199</v>
      </c>
      <c r="G14" s="3">
        <v>3.0593336892096601</v>
      </c>
      <c r="H14" s="3">
        <v>3.8950563800548199</v>
      </c>
      <c r="I14" s="3">
        <v>1.23755863087303</v>
      </c>
      <c r="J14" s="3">
        <v>2.1482483786704498</v>
      </c>
      <c r="K14" s="3">
        <v>3.1550417016202101</v>
      </c>
      <c r="L14" s="3">
        <v>2.61932106643917</v>
      </c>
      <c r="M14" s="3">
        <v>3.57646620920988</v>
      </c>
      <c r="N14" s="3">
        <v>3.10432585262074</v>
      </c>
    </row>
    <row r="15" spans="1:14" x14ac:dyDescent="0.35">
      <c r="A15" s="2">
        <v>42115</v>
      </c>
      <c r="B15" s="3">
        <v>4.4688733767483599</v>
      </c>
      <c r="C15" s="3">
        <v>4.6099275905346904</v>
      </c>
      <c r="D15" s="3">
        <v>2.81860664123329</v>
      </c>
      <c r="E15" s="3">
        <v>2.71364944070221</v>
      </c>
      <c r="F15" s="3">
        <v>1.82456605427912</v>
      </c>
      <c r="G15" s="3">
        <v>3.0428463310495801</v>
      </c>
      <c r="H15" s="3">
        <v>3.8801448362580802</v>
      </c>
      <c r="I15" s="3">
        <v>1.25214882800097</v>
      </c>
      <c r="J15" s="3">
        <v>2.1556221712772801</v>
      </c>
      <c r="K15" s="3">
        <v>3.1135747643239098</v>
      </c>
      <c r="L15" s="3">
        <v>2.6361472951045699</v>
      </c>
      <c r="M15" s="3">
        <v>3.6216267529842998</v>
      </c>
      <c r="N15" s="3">
        <v>3.1433225743783502</v>
      </c>
    </row>
    <row r="16" spans="1:14" x14ac:dyDescent="0.35">
      <c r="A16" s="2">
        <v>42145</v>
      </c>
      <c r="B16" s="3">
        <v>4.4574822052936103</v>
      </c>
      <c r="C16" s="3">
        <v>4.7999728896283997</v>
      </c>
      <c r="D16" s="3">
        <v>2.85893725263589</v>
      </c>
      <c r="E16" s="3">
        <v>2.8098022478425402</v>
      </c>
      <c r="F16" s="3">
        <v>1.8420331997961901</v>
      </c>
      <c r="G16" s="3">
        <v>3.05194834524454</v>
      </c>
      <c r="H16" s="3">
        <v>3.8520776482269299</v>
      </c>
      <c r="I16" s="3">
        <v>1.2304954601342299</v>
      </c>
      <c r="J16" s="3">
        <v>2.1347793265310102</v>
      </c>
      <c r="K16" s="3">
        <v>3.20330061002544</v>
      </c>
      <c r="L16" s="3">
        <v>2.7670880519202301</v>
      </c>
      <c r="M16" s="3">
        <v>3.7928949014547402</v>
      </c>
      <c r="N16" s="3">
        <v>3.1379984206612401</v>
      </c>
    </row>
    <row r="17" spans="1:14" x14ac:dyDescent="0.35">
      <c r="A17" s="2">
        <v>42174</v>
      </c>
      <c r="B17" s="3">
        <v>4.5069982353850104</v>
      </c>
      <c r="C17" s="3">
        <v>4.84456711366352</v>
      </c>
      <c r="D17" s="3">
        <v>2.9796864470643398</v>
      </c>
      <c r="E17" s="3">
        <v>3.0582350989537801</v>
      </c>
      <c r="F17" s="3">
        <v>1.9102414377599899</v>
      </c>
      <c r="G17" s="3">
        <v>3.2389118160158898</v>
      </c>
      <c r="H17" s="3">
        <v>4.0403948865760499</v>
      </c>
      <c r="I17" s="3">
        <v>1.24148679635537</v>
      </c>
      <c r="J17" s="3">
        <v>2.16215092220745</v>
      </c>
      <c r="K17" s="3">
        <v>3.4222387393130198</v>
      </c>
      <c r="L17" s="3">
        <v>2.9435429341366901</v>
      </c>
      <c r="M17" s="3">
        <v>4.0215726609830096</v>
      </c>
      <c r="N17" s="3">
        <v>3.3404404834309598</v>
      </c>
    </row>
    <row r="18" spans="1:14" x14ac:dyDescent="0.35">
      <c r="A18" s="2">
        <v>42206</v>
      </c>
      <c r="B18" s="3">
        <v>4.5770814900117198</v>
      </c>
      <c r="C18" s="3">
        <v>4.7856861309761696</v>
      </c>
      <c r="D18" s="3">
        <v>3.0641298143678002</v>
      </c>
      <c r="E18" s="3">
        <v>2.9334419422988498</v>
      </c>
      <c r="F18" s="3">
        <v>1.88392881117792</v>
      </c>
      <c r="G18" s="3">
        <v>3.1182328359524898</v>
      </c>
      <c r="H18" s="3">
        <v>4.0742741514629097</v>
      </c>
      <c r="I18" s="3">
        <v>1.2133766980182801</v>
      </c>
      <c r="J18" s="3">
        <v>2.1623362738468801</v>
      </c>
      <c r="K18" s="3">
        <v>3.2585769744001598</v>
      </c>
      <c r="L18" s="3">
        <v>2.8338715185026202</v>
      </c>
      <c r="M18" s="3">
        <v>3.8770679607729601</v>
      </c>
      <c r="N18" s="3">
        <v>3.16229695847999</v>
      </c>
    </row>
    <row r="19" spans="1:14" x14ac:dyDescent="0.35">
      <c r="A19" s="2">
        <v>42237</v>
      </c>
      <c r="B19" s="3">
        <v>4.88614810134764</v>
      </c>
      <c r="C19" s="3">
        <v>5.2632056488561298</v>
      </c>
      <c r="D19" s="3">
        <v>3.2535545545539102</v>
      </c>
      <c r="E19" s="3">
        <v>3.3655124006997399</v>
      </c>
      <c r="F19" s="3">
        <v>2.02094644491183</v>
      </c>
      <c r="G19" s="3">
        <v>3.30792559169902</v>
      </c>
      <c r="H19" s="3">
        <v>4.3999324137163303</v>
      </c>
      <c r="I19" s="3">
        <v>1.3858506330643301</v>
      </c>
      <c r="J19" s="3">
        <v>2.3485441227024402</v>
      </c>
      <c r="K19" s="3">
        <v>3.6143775886128999</v>
      </c>
      <c r="L19" s="3">
        <v>3.4260070410144601</v>
      </c>
      <c r="M19" s="3">
        <v>4.3028886145470304</v>
      </c>
      <c r="N19" s="3">
        <v>3.3985166039241599</v>
      </c>
    </row>
    <row r="20" spans="1:14" x14ac:dyDescent="0.35">
      <c r="A20" s="2">
        <v>42268</v>
      </c>
      <c r="B20" s="3">
        <v>5.1171663250933097</v>
      </c>
      <c r="C20" s="3">
        <v>5.4290427564422501</v>
      </c>
      <c r="D20" s="3">
        <v>3.18935167639617</v>
      </c>
      <c r="E20" s="3">
        <v>3.4346582064620801</v>
      </c>
      <c r="F20" s="3">
        <v>2.1846425800454101</v>
      </c>
      <c r="G20" s="3">
        <v>3.3452801941458001</v>
      </c>
      <c r="H20" s="3">
        <v>4.4820335064902501</v>
      </c>
      <c r="I20" s="3">
        <v>1.34754999645467</v>
      </c>
      <c r="J20" s="3">
        <v>2.3659106424421799</v>
      </c>
      <c r="K20" s="3">
        <v>3.6709743713769001</v>
      </c>
      <c r="L20" s="3">
        <v>3.4733730345892799</v>
      </c>
      <c r="M20" s="3">
        <v>4.4264862689566398</v>
      </c>
      <c r="N20" s="3">
        <v>3.43693647415685</v>
      </c>
    </row>
    <row r="21" spans="1:14" x14ac:dyDescent="0.35">
      <c r="A21" s="2">
        <v>42298</v>
      </c>
      <c r="B21" s="3">
        <v>4.9862790259135004</v>
      </c>
      <c r="C21" s="3">
        <v>5.2138250166423799</v>
      </c>
      <c r="D21" s="3">
        <v>3.2192484244691002</v>
      </c>
      <c r="E21" s="3">
        <v>3.2758168326201198</v>
      </c>
      <c r="F21" s="3">
        <v>2.0918041248731298</v>
      </c>
      <c r="G21" s="3">
        <v>3.3569432920460498</v>
      </c>
      <c r="H21" s="3">
        <v>4.2577217941271703</v>
      </c>
      <c r="I21" s="3">
        <v>1.3273258988707199</v>
      </c>
      <c r="J21" s="3">
        <v>2.30942684516106</v>
      </c>
      <c r="K21" s="3">
        <v>3.5634505269662702</v>
      </c>
      <c r="L21" s="3">
        <v>3.37680628187334</v>
      </c>
      <c r="M21" s="3">
        <v>4.3665026671502796</v>
      </c>
      <c r="N21" s="3">
        <v>3.58633775115366</v>
      </c>
    </row>
    <row r="22" spans="1:14" x14ac:dyDescent="0.35">
      <c r="A22" s="2">
        <v>42328</v>
      </c>
      <c r="B22" s="3">
        <v>4.9067434025046897</v>
      </c>
      <c r="C22" s="3">
        <v>5.1953777253567504</v>
      </c>
      <c r="D22" s="3">
        <v>3.28748210384774</v>
      </c>
      <c r="E22" s="3">
        <v>2.9149986737918501</v>
      </c>
      <c r="F22" s="3">
        <v>2.0002085161326701</v>
      </c>
      <c r="G22" s="3">
        <v>3.2237930607653098</v>
      </c>
      <c r="H22" s="3">
        <v>4.2236090349926396</v>
      </c>
      <c r="I22" s="3">
        <v>1.27355972719427</v>
      </c>
      <c r="J22" s="3">
        <v>2.2678106392804001</v>
      </c>
      <c r="K22" s="3">
        <v>3.4247090668986901</v>
      </c>
      <c r="L22" s="3">
        <v>3.1482817771801699</v>
      </c>
      <c r="M22" s="3">
        <v>4.1404921225673501</v>
      </c>
      <c r="N22" s="3">
        <v>3.6325885564148299</v>
      </c>
    </row>
    <row r="23" spans="1:14" x14ac:dyDescent="0.35">
      <c r="A23" s="2">
        <v>42359</v>
      </c>
      <c r="B23" s="3">
        <v>4.8852657296868598</v>
      </c>
      <c r="C23" s="3">
        <v>5.3168954516929903</v>
      </c>
      <c r="D23" s="3">
        <v>3.3811729474137402</v>
      </c>
      <c r="E23" s="3">
        <v>3.1065121913468801</v>
      </c>
      <c r="F23" s="3">
        <v>2.1099760238458898</v>
      </c>
      <c r="G23" s="3">
        <v>3.3608138596609498</v>
      </c>
      <c r="H23" s="3">
        <v>4.4454276515272202</v>
      </c>
      <c r="I23" s="3">
        <v>1.30506448773577</v>
      </c>
      <c r="J23" s="3">
        <v>2.3375521860451598</v>
      </c>
      <c r="K23" s="3">
        <v>3.6597563932124202</v>
      </c>
      <c r="L23" s="3">
        <v>3.3742059539196099</v>
      </c>
      <c r="M23" s="3">
        <v>4.3991051497469202</v>
      </c>
      <c r="N23" s="3">
        <v>3.8752995174897702</v>
      </c>
    </row>
    <row r="24" spans="1:14" x14ac:dyDescent="0.35">
      <c r="A24" s="2">
        <v>42390</v>
      </c>
      <c r="B24" s="3">
        <v>4.9314593231453703</v>
      </c>
      <c r="C24" s="3">
        <v>5.3514731438440402</v>
      </c>
      <c r="D24" s="3">
        <v>3.6208287147119802</v>
      </c>
      <c r="E24" s="3">
        <v>3.4221852408464102</v>
      </c>
      <c r="F24" s="3">
        <v>2.5008251981448701</v>
      </c>
      <c r="G24" s="3">
        <v>3.6172766774214802</v>
      </c>
      <c r="H24" s="3">
        <v>4.6651613525178099</v>
      </c>
      <c r="I24" s="3">
        <v>1.4006059633446599</v>
      </c>
      <c r="J24" s="3">
        <v>2.5435817744116198</v>
      </c>
      <c r="K24" s="3">
        <v>3.9731208817441201</v>
      </c>
      <c r="L24" s="3">
        <v>3.3797821788286999</v>
      </c>
      <c r="M24" s="3">
        <v>4.7517013939766599</v>
      </c>
      <c r="N24" s="3">
        <v>4.4124347900810497</v>
      </c>
    </row>
    <row r="25" spans="1:14" x14ac:dyDescent="0.35">
      <c r="A25" s="2">
        <v>42419</v>
      </c>
      <c r="B25" s="3">
        <v>4.9252297920015504</v>
      </c>
      <c r="C25" s="3">
        <v>5.1080424849335797</v>
      </c>
      <c r="D25" s="3">
        <v>3.3429085781000998</v>
      </c>
      <c r="E25" s="3">
        <v>3.4989740995771998</v>
      </c>
      <c r="F25" s="3">
        <v>2.5130371713012698</v>
      </c>
      <c r="G25" s="3">
        <v>3.5452204721610001</v>
      </c>
      <c r="H25" s="3">
        <v>4.6148560212587801</v>
      </c>
      <c r="I25" s="3">
        <v>1.4194653041324501</v>
      </c>
      <c r="J25" s="3">
        <v>2.4518202590146898</v>
      </c>
      <c r="K25" s="3">
        <v>3.92184832672414</v>
      </c>
      <c r="L25" s="3">
        <v>3.4852841056704</v>
      </c>
      <c r="M25" s="3">
        <v>4.4221618798773497</v>
      </c>
      <c r="N25" s="3">
        <v>4.7185275438165801</v>
      </c>
    </row>
    <row r="26" spans="1:14" x14ac:dyDescent="0.35">
      <c r="A26" s="2">
        <v>42450</v>
      </c>
      <c r="B26" s="3">
        <v>4.6123280507013202</v>
      </c>
      <c r="C26" s="3">
        <v>4.7307060515196397</v>
      </c>
      <c r="D26" s="3">
        <v>3.1292079090049398</v>
      </c>
      <c r="E26" s="3">
        <v>3.3030802034635198</v>
      </c>
      <c r="F26" s="3">
        <v>2.4039990183226201</v>
      </c>
      <c r="G26" s="3">
        <v>3.5164618312828999</v>
      </c>
      <c r="H26" s="3">
        <v>4.3425650031983203</v>
      </c>
      <c r="I26" s="3">
        <v>1.34745993113556</v>
      </c>
      <c r="J26" s="3">
        <v>2.4751977345461702</v>
      </c>
      <c r="K26" s="3">
        <v>3.7386621308401802</v>
      </c>
      <c r="L26" s="3">
        <v>3.2797914404654001</v>
      </c>
      <c r="M26" s="3">
        <v>4.3587331907201703</v>
      </c>
      <c r="N26" s="3">
        <v>4.2303186531317802</v>
      </c>
    </row>
    <row r="27" spans="1:14" x14ac:dyDescent="0.35">
      <c r="A27" s="2">
        <v>42481</v>
      </c>
      <c r="B27" s="3">
        <v>4.5018853767302698</v>
      </c>
      <c r="C27" s="3">
        <v>4.6364375018172099</v>
      </c>
      <c r="D27" s="3">
        <v>3.0630291310620001</v>
      </c>
      <c r="E27" s="3">
        <v>3.16077514552406</v>
      </c>
      <c r="F27" s="3">
        <v>2.3039729663343</v>
      </c>
      <c r="G27" s="3">
        <v>3.4352660055286601</v>
      </c>
      <c r="H27" s="3">
        <v>4.2023094429082999</v>
      </c>
      <c r="I27" s="3">
        <v>1.32569373184659</v>
      </c>
      <c r="J27" s="3">
        <v>2.2917987413403398</v>
      </c>
      <c r="K27" s="3">
        <v>3.6232114186043298</v>
      </c>
      <c r="L27" s="3">
        <v>3.2536909058288002</v>
      </c>
      <c r="M27" s="3">
        <v>4.2154316416183404</v>
      </c>
      <c r="N27" s="3">
        <v>4.2794435140789897</v>
      </c>
    </row>
    <row r="28" spans="1:14" x14ac:dyDescent="0.35">
      <c r="A28" s="2">
        <v>42510</v>
      </c>
      <c r="B28" s="3">
        <v>4.4806990767446502</v>
      </c>
      <c r="C28" s="3">
        <v>4.5824180126487297</v>
      </c>
      <c r="D28" s="3">
        <v>3.0707016657786901</v>
      </c>
      <c r="E28" s="3">
        <v>3.3698041357192201</v>
      </c>
      <c r="F28" s="3">
        <v>2.3819514895689502</v>
      </c>
      <c r="G28" s="3">
        <v>3.53320644241307</v>
      </c>
      <c r="H28" s="3">
        <v>4.3527263762470998</v>
      </c>
      <c r="I28" s="3">
        <v>1.38887128607851</v>
      </c>
      <c r="J28" s="3">
        <v>2.2927014117324598</v>
      </c>
      <c r="K28" s="3">
        <v>3.7925290590407799</v>
      </c>
      <c r="L28" s="3">
        <v>3.3779656087108401</v>
      </c>
      <c r="M28" s="3">
        <v>4.4506624767746397</v>
      </c>
      <c r="N28" s="3">
        <v>4.5292071568706298</v>
      </c>
    </row>
    <row r="29" spans="1:14" x14ac:dyDescent="0.35">
      <c r="A29" s="2">
        <v>42542</v>
      </c>
      <c r="B29" s="3">
        <v>4.4593143281116303</v>
      </c>
      <c r="C29" s="3">
        <v>4.6439446198385399</v>
      </c>
      <c r="D29" s="3">
        <v>3.0738289036489599</v>
      </c>
      <c r="E29" s="3">
        <v>3.3788727101824101</v>
      </c>
      <c r="F29" s="3">
        <v>2.4335366787369201</v>
      </c>
      <c r="G29" s="3">
        <v>3.5423103494046999</v>
      </c>
      <c r="H29" s="3">
        <v>4.2671544495052096</v>
      </c>
      <c r="I29" s="3">
        <v>1.3630752782276201</v>
      </c>
      <c r="J29" s="3">
        <v>2.2899594899601801</v>
      </c>
      <c r="K29" s="3">
        <v>3.8047887489912702</v>
      </c>
      <c r="L29" s="3">
        <v>3.2615949968204698</v>
      </c>
      <c r="M29" s="3">
        <v>4.4549960237965598</v>
      </c>
      <c r="N29" s="3">
        <v>4.7121947781692404</v>
      </c>
    </row>
    <row r="30" spans="1:14" x14ac:dyDescent="0.35">
      <c r="A30" s="2">
        <v>42572</v>
      </c>
      <c r="B30" s="3">
        <v>4.2088910988748198</v>
      </c>
      <c r="C30" s="3">
        <v>4.4565634440490403</v>
      </c>
      <c r="D30" s="3">
        <v>2.9803572673776602</v>
      </c>
      <c r="E30" s="3">
        <v>3.3212487435554099</v>
      </c>
      <c r="F30" s="3">
        <v>2.3467520275704699</v>
      </c>
      <c r="G30" s="3">
        <v>3.4987920088909199</v>
      </c>
      <c r="H30" s="3">
        <v>4.1366402373448601</v>
      </c>
      <c r="I30" s="3">
        <v>1.31184083582249</v>
      </c>
      <c r="J30" s="3">
        <v>2.21879544538091</v>
      </c>
      <c r="K30" s="3">
        <v>3.78661089930115</v>
      </c>
      <c r="L30" s="3">
        <v>3.2059177324489201</v>
      </c>
      <c r="M30" s="3">
        <v>4.3230747824361302</v>
      </c>
      <c r="N30" s="3">
        <v>4.7430179975756701</v>
      </c>
    </row>
    <row r="31" spans="1:14" x14ac:dyDescent="0.35">
      <c r="A31" s="2">
        <v>42601</v>
      </c>
      <c r="B31" s="3">
        <v>4.1299261557169196</v>
      </c>
      <c r="C31" s="3">
        <v>4.44739351973754</v>
      </c>
      <c r="D31" s="3">
        <v>2.9566593840922599</v>
      </c>
      <c r="E31" s="3">
        <v>3.1928354679625</v>
      </c>
      <c r="F31" s="3">
        <v>2.4244192614192199</v>
      </c>
      <c r="G31" s="3">
        <v>3.4697955624238901</v>
      </c>
      <c r="H31" s="3">
        <v>4.0853001110055702</v>
      </c>
      <c r="I31" s="3">
        <v>1.2768836189723001</v>
      </c>
      <c r="J31" s="3">
        <v>2.2048688757142298</v>
      </c>
      <c r="K31" s="3">
        <v>3.7583181103718801</v>
      </c>
      <c r="L31" s="3">
        <v>3.1733615777406401</v>
      </c>
      <c r="M31" s="3">
        <v>4.2848826334280199</v>
      </c>
      <c r="N31" s="3">
        <v>4.8785369702118899</v>
      </c>
    </row>
    <row r="32" spans="1:14" x14ac:dyDescent="0.35">
      <c r="A32" s="2">
        <v>42634</v>
      </c>
      <c r="B32" s="3">
        <v>4.3080239683609598</v>
      </c>
      <c r="C32" s="3">
        <v>4.6184100586979602</v>
      </c>
      <c r="D32" s="3">
        <v>2.9554493572593801</v>
      </c>
      <c r="E32" s="3">
        <v>3.2211960886508799</v>
      </c>
      <c r="F32" s="3">
        <v>2.3493866092634099</v>
      </c>
      <c r="G32" s="3">
        <v>3.4747679164122802</v>
      </c>
      <c r="H32" s="3">
        <v>4.1883503873691303</v>
      </c>
      <c r="I32" s="3">
        <v>1.26458114234243</v>
      </c>
      <c r="J32" s="3">
        <v>2.2250517073834502</v>
      </c>
      <c r="K32" s="3">
        <v>3.7459811151001299</v>
      </c>
      <c r="L32" s="3">
        <v>3.17937370751237</v>
      </c>
      <c r="M32" s="3">
        <v>4.2310522479220296</v>
      </c>
      <c r="N32" s="3">
        <v>4.9783789528817399</v>
      </c>
    </row>
    <row r="33" spans="1:14" x14ac:dyDescent="0.35">
      <c r="A33" s="2">
        <v>42664</v>
      </c>
      <c r="B33" s="3">
        <v>4.5715078705834902</v>
      </c>
      <c r="C33" s="3">
        <v>4.5518764372082003</v>
      </c>
      <c r="D33" s="3">
        <v>2.9008015804059202</v>
      </c>
      <c r="E33" s="3">
        <v>3.1245063872905798</v>
      </c>
      <c r="F33" s="3">
        <v>2.3427979782150401</v>
      </c>
      <c r="G33" s="3">
        <v>3.56742675198337</v>
      </c>
      <c r="H33" s="3">
        <v>4.2857418100981004</v>
      </c>
      <c r="I33" s="3">
        <v>1.2643850235768299</v>
      </c>
      <c r="J33" s="3">
        <v>2.2547527816933299</v>
      </c>
      <c r="K33" s="3">
        <v>3.6933423049780698</v>
      </c>
      <c r="L33" s="3">
        <v>3.0904866562335398</v>
      </c>
      <c r="M33" s="3">
        <v>4.0473304171673199</v>
      </c>
      <c r="N33" s="3">
        <v>4.7867254211201402</v>
      </c>
    </row>
    <row r="34" spans="1:14" x14ac:dyDescent="0.35">
      <c r="A34" s="2">
        <v>42695</v>
      </c>
      <c r="B34" s="3">
        <v>4.6286624225613897</v>
      </c>
      <c r="C34" s="3">
        <v>4.6378075801287499</v>
      </c>
      <c r="D34" s="3">
        <v>2.87312207966262</v>
      </c>
      <c r="E34" s="3">
        <v>3.1760779721377501</v>
      </c>
      <c r="F34" s="3">
        <v>2.22777000328764</v>
      </c>
      <c r="G34" s="3">
        <v>3.6593850035878099</v>
      </c>
      <c r="H34" s="3">
        <v>4.4217264099899998</v>
      </c>
      <c r="I34" s="3">
        <v>1.28127676871053</v>
      </c>
      <c r="J34" s="3">
        <v>2.2131514427118</v>
      </c>
      <c r="K34" s="3">
        <v>3.70848001987701</v>
      </c>
      <c r="L34" s="3">
        <v>3.1385412108880901</v>
      </c>
      <c r="M34" s="3">
        <v>4.03778999055434</v>
      </c>
      <c r="N34" s="3">
        <v>4.8849300956209003</v>
      </c>
    </row>
    <row r="35" spans="1:14" x14ac:dyDescent="0.35">
      <c r="A35" s="2">
        <v>42725</v>
      </c>
      <c r="B35" s="3">
        <v>4.6808377401602401</v>
      </c>
      <c r="C35" s="3">
        <v>4.5596704152373597</v>
      </c>
      <c r="D35" s="3">
        <v>2.8294334617035202</v>
      </c>
      <c r="E35" s="3">
        <v>2.9713131213272699</v>
      </c>
      <c r="F35" s="3">
        <v>2.0826392028664902</v>
      </c>
      <c r="G35" s="3">
        <v>3.5661673641738898</v>
      </c>
      <c r="H35" s="3">
        <v>4.32299867762333</v>
      </c>
      <c r="I35" s="3">
        <v>1.27752854989474</v>
      </c>
      <c r="J35" s="3">
        <v>2.16067838253303</v>
      </c>
      <c r="K35" s="3">
        <v>3.4935451369342299</v>
      </c>
      <c r="L35" s="3">
        <v>2.9681132639955501</v>
      </c>
      <c r="M35" s="3">
        <v>3.8863198208770102</v>
      </c>
      <c r="N35" s="3">
        <v>4.2833908561290501</v>
      </c>
    </row>
    <row r="36" spans="1:14" x14ac:dyDescent="0.35">
      <c r="A36" s="2">
        <v>42755</v>
      </c>
      <c r="B36" s="3">
        <v>4.5191020668288404</v>
      </c>
      <c r="C36" s="3">
        <v>4.5311602519769503</v>
      </c>
      <c r="D36" s="3">
        <v>2.8035026942040799</v>
      </c>
      <c r="E36" s="3">
        <v>2.9444601299761799</v>
      </c>
      <c r="F36" s="3">
        <v>2.1208943547260901</v>
      </c>
      <c r="G36" s="3">
        <v>3.52230032714073</v>
      </c>
      <c r="H36" s="3">
        <v>4.2930800560485496</v>
      </c>
      <c r="I36" s="3">
        <v>1.2548676233177001</v>
      </c>
      <c r="J36" s="3">
        <v>2.1683380645991099</v>
      </c>
      <c r="K36" s="3">
        <v>3.4623807817776502</v>
      </c>
      <c r="L36" s="3">
        <v>2.9511920126115201</v>
      </c>
      <c r="M36" s="3">
        <v>3.8530059520978099</v>
      </c>
      <c r="N36" s="3">
        <v>4.3097701494096601</v>
      </c>
    </row>
    <row r="37" spans="1:14" x14ac:dyDescent="0.35">
      <c r="A37" s="2">
        <v>42787</v>
      </c>
      <c r="B37" s="3">
        <v>4.5550131543810899</v>
      </c>
      <c r="C37" s="3">
        <v>4.49200623589042</v>
      </c>
      <c r="D37" s="3">
        <v>2.7668784177709198</v>
      </c>
      <c r="E37" s="3">
        <v>2.9106836880472602</v>
      </c>
      <c r="F37" s="3">
        <v>2.12688089830695</v>
      </c>
      <c r="G37" s="3">
        <v>3.3635056420763099</v>
      </c>
      <c r="H37" s="3">
        <v>4.2686970220740497</v>
      </c>
      <c r="I37" s="3">
        <v>1.21729483650758</v>
      </c>
      <c r="J37" s="3">
        <v>2.1042211752612601</v>
      </c>
      <c r="K37" s="3">
        <v>3.4854223904077801</v>
      </c>
      <c r="L37" s="3">
        <v>2.8495256519035799</v>
      </c>
      <c r="M37" s="3">
        <v>3.59704792859515</v>
      </c>
      <c r="N37" s="3">
        <v>4.4314482263472001</v>
      </c>
    </row>
    <row r="38" spans="1:14" x14ac:dyDescent="0.35">
      <c r="A38" s="2">
        <v>42815</v>
      </c>
      <c r="B38" s="3">
        <v>4.6368193005249996</v>
      </c>
      <c r="C38" s="3">
        <v>4.5695816069255502</v>
      </c>
      <c r="D38" s="3">
        <v>2.9575163502144401</v>
      </c>
      <c r="E38" s="3">
        <v>2.9771143514866498</v>
      </c>
      <c r="F38" s="3">
        <v>2.1429094338569299</v>
      </c>
      <c r="G38" s="3">
        <v>3.3525364780739499</v>
      </c>
      <c r="H38" s="3">
        <v>4.2933684216399204</v>
      </c>
      <c r="I38" s="3">
        <v>1.22615871422933</v>
      </c>
      <c r="J38" s="3">
        <v>2.12653239051332</v>
      </c>
      <c r="K38" s="3">
        <v>3.42407783196952</v>
      </c>
      <c r="L38" s="3">
        <v>2.7757860397457002</v>
      </c>
      <c r="M38" s="3">
        <v>3.6706194108979102</v>
      </c>
      <c r="N38" s="3">
        <v>4.0109319334472202</v>
      </c>
    </row>
    <row r="39" spans="1:14" x14ac:dyDescent="0.35">
      <c r="A39" s="2">
        <v>42846</v>
      </c>
      <c r="B39" s="3">
        <v>4.5935189746121203</v>
      </c>
      <c r="C39" s="3">
        <v>4.5308818477163397</v>
      </c>
      <c r="D39" s="3">
        <v>2.9223114611682899</v>
      </c>
      <c r="E39" s="3">
        <v>2.9681631043319099</v>
      </c>
      <c r="F39" s="3">
        <v>2.27189414492703</v>
      </c>
      <c r="G39" s="3">
        <v>3.4521810116621099</v>
      </c>
      <c r="H39" s="3">
        <v>4.4429152512278103</v>
      </c>
      <c r="I39" s="3">
        <v>1.2139971852117299</v>
      </c>
      <c r="J39" s="3">
        <v>2.1375227291058101</v>
      </c>
      <c r="K39" s="3">
        <v>3.3979266813409099</v>
      </c>
      <c r="L39" s="3">
        <v>2.7755333388915502</v>
      </c>
      <c r="M39" s="3">
        <v>3.6693431995930901</v>
      </c>
      <c r="N39" s="3">
        <v>4.0730728164472598</v>
      </c>
    </row>
    <row r="40" spans="1:14" x14ac:dyDescent="0.35">
      <c r="A40" s="2">
        <v>42874</v>
      </c>
      <c r="B40" s="3">
        <v>4.4829567458119604</v>
      </c>
      <c r="C40" s="3">
        <v>4.6499430988821002</v>
      </c>
      <c r="D40" s="3">
        <v>2.97660355379911</v>
      </c>
      <c r="E40" s="3">
        <v>2.91924626506604</v>
      </c>
      <c r="F40" s="3">
        <v>2.2015107871136101</v>
      </c>
      <c r="G40" s="3">
        <v>3.29377916133254</v>
      </c>
      <c r="H40" s="3">
        <v>4.2285836550144502</v>
      </c>
      <c r="I40" s="3">
        <v>1.18279691794141</v>
      </c>
      <c r="J40" s="3">
        <v>2.1213175890017899</v>
      </c>
      <c r="K40" s="3">
        <v>3.23593822059639</v>
      </c>
      <c r="L40" s="3">
        <v>2.7406483424558501</v>
      </c>
      <c r="M40" s="3">
        <v>3.3990980841924001</v>
      </c>
      <c r="N40" s="3">
        <v>3.7662250186090298</v>
      </c>
    </row>
    <row r="41" spans="1:14" x14ac:dyDescent="0.35">
      <c r="A41" s="2">
        <v>42907</v>
      </c>
      <c r="B41" s="3">
        <v>4.4043033904291997</v>
      </c>
      <c r="C41" s="3">
        <v>4.7102357368254104</v>
      </c>
      <c r="D41" s="3">
        <v>3.0483202982976199</v>
      </c>
      <c r="E41" s="3">
        <v>2.9216903148567601</v>
      </c>
      <c r="F41" s="3">
        <v>2.16634763367838</v>
      </c>
      <c r="G41" s="3">
        <v>3.2660780611443001</v>
      </c>
      <c r="H41" s="3">
        <v>4.3157631844180004</v>
      </c>
      <c r="I41" s="3">
        <v>1.16782878735106</v>
      </c>
      <c r="J41" s="3">
        <v>2.08864721128145</v>
      </c>
      <c r="K41" s="3">
        <v>3.2841513304316199</v>
      </c>
      <c r="L41" s="3">
        <v>2.7353130698210899</v>
      </c>
      <c r="M41" s="3">
        <v>3.5184637102034602</v>
      </c>
      <c r="N41" s="3">
        <v>3.7805923464717699</v>
      </c>
    </row>
    <row r="42" spans="1:14" x14ac:dyDescent="0.35">
      <c r="A42" s="2">
        <v>42937</v>
      </c>
      <c r="B42" s="3">
        <v>4.39712922437836</v>
      </c>
      <c r="C42" s="3">
        <v>4.5868000005944598</v>
      </c>
      <c r="D42" s="3">
        <v>3.03561985105312</v>
      </c>
      <c r="E42" s="3">
        <v>3.0591642141120499</v>
      </c>
      <c r="F42" s="3">
        <v>2.1562464391701202</v>
      </c>
      <c r="G42" s="3">
        <v>3.2843274916560699</v>
      </c>
      <c r="H42" s="3">
        <v>4.2634775759024199</v>
      </c>
      <c r="I42" s="3">
        <v>1.1640004036387499</v>
      </c>
      <c r="J42" s="3">
        <v>2.0819204632530099</v>
      </c>
      <c r="K42" s="3">
        <v>3.3806601087714401</v>
      </c>
      <c r="L42" s="3">
        <v>2.76895855549758</v>
      </c>
      <c r="M42" s="3">
        <v>3.6647192228405401</v>
      </c>
      <c r="N42" s="3">
        <v>3.80310760004875</v>
      </c>
    </row>
    <row r="43" spans="1:14" x14ac:dyDescent="0.35">
      <c r="A43" s="2">
        <v>42968</v>
      </c>
      <c r="B43" s="3">
        <v>4.3200728467120104</v>
      </c>
      <c r="C43" s="3">
        <v>4.5683663469799001</v>
      </c>
      <c r="D43" s="3">
        <v>3.0923264713077399</v>
      </c>
      <c r="E43" s="3">
        <v>3.14423775441522</v>
      </c>
      <c r="F43" s="3">
        <v>2.22504172062491</v>
      </c>
      <c r="G43" s="3">
        <v>3.33400675006154</v>
      </c>
      <c r="H43" s="3">
        <v>4.3882968624368699</v>
      </c>
      <c r="I43" s="3">
        <v>1.19955614496651</v>
      </c>
      <c r="J43" s="3">
        <v>2.1304639761192301</v>
      </c>
      <c r="K43" s="3">
        <v>3.4284976192249399</v>
      </c>
      <c r="L43" s="3">
        <v>2.82632942381347</v>
      </c>
      <c r="M43" s="3">
        <v>3.81227098455724</v>
      </c>
      <c r="N43" s="3">
        <v>3.7724628691743698</v>
      </c>
    </row>
    <row r="44" spans="1:14" x14ac:dyDescent="0.35">
      <c r="A44" s="2">
        <v>42999</v>
      </c>
      <c r="B44" s="3">
        <v>4.4475486170467899</v>
      </c>
      <c r="C44" s="3">
        <v>4.6313690443733204</v>
      </c>
      <c r="D44" s="3">
        <v>3.0193275502805599</v>
      </c>
      <c r="E44" s="3">
        <v>3.0386942507358601</v>
      </c>
      <c r="F44" s="3">
        <v>2.1560365427861101</v>
      </c>
      <c r="G44" s="3">
        <v>3.2787152580994898</v>
      </c>
      <c r="H44" s="3">
        <v>4.3484565653166101</v>
      </c>
      <c r="I44" s="3">
        <v>1.1704047003371001</v>
      </c>
      <c r="J44" s="3">
        <v>2.0741174480599098</v>
      </c>
      <c r="K44" s="3">
        <v>3.32072078466748</v>
      </c>
      <c r="L44" s="3">
        <v>2.8276487417760898</v>
      </c>
      <c r="M44" s="3">
        <v>3.6678215806101999</v>
      </c>
      <c r="N44" s="3">
        <v>3.6927737340018498</v>
      </c>
    </row>
    <row r="45" spans="1:14" x14ac:dyDescent="0.35">
      <c r="A45" s="2">
        <v>43028</v>
      </c>
      <c r="B45" s="3">
        <v>4.3475539936513501</v>
      </c>
      <c r="C45" s="3">
        <v>4.4811948730309199</v>
      </c>
      <c r="D45" s="3">
        <v>2.9391300920144201</v>
      </c>
      <c r="E45" s="3">
        <v>2.9587879534019899</v>
      </c>
      <c r="F45" s="3">
        <v>2.0937503394154202</v>
      </c>
      <c r="G45" s="3">
        <v>3.2496603787662801</v>
      </c>
      <c r="H45" s="3">
        <v>4.2810006893357304</v>
      </c>
      <c r="I45" s="3">
        <v>1.14200520907822</v>
      </c>
      <c r="J45" s="3">
        <v>2.0236357136669398</v>
      </c>
      <c r="K45" s="3">
        <v>3.2874586291167698</v>
      </c>
      <c r="L45" s="3">
        <v>2.7696344916765301</v>
      </c>
      <c r="M45" s="3">
        <v>3.52428679217086</v>
      </c>
      <c r="N45" s="3">
        <v>3.83362747327975</v>
      </c>
    </row>
    <row r="46" spans="1:14" x14ac:dyDescent="0.35">
      <c r="A46" s="2">
        <v>43060</v>
      </c>
      <c r="B46" s="3">
        <v>4.3976576353296899</v>
      </c>
      <c r="C46" s="3">
        <v>4.4888927629951798</v>
      </c>
      <c r="D46" s="3">
        <v>2.9152634634718901</v>
      </c>
      <c r="E46" s="3">
        <v>2.9164250411429999</v>
      </c>
      <c r="F46" s="3">
        <v>2.08898404062881</v>
      </c>
      <c r="G46" s="3">
        <v>3.2330681906585599</v>
      </c>
      <c r="H46" s="3">
        <v>4.3744657350514702</v>
      </c>
      <c r="I46" s="3">
        <v>1.09983457164492</v>
      </c>
      <c r="J46" s="3">
        <v>2.0049751195298802</v>
      </c>
      <c r="K46" s="3">
        <v>3.3191822470474102</v>
      </c>
      <c r="L46" s="3">
        <v>2.8085312305111501</v>
      </c>
      <c r="M46" s="3">
        <v>3.5986012266313701</v>
      </c>
      <c r="N46" s="3">
        <v>3.8926784187473502</v>
      </c>
    </row>
    <row r="47" spans="1:14" x14ac:dyDescent="0.35">
      <c r="A47" s="2">
        <v>43090</v>
      </c>
      <c r="B47" s="3">
        <v>4.2188049238152097</v>
      </c>
      <c r="C47" s="3">
        <v>4.46770218521839</v>
      </c>
      <c r="D47" s="3">
        <v>2.9042138232848198</v>
      </c>
      <c r="E47" s="3">
        <v>2.9059139223000701</v>
      </c>
      <c r="F47" s="3">
        <v>2.0484435445250502</v>
      </c>
      <c r="G47" s="3">
        <v>3.2165101436871502</v>
      </c>
      <c r="H47" s="3">
        <v>4.2557183287075304</v>
      </c>
      <c r="I47" s="3">
        <v>1.08633211726086</v>
      </c>
      <c r="J47" s="3">
        <v>1.9512567692840801</v>
      </c>
      <c r="K47" s="3">
        <v>3.2774807186822801</v>
      </c>
      <c r="L47" s="3">
        <v>2.8279061211541201</v>
      </c>
      <c r="M47" s="3">
        <v>3.6810299847230401</v>
      </c>
      <c r="N47" s="3">
        <v>3.90818929124916</v>
      </c>
    </row>
    <row r="48" spans="1:14" x14ac:dyDescent="0.35">
      <c r="A48" s="2">
        <v>43119</v>
      </c>
      <c r="B48" s="3">
        <v>4.2816229535533399</v>
      </c>
      <c r="C48" s="3">
        <v>4.5307180695272802</v>
      </c>
      <c r="D48" s="3">
        <v>2.8928505049527899</v>
      </c>
      <c r="E48" s="3">
        <v>2.8585362992686401</v>
      </c>
      <c r="F48" s="3">
        <v>1.98461803992112</v>
      </c>
      <c r="G48" s="3">
        <v>3.1640338067095701</v>
      </c>
      <c r="H48" s="3">
        <v>4.17384072282199</v>
      </c>
      <c r="I48" s="3">
        <v>1.0359455340584101</v>
      </c>
      <c r="J48" s="3">
        <v>1.87979769073537</v>
      </c>
      <c r="K48" s="3">
        <v>3.20002794101294</v>
      </c>
      <c r="L48" s="3">
        <v>2.7549959287727401</v>
      </c>
      <c r="M48" s="3">
        <v>3.6428463130815101</v>
      </c>
      <c r="N48" s="3">
        <v>3.7203720386061998</v>
      </c>
    </row>
    <row r="49" spans="1:14" x14ac:dyDescent="0.35">
      <c r="A49" s="2">
        <v>43152</v>
      </c>
      <c r="B49" s="3">
        <v>4.3254442066912402</v>
      </c>
      <c r="C49" s="3">
        <v>4.6409099553794801</v>
      </c>
      <c r="D49" s="3">
        <v>3.0999020116409501</v>
      </c>
      <c r="E49" s="3">
        <v>3.1169947566332499</v>
      </c>
      <c r="F49" s="3">
        <v>2.18161949727555</v>
      </c>
      <c r="G49" s="3">
        <v>3.3496908090557902</v>
      </c>
      <c r="H49" s="3">
        <v>4.4116284098901</v>
      </c>
      <c r="I49" s="3">
        <v>1.0782046444326601</v>
      </c>
      <c r="J49" s="3">
        <v>1.98955115193051</v>
      </c>
      <c r="K49" s="3">
        <v>3.3725000276600698</v>
      </c>
      <c r="L49" s="3">
        <v>2.9277575032815801</v>
      </c>
      <c r="M49" s="3">
        <v>3.8508260324411001</v>
      </c>
      <c r="N49" s="3">
        <v>3.95737049017277</v>
      </c>
    </row>
    <row r="50" spans="1:14" x14ac:dyDescent="0.35">
      <c r="A50" s="2">
        <v>43180</v>
      </c>
      <c r="B50" s="3">
        <v>4.1617280711106801</v>
      </c>
      <c r="C50" s="3">
        <v>4.6905854552869499</v>
      </c>
      <c r="D50" s="3">
        <v>3.1182285987123501</v>
      </c>
      <c r="E50" s="3">
        <v>3.1790928550500102</v>
      </c>
      <c r="F50" s="3">
        <v>2.2629119849661099</v>
      </c>
      <c r="G50" s="3">
        <v>3.4765618906033802</v>
      </c>
      <c r="H50" s="3">
        <v>4.5639208486323701</v>
      </c>
      <c r="I50" s="3">
        <v>1.0720606389752001</v>
      </c>
      <c r="J50" s="3">
        <v>1.99883326904794</v>
      </c>
      <c r="K50" s="3">
        <v>3.4194870157890498</v>
      </c>
      <c r="L50" s="3">
        <v>2.9335408892108701</v>
      </c>
      <c r="M50" s="3">
        <v>3.9923027946630798</v>
      </c>
      <c r="N50" s="3">
        <v>4.02833200479603</v>
      </c>
    </row>
    <row r="51" spans="1:14" x14ac:dyDescent="0.35">
      <c r="A51" s="2">
        <v>43210</v>
      </c>
      <c r="B51" s="3">
        <v>4.3443051218568298</v>
      </c>
      <c r="C51" s="3">
        <v>4.7962030739716699</v>
      </c>
      <c r="D51" s="3">
        <v>3.1779450039680701</v>
      </c>
      <c r="E51" s="3">
        <v>3.16194205188653</v>
      </c>
      <c r="F51" s="3">
        <v>2.2343902511999101</v>
      </c>
      <c r="G51" s="3">
        <v>3.4347923253595201</v>
      </c>
      <c r="H51" s="3">
        <v>4.3934206566877396</v>
      </c>
      <c r="I51" s="3">
        <v>1.1160861328312599</v>
      </c>
      <c r="J51" s="3">
        <v>2.0491044883337501</v>
      </c>
      <c r="K51" s="3">
        <v>3.3436837907419901</v>
      </c>
      <c r="L51" s="3">
        <v>2.9500123052093001</v>
      </c>
      <c r="M51" s="3">
        <v>4.0033395172675403</v>
      </c>
      <c r="N51" s="3">
        <v>3.8953341531141898</v>
      </c>
    </row>
    <row r="52" spans="1:14" x14ac:dyDescent="0.35">
      <c r="A52" s="2">
        <v>43241</v>
      </c>
      <c r="B52" s="3">
        <v>4.23200651896813</v>
      </c>
      <c r="C52" s="3">
        <v>4.6297365571603901</v>
      </c>
      <c r="D52" s="3">
        <v>3.0526562168728399</v>
      </c>
      <c r="E52" s="3">
        <v>3.0933664764824802</v>
      </c>
      <c r="F52" s="3">
        <v>2.18320465777464</v>
      </c>
      <c r="G52" s="3">
        <v>3.4357844323297102</v>
      </c>
      <c r="H52" s="3">
        <v>4.2164197715141203</v>
      </c>
      <c r="I52" s="3">
        <v>1.09242748946046</v>
      </c>
      <c r="J52" s="3">
        <v>2.0224436782514399</v>
      </c>
      <c r="K52" s="3">
        <v>3.2519874790207899</v>
      </c>
      <c r="L52" s="3">
        <v>2.85906814562111</v>
      </c>
      <c r="M52" s="3">
        <v>3.9378050077753302</v>
      </c>
      <c r="N52" s="3">
        <v>4.0947026895496199</v>
      </c>
    </row>
    <row r="53" spans="1:14" x14ac:dyDescent="0.35">
      <c r="A53" s="2">
        <v>43272</v>
      </c>
      <c r="B53" s="3">
        <v>4.0224911579761997</v>
      </c>
      <c r="C53" s="3">
        <v>4.6151149462883199</v>
      </c>
      <c r="D53" s="3">
        <v>3.0586559453980202</v>
      </c>
      <c r="E53" s="3">
        <v>3.2111265289101101</v>
      </c>
      <c r="F53" s="3">
        <v>2.2715306128334198</v>
      </c>
      <c r="G53" s="3">
        <v>3.6255503557930702</v>
      </c>
      <c r="H53" s="3">
        <v>4.4312711232825803</v>
      </c>
      <c r="I53" s="3">
        <v>1.0462927398535899</v>
      </c>
      <c r="J53" s="3">
        <v>2.0263845764120099</v>
      </c>
      <c r="K53" s="3">
        <v>3.46316391574722</v>
      </c>
      <c r="L53" s="3">
        <v>2.90845097361303</v>
      </c>
      <c r="M53" s="3">
        <v>4.1609676777834101</v>
      </c>
      <c r="N53" s="3">
        <v>4.4710492648870099</v>
      </c>
    </row>
    <row r="54" spans="1:14" x14ac:dyDescent="0.35">
      <c r="A54" s="2">
        <v>43301</v>
      </c>
      <c r="B54" s="3">
        <v>4.0760964109319104</v>
      </c>
      <c r="C54" s="3">
        <v>4.5678642278702597</v>
      </c>
      <c r="D54" s="3">
        <v>3.0563286428214398</v>
      </c>
      <c r="E54" s="3">
        <v>3.2146990485120499</v>
      </c>
      <c r="F54" s="3">
        <v>2.2809295352768002</v>
      </c>
      <c r="G54" s="3">
        <v>3.4216751372553298</v>
      </c>
      <c r="H54" s="3">
        <v>4.4085044623519796</v>
      </c>
      <c r="I54" s="3">
        <v>1.03757147392802</v>
      </c>
      <c r="J54" s="3">
        <v>2.0084414131199502</v>
      </c>
      <c r="K54" s="3">
        <v>3.4169397213231001</v>
      </c>
      <c r="L54" s="3">
        <v>2.8763189746125599</v>
      </c>
      <c r="M54" s="3">
        <v>4.1504298730979103</v>
      </c>
      <c r="N54" s="3">
        <v>4.4560035113199996</v>
      </c>
    </row>
    <row r="55" spans="1:14" x14ac:dyDescent="0.35">
      <c r="A55" s="2">
        <v>43333</v>
      </c>
      <c r="B55" s="3">
        <v>3.9723498614378498</v>
      </c>
      <c r="C55" s="3">
        <v>4.5981376947482904</v>
      </c>
      <c r="D55" s="3">
        <v>3.1036533169081402</v>
      </c>
      <c r="E55" s="3">
        <v>3.2545888069200202</v>
      </c>
      <c r="F55" s="3">
        <v>2.3738594666756399</v>
      </c>
      <c r="G55" s="3">
        <v>3.4084723222998101</v>
      </c>
      <c r="H55" s="3">
        <v>4.5112634251220403</v>
      </c>
      <c r="I55" s="3">
        <v>1.08191145285751</v>
      </c>
      <c r="J55" s="3">
        <v>1.98085300195822</v>
      </c>
      <c r="K55" s="3">
        <v>3.4513727530019098</v>
      </c>
      <c r="L55" s="3">
        <v>2.9184853444555299</v>
      </c>
      <c r="M55" s="3">
        <v>4.0606576821995501</v>
      </c>
      <c r="N55" s="3">
        <v>4.6244134587019099</v>
      </c>
    </row>
    <row r="56" spans="1:14" x14ac:dyDescent="0.35">
      <c r="A56" s="2">
        <v>43364</v>
      </c>
      <c r="B56" s="3">
        <v>3.9391593377619798</v>
      </c>
      <c r="C56" s="3">
        <v>4.7359120912686397</v>
      </c>
      <c r="D56" s="3">
        <v>3.1392618076907399</v>
      </c>
      <c r="E56" s="3">
        <v>3.2617756969996501</v>
      </c>
      <c r="F56" s="3">
        <v>2.2324375613262699</v>
      </c>
      <c r="G56" s="3">
        <v>3.4008473944131099</v>
      </c>
      <c r="H56" s="3">
        <v>4.5167977908699903</v>
      </c>
      <c r="I56" s="3">
        <v>1.07475794369408</v>
      </c>
      <c r="J56" s="3">
        <v>1.9439635999581899</v>
      </c>
      <c r="K56" s="3">
        <v>3.41690221216904</v>
      </c>
      <c r="L56" s="3">
        <v>2.9842073071064599</v>
      </c>
      <c r="M56" s="3">
        <v>4.03304405264279</v>
      </c>
      <c r="N56" s="3">
        <v>4.5195034275665202</v>
      </c>
    </row>
    <row r="57" spans="1:14" x14ac:dyDescent="0.35">
      <c r="A57" s="2">
        <v>43392</v>
      </c>
      <c r="B57" s="3">
        <v>4.25938588713736</v>
      </c>
      <c r="C57" s="3">
        <v>4.9779134812291099</v>
      </c>
      <c r="D57" s="3">
        <v>3.3294261420827098</v>
      </c>
      <c r="E57" s="3">
        <v>3.5238694778703699</v>
      </c>
      <c r="F57" s="3">
        <v>2.3868058001432102</v>
      </c>
      <c r="G57" s="3">
        <v>3.55312583626533</v>
      </c>
      <c r="H57" s="3">
        <v>4.8307059781581598</v>
      </c>
      <c r="I57" s="3">
        <v>1.14774033501963</v>
      </c>
      <c r="J57" s="3">
        <v>2.0708746382752299</v>
      </c>
      <c r="K57" s="3">
        <v>3.7075747795182301</v>
      </c>
      <c r="L57" s="3">
        <v>3.1705795548324001</v>
      </c>
      <c r="M57" s="3">
        <v>4.3536532556451499</v>
      </c>
      <c r="N57" s="3">
        <v>5.0843456906451001</v>
      </c>
    </row>
    <row r="58" spans="1:14" x14ac:dyDescent="0.35">
      <c r="A58" s="2">
        <v>43425</v>
      </c>
      <c r="B58" s="3">
        <v>4.3028608972667204</v>
      </c>
      <c r="C58" s="3">
        <v>5.3088052489230702</v>
      </c>
      <c r="D58" s="3">
        <v>3.4099918690156099</v>
      </c>
      <c r="E58" s="3">
        <v>3.6779497173285298</v>
      </c>
      <c r="F58" s="3">
        <v>2.5341768149944901</v>
      </c>
      <c r="G58" s="3">
        <v>3.5821380546339401</v>
      </c>
      <c r="H58" s="3">
        <v>4.9149551623567804</v>
      </c>
      <c r="I58" s="3">
        <v>1.25427622267547</v>
      </c>
      <c r="J58" s="3">
        <v>2.1653297400068499</v>
      </c>
      <c r="K58" s="3">
        <v>3.81097172670817</v>
      </c>
      <c r="L58" s="3">
        <v>3.2516401615475998</v>
      </c>
      <c r="M58" s="3">
        <v>4.56051410849199</v>
      </c>
      <c r="N58" s="3">
        <v>5.2053073526082603</v>
      </c>
    </row>
    <row r="59" spans="1:14" x14ac:dyDescent="0.35">
      <c r="A59" s="2">
        <v>43455</v>
      </c>
      <c r="B59" s="3">
        <v>4.2240225592964897</v>
      </c>
      <c r="C59" s="3">
        <v>5.5200522160665599</v>
      </c>
      <c r="D59" s="3">
        <v>3.7015703101624098</v>
      </c>
      <c r="E59" s="3">
        <v>3.9325612443397899</v>
      </c>
      <c r="F59" s="3">
        <v>2.7298021243984998</v>
      </c>
      <c r="G59" s="3">
        <v>3.7152461419932501</v>
      </c>
      <c r="H59" s="3">
        <v>5.2147830159307498</v>
      </c>
      <c r="I59" s="3">
        <v>1.3974888019120699</v>
      </c>
      <c r="J59" s="3">
        <v>2.4022200614989</v>
      </c>
      <c r="K59" s="3">
        <v>4.0361689406528098</v>
      </c>
      <c r="L59" s="3">
        <v>3.5069831638518498</v>
      </c>
      <c r="M59" s="3">
        <v>4.7620752882648096</v>
      </c>
      <c r="N59" s="3">
        <v>5.3973808422383698</v>
      </c>
    </row>
    <row r="60" spans="1:14" x14ac:dyDescent="0.35">
      <c r="A60" s="2">
        <v>43483</v>
      </c>
      <c r="B60" s="3">
        <v>4.0373834466379099</v>
      </c>
      <c r="C60" s="3">
        <v>5.0832202253432097</v>
      </c>
      <c r="D60" s="3">
        <v>3.3649424151579601</v>
      </c>
      <c r="E60" s="3">
        <v>3.7141151633146099</v>
      </c>
      <c r="F60" s="3">
        <v>2.6476194049570898</v>
      </c>
      <c r="G60" s="3">
        <v>3.4635429401433799</v>
      </c>
      <c r="H60" s="3">
        <v>5.1148731332854398</v>
      </c>
      <c r="I60" s="3">
        <v>1.2360889910347601</v>
      </c>
      <c r="J60" s="3">
        <v>2.1802797338775899</v>
      </c>
      <c r="K60" s="3">
        <v>3.8790939273228302</v>
      </c>
      <c r="L60" s="3">
        <v>3.3241366164834201</v>
      </c>
      <c r="M60" s="3">
        <v>4.37893456688104</v>
      </c>
      <c r="N60" s="3">
        <v>5.07212143979012</v>
      </c>
    </row>
    <row r="61" spans="1:14" x14ac:dyDescent="0.35">
      <c r="A61" s="2">
        <v>43517</v>
      </c>
      <c r="B61" s="3">
        <v>3.99518560543404</v>
      </c>
      <c r="C61" s="3">
        <v>4.9523652170536696</v>
      </c>
      <c r="D61" s="3">
        <v>3.2704039213742599</v>
      </c>
      <c r="E61" s="3">
        <v>3.6401298920818599</v>
      </c>
      <c r="F61" s="3">
        <v>2.5601571685385198</v>
      </c>
      <c r="G61" s="3">
        <v>3.3455208211912502</v>
      </c>
      <c r="H61" s="3">
        <v>4.9550365599583701</v>
      </c>
      <c r="I61" s="3">
        <v>1.2029279432778901</v>
      </c>
      <c r="J61" s="3">
        <v>2.11169324483128</v>
      </c>
      <c r="K61" s="3">
        <v>3.6725710550897102</v>
      </c>
      <c r="L61" s="3">
        <v>3.1324802762896802</v>
      </c>
      <c r="M61" s="3">
        <v>4.15771922163262</v>
      </c>
      <c r="N61" s="3">
        <v>4.9143310154838797</v>
      </c>
    </row>
    <row r="62" spans="1:14" x14ac:dyDescent="0.35">
      <c r="A62" s="2">
        <v>43545</v>
      </c>
      <c r="B62" s="3">
        <v>3.9181783380854198</v>
      </c>
      <c r="C62" s="3">
        <v>4.9589014135548197</v>
      </c>
      <c r="D62" s="3">
        <v>3.24950418237797</v>
      </c>
      <c r="E62" s="3">
        <v>3.5866804405917199</v>
      </c>
      <c r="F62" s="3">
        <v>2.5568546054641899</v>
      </c>
      <c r="G62" s="3">
        <v>3.31891327317163</v>
      </c>
      <c r="H62" s="3">
        <v>4.8542767493957601</v>
      </c>
      <c r="I62" s="3">
        <v>1.1188333308418701</v>
      </c>
      <c r="J62" s="3">
        <v>2.0672316108236699</v>
      </c>
      <c r="K62" s="3">
        <v>3.5662073738391999</v>
      </c>
      <c r="L62" s="3">
        <v>3.04458920894128</v>
      </c>
      <c r="M62" s="3">
        <v>4.0836215627532502</v>
      </c>
      <c r="N62" s="3">
        <v>4.6681470959949696</v>
      </c>
    </row>
    <row r="63" spans="1:14" x14ac:dyDescent="0.35">
      <c r="A63" s="2">
        <v>43573</v>
      </c>
      <c r="B63" s="3">
        <v>3.7053522706424702</v>
      </c>
      <c r="C63" s="3">
        <v>4.9071890749254896</v>
      </c>
      <c r="D63" s="3">
        <v>3.1781409264264102</v>
      </c>
      <c r="E63" s="3">
        <v>3.4165338769173399</v>
      </c>
      <c r="F63" s="3">
        <v>2.5663136635921502</v>
      </c>
      <c r="G63" s="3">
        <v>3.2880070669422299</v>
      </c>
      <c r="H63" s="3">
        <v>4.8220768974166903</v>
      </c>
      <c r="I63" s="3">
        <v>1.1004173465179501</v>
      </c>
      <c r="J63" s="3">
        <v>2.0486549003696601</v>
      </c>
      <c r="K63" s="3">
        <v>3.4723192274072199</v>
      </c>
      <c r="L63" s="3">
        <v>2.95777907764433</v>
      </c>
      <c r="M63" s="3">
        <v>3.9643469725115801</v>
      </c>
      <c r="N63" s="3">
        <v>4.6089562362465504</v>
      </c>
    </row>
    <row r="64" spans="1:14" x14ac:dyDescent="0.35">
      <c r="A64" s="2">
        <v>43606</v>
      </c>
      <c r="B64" s="3">
        <v>3.6579699048649701</v>
      </c>
      <c r="C64" s="3">
        <v>4.7161345770010303</v>
      </c>
      <c r="D64" s="3">
        <v>3.2951512987421698</v>
      </c>
      <c r="E64" s="3">
        <v>3.5347787890083802</v>
      </c>
      <c r="F64" s="3">
        <v>2.6641581943383299</v>
      </c>
      <c r="G64" s="3">
        <v>3.2982486379829101</v>
      </c>
      <c r="H64" s="3">
        <v>4.8790212589882698</v>
      </c>
      <c r="I64" s="3">
        <v>1.1437069692489401</v>
      </c>
      <c r="J64" s="3">
        <v>2.08845445507239</v>
      </c>
      <c r="K64" s="3">
        <v>3.6071687316747401</v>
      </c>
      <c r="L64" s="3">
        <v>3.0646424264832701</v>
      </c>
      <c r="M64" s="3">
        <v>4.20247668432257</v>
      </c>
      <c r="N64" s="3">
        <v>4.9063758691358403</v>
      </c>
    </row>
    <row r="65" spans="1:14" x14ac:dyDescent="0.35">
      <c r="A65" s="2">
        <v>43637</v>
      </c>
      <c r="B65" s="3">
        <v>3.62922340924557</v>
      </c>
      <c r="C65" s="3">
        <v>4.6002400692003196</v>
      </c>
      <c r="D65" s="3">
        <v>3.2892326067115301</v>
      </c>
      <c r="E65" s="3">
        <v>3.5037011157356801</v>
      </c>
      <c r="F65" s="3">
        <v>2.6925064251728599</v>
      </c>
      <c r="G65" s="3">
        <v>3.2111483936228198</v>
      </c>
      <c r="H65" s="3">
        <v>4.7912648110249698</v>
      </c>
      <c r="I65" s="3">
        <v>1.10862383835309</v>
      </c>
      <c r="J65" s="3">
        <v>2.0401729386170202</v>
      </c>
      <c r="K65" s="3">
        <v>3.5334130432214299</v>
      </c>
      <c r="L65" s="3">
        <v>3.0267073221074199</v>
      </c>
      <c r="M65" s="3">
        <v>4.1241011991345502</v>
      </c>
      <c r="N65" s="3">
        <v>4.7864049471727199</v>
      </c>
    </row>
    <row r="66" spans="1:14" x14ac:dyDescent="0.35">
      <c r="A66" s="2">
        <v>43665</v>
      </c>
      <c r="B66" s="3">
        <v>3.43685314974151</v>
      </c>
      <c r="C66" s="3">
        <v>4.5657993534428796</v>
      </c>
      <c r="D66" s="3">
        <v>3.31823581461239</v>
      </c>
      <c r="E66" s="3">
        <v>3.48034163004347</v>
      </c>
      <c r="F66" s="3">
        <v>2.66649243280881</v>
      </c>
      <c r="G66" s="3">
        <v>3.2102716653347101</v>
      </c>
      <c r="H66" s="3">
        <v>4.8080143778315501</v>
      </c>
      <c r="I66" s="3">
        <v>1.09598703955693</v>
      </c>
      <c r="J66" s="3">
        <v>2.0324840255376899</v>
      </c>
      <c r="K66" s="3">
        <v>3.5303784094387498</v>
      </c>
      <c r="L66" s="3">
        <v>2.9476167732152501</v>
      </c>
      <c r="M66" s="3">
        <v>4.0249016287268597</v>
      </c>
      <c r="N66" s="3">
        <v>4.7671545063630703</v>
      </c>
    </row>
    <row r="67" spans="1:14" x14ac:dyDescent="0.35">
      <c r="A67" s="2">
        <v>43698</v>
      </c>
      <c r="B67" s="3">
        <v>3.43223855296733</v>
      </c>
      <c r="C67" s="3">
        <v>4.6904076326603601</v>
      </c>
      <c r="D67" s="3">
        <v>3.4067286079091099</v>
      </c>
      <c r="E67" s="3">
        <v>3.56548626398865</v>
      </c>
      <c r="F67" s="3">
        <v>2.7837944579355201</v>
      </c>
      <c r="G67" s="3">
        <v>3.2498626332660199</v>
      </c>
      <c r="H67" s="3">
        <v>5.0839565545066696</v>
      </c>
      <c r="I67" s="3">
        <v>1.1103170674165099</v>
      </c>
      <c r="J67" s="3">
        <v>2.07840354557419</v>
      </c>
      <c r="K67" s="3">
        <v>3.6242347691394401</v>
      </c>
      <c r="L67" s="3">
        <v>2.99054253666786</v>
      </c>
      <c r="M67" s="3">
        <v>4.2524459830850398</v>
      </c>
      <c r="N67" s="3">
        <v>4.9864884182880802</v>
      </c>
    </row>
    <row r="68" spans="1:14" x14ac:dyDescent="0.35">
      <c r="A68" s="2">
        <v>43728</v>
      </c>
      <c r="B68" s="3">
        <v>3.37111486240202</v>
      </c>
      <c r="C68" s="3">
        <v>4.4318639251294503</v>
      </c>
      <c r="D68" s="3">
        <v>3.28188572321895</v>
      </c>
      <c r="E68" s="3">
        <v>3.38385910478751</v>
      </c>
      <c r="F68" s="3">
        <v>2.5743177238920798</v>
      </c>
      <c r="G68" s="3">
        <v>3.2068313126370098</v>
      </c>
      <c r="H68" s="3">
        <v>4.9113542681296902</v>
      </c>
      <c r="I68" s="3">
        <v>1.10363322297679</v>
      </c>
      <c r="J68" s="3">
        <v>2.0421745057231302</v>
      </c>
      <c r="K68" s="3">
        <v>3.47533545593088</v>
      </c>
      <c r="L68" s="3">
        <v>2.74226337527127</v>
      </c>
      <c r="M68" s="3">
        <v>3.8726675903941898</v>
      </c>
      <c r="N68" s="3">
        <v>4.7223331991841899</v>
      </c>
    </row>
    <row r="69" spans="1:14" x14ac:dyDescent="0.35">
      <c r="A69" s="2">
        <v>43759</v>
      </c>
      <c r="B69" s="3">
        <v>3.2952155746233802</v>
      </c>
      <c r="C69" s="3">
        <v>4.42962122276312</v>
      </c>
      <c r="D69" s="3">
        <v>3.3700197933829399</v>
      </c>
      <c r="E69" s="3">
        <v>3.3031525927275598</v>
      </c>
      <c r="F69" s="3">
        <v>2.5645145929169502</v>
      </c>
      <c r="G69" s="3">
        <v>3.22122803740274</v>
      </c>
      <c r="H69" s="3">
        <v>4.9182907920558199</v>
      </c>
      <c r="I69" s="3">
        <v>1.0944870241377</v>
      </c>
      <c r="J69" s="3">
        <v>2.0413682323871698</v>
      </c>
      <c r="K69" s="3">
        <v>3.5060918264013399</v>
      </c>
      <c r="L69" s="3">
        <v>2.73456292340494</v>
      </c>
      <c r="M69" s="3">
        <v>3.7785574629149701</v>
      </c>
      <c r="N69" s="3">
        <v>4.6775892390456999</v>
      </c>
    </row>
    <row r="70" spans="1:14" x14ac:dyDescent="0.35">
      <c r="A70" s="2">
        <v>43790</v>
      </c>
      <c r="B70" s="3">
        <v>3.3195184157625302</v>
      </c>
      <c r="C70" s="3">
        <v>4.3936461719934599</v>
      </c>
      <c r="D70" s="3">
        <v>3.2551879311934999</v>
      </c>
      <c r="E70" s="3">
        <v>3.13568087419414</v>
      </c>
      <c r="F70" s="3">
        <v>2.4828398260124702</v>
      </c>
      <c r="G70" s="3">
        <v>3.13735149292433</v>
      </c>
      <c r="H70" s="3">
        <v>4.8531638076622201</v>
      </c>
      <c r="I70" s="3">
        <v>1.0869869523532401</v>
      </c>
      <c r="J70" s="3">
        <v>1.99635687192255</v>
      </c>
      <c r="K70" s="3">
        <v>3.3901707651789099</v>
      </c>
      <c r="L70" s="3">
        <v>2.6812231834916198</v>
      </c>
      <c r="M70" s="3">
        <v>3.72445672118462</v>
      </c>
      <c r="N70" s="3">
        <v>4.5894266808637898</v>
      </c>
    </row>
    <row r="71" spans="1:14" x14ac:dyDescent="0.35">
      <c r="A71" s="2">
        <v>43819</v>
      </c>
      <c r="B71" s="3">
        <v>3.1638588922226201</v>
      </c>
      <c r="C71" s="3">
        <v>4.2428234663906998</v>
      </c>
      <c r="D71" s="3">
        <v>3.24139759415469</v>
      </c>
      <c r="E71" s="3">
        <v>3.0775521091151901</v>
      </c>
      <c r="F71" s="3">
        <v>2.4275286405110399</v>
      </c>
      <c r="G71" s="3">
        <v>3.0389783044765202</v>
      </c>
      <c r="H71" s="3">
        <v>4.5779695225122401</v>
      </c>
      <c r="I71" s="3">
        <v>1.0485366544999699</v>
      </c>
      <c r="J71" s="3">
        <v>1.9383907537681899</v>
      </c>
      <c r="K71" s="3">
        <v>3.33174429966803</v>
      </c>
      <c r="L71" s="3">
        <v>2.5785676808648899</v>
      </c>
      <c r="M71" s="3">
        <v>3.55710680387255</v>
      </c>
      <c r="N71" s="3">
        <v>4.3954153227491997</v>
      </c>
    </row>
    <row r="72" spans="1:14" x14ac:dyDescent="0.35">
      <c r="A72" s="2">
        <v>43851</v>
      </c>
      <c r="B72" s="3">
        <v>3.08402127436241</v>
      </c>
      <c r="C72" s="3">
        <v>4.1362229109097104</v>
      </c>
      <c r="D72" s="3">
        <v>3.2177341317181201</v>
      </c>
      <c r="E72" s="3">
        <v>3.0308877875775799</v>
      </c>
      <c r="F72" s="3">
        <v>2.42894601893344</v>
      </c>
      <c r="G72" s="3">
        <v>2.9607752391553999</v>
      </c>
      <c r="H72" s="3">
        <v>4.5649066451028597</v>
      </c>
      <c r="I72" s="3">
        <v>1.0028129617518899</v>
      </c>
      <c r="J72" s="3">
        <v>1.89103923975891</v>
      </c>
      <c r="K72" s="3">
        <v>3.31594789215537</v>
      </c>
      <c r="L72" s="3">
        <v>2.5879044957020998</v>
      </c>
      <c r="M72" s="3">
        <v>3.4979659711073401</v>
      </c>
      <c r="N72" s="3">
        <v>4.4599322583705101</v>
      </c>
    </row>
    <row r="73" spans="1:14" x14ac:dyDescent="0.35">
      <c r="A73" s="2">
        <v>43882</v>
      </c>
      <c r="B73" s="3">
        <v>2.9951899995942401</v>
      </c>
      <c r="C73" s="3">
        <v>4.0515811764996501</v>
      </c>
      <c r="D73" s="3">
        <v>3.22713273879212</v>
      </c>
      <c r="E73" s="3">
        <v>3.0242153709631299</v>
      </c>
      <c r="F73" s="3">
        <v>2.5011673555241698</v>
      </c>
      <c r="G73" s="3">
        <v>2.9332855208504802</v>
      </c>
      <c r="H73" s="3">
        <v>4.7110064243790504</v>
      </c>
      <c r="I73" s="3">
        <v>0.97823559647182401</v>
      </c>
      <c r="J73" s="3">
        <v>1.89566172705526</v>
      </c>
      <c r="K73" s="3">
        <v>3.2998665682461001</v>
      </c>
      <c r="L73" s="3">
        <v>2.5168498667922701</v>
      </c>
      <c r="M73" s="3">
        <v>3.4127243896834698</v>
      </c>
      <c r="N73" s="3">
        <v>4.4750249677933196</v>
      </c>
    </row>
    <row r="74" spans="1:14" x14ac:dyDescent="0.35">
      <c r="A74" s="2">
        <v>43910</v>
      </c>
      <c r="B74" s="3">
        <v>3.6588946964853899</v>
      </c>
      <c r="C74" s="3">
        <v>5.8236550374081704</v>
      </c>
      <c r="D74" s="3">
        <v>4.8991733396705399</v>
      </c>
      <c r="E74" s="3">
        <v>4.4705444252503801</v>
      </c>
      <c r="F74" s="3">
        <v>3.2796246001138698</v>
      </c>
      <c r="G74" s="3">
        <v>3.8136659496476701</v>
      </c>
      <c r="H74" s="3">
        <v>6.97655085282471</v>
      </c>
      <c r="I74" s="3">
        <v>1.3279263620506701</v>
      </c>
      <c r="J74" s="3">
        <v>2.7433900948800001</v>
      </c>
      <c r="K74" s="3">
        <v>4.8381399208734504</v>
      </c>
      <c r="L74" s="3">
        <v>3.60898001191992</v>
      </c>
      <c r="M74" s="3">
        <v>4.6987173148097501</v>
      </c>
      <c r="N74" s="3">
        <v>6.7479859636934503</v>
      </c>
    </row>
    <row r="75" spans="1:14" x14ac:dyDescent="0.35">
      <c r="A75" s="2">
        <v>43942</v>
      </c>
      <c r="B75" s="3">
        <v>2.75852198526947</v>
      </c>
      <c r="C75" s="3">
        <v>4.4441879062333198</v>
      </c>
      <c r="D75" s="3">
        <v>4.1229929462512001</v>
      </c>
      <c r="E75" s="3">
        <v>3.6006530350642598</v>
      </c>
      <c r="F75" s="3">
        <v>2.9047577667159699</v>
      </c>
      <c r="G75" s="3">
        <v>3.36081541580378</v>
      </c>
      <c r="H75" s="3">
        <v>5.8034436042978301</v>
      </c>
      <c r="I75" s="3">
        <v>1.0988371577445399</v>
      </c>
      <c r="J75" s="3">
        <v>2.2465093500488398</v>
      </c>
      <c r="K75" s="3">
        <v>3.87351247073265</v>
      </c>
      <c r="L75" s="3">
        <v>2.9033872253058801</v>
      </c>
      <c r="M75" s="3">
        <v>3.5429377052075499</v>
      </c>
      <c r="N75" s="3">
        <v>5.9742970351768001</v>
      </c>
    </row>
    <row r="76" spans="1:14" x14ac:dyDescent="0.35">
      <c r="A76" s="2">
        <v>43972</v>
      </c>
      <c r="B76" s="3">
        <v>2.5291933338807202</v>
      </c>
      <c r="C76" s="3">
        <v>3.7298909140308698</v>
      </c>
      <c r="D76" s="3">
        <v>3.7227452894102302</v>
      </c>
      <c r="E76" s="3">
        <v>3.27451614267081</v>
      </c>
      <c r="F76" s="3">
        <v>2.7263619795353802</v>
      </c>
      <c r="G76" s="3">
        <v>3.1828790717278901</v>
      </c>
      <c r="H76" s="3">
        <v>4.3175368742821796</v>
      </c>
      <c r="I76" s="3">
        <v>0.96890059434468501</v>
      </c>
      <c r="J76" s="3">
        <v>2.0530902747693802</v>
      </c>
      <c r="K76" s="3">
        <v>3.557971720306</v>
      </c>
      <c r="L76" s="3">
        <v>2.5500226188314801</v>
      </c>
      <c r="M76" s="3">
        <v>3.3093645639915699</v>
      </c>
      <c r="N76" s="3">
        <v>5.0423124930728402</v>
      </c>
    </row>
    <row r="77" spans="1:14" x14ac:dyDescent="0.35">
      <c r="A77" s="2">
        <v>44001</v>
      </c>
      <c r="B77" s="3">
        <v>2.51610690429187</v>
      </c>
      <c r="C77" s="3">
        <v>3.4372211244902902</v>
      </c>
      <c r="D77" s="3">
        <v>3.5534136098641298</v>
      </c>
      <c r="E77" s="3">
        <v>2.8983740659389201</v>
      </c>
      <c r="F77" s="3">
        <v>2.4729130638824199</v>
      </c>
      <c r="G77" s="3">
        <v>3.0407121200410701</v>
      </c>
      <c r="H77" s="3">
        <v>4.0672862338515596</v>
      </c>
      <c r="I77" s="3">
        <v>0.90847114016676001</v>
      </c>
      <c r="J77" s="3">
        <v>1.9434646585403901</v>
      </c>
      <c r="K77" s="3">
        <v>3.13951969817689</v>
      </c>
      <c r="L77" s="3">
        <v>2.3616514848060302</v>
      </c>
      <c r="M77" s="3">
        <v>3.0300232271443601</v>
      </c>
      <c r="N77" s="3">
        <v>4.2574712140504003</v>
      </c>
    </row>
    <row r="78" spans="1:14" x14ac:dyDescent="0.35">
      <c r="A78" s="2">
        <v>44033</v>
      </c>
      <c r="B78" s="3">
        <v>2.4008311766816002</v>
      </c>
      <c r="C78" s="3">
        <v>3.3554022142178201</v>
      </c>
      <c r="D78" s="3">
        <v>3.4139472489513398</v>
      </c>
      <c r="E78" s="3">
        <v>2.7563468037032699</v>
      </c>
      <c r="F78" s="3">
        <v>2.4691002046017498</v>
      </c>
      <c r="G78" s="3">
        <v>2.9358498374819102</v>
      </c>
      <c r="H78" s="3">
        <v>3.97246608619681</v>
      </c>
      <c r="I78" s="3">
        <v>0.84349820918906104</v>
      </c>
      <c r="J78" s="3">
        <v>1.8251263659989601</v>
      </c>
      <c r="K78" s="3">
        <v>3.0365285700758902</v>
      </c>
      <c r="L78" s="3">
        <v>2.2788627096073202</v>
      </c>
      <c r="M78" s="3">
        <v>2.9356114548940102</v>
      </c>
      <c r="N78" s="3">
        <v>4.1588129470984301</v>
      </c>
    </row>
    <row r="79" spans="1:14" x14ac:dyDescent="0.35">
      <c r="A79" s="2">
        <v>44064</v>
      </c>
      <c r="B79" s="3">
        <v>2.3098509223250598</v>
      </c>
      <c r="C79" s="3">
        <v>3.3795181522367099</v>
      </c>
      <c r="D79" s="3">
        <v>3.3590469524701199</v>
      </c>
      <c r="E79" s="3">
        <v>2.8401205727053398</v>
      </c>
      <c r="F79" s="3">
        <v>2.4152280120640901</v>
      </c>
      <c r="G79" s="3">
        <v>2.9479147534443002</v>
      </c>
      <c r="H79" s="3">
        <v>4.0517088916000601</v>
      </c>
      <c r="I79" s="3">
        <v>0.79233746030283403</v>
      </c>
      <c r="J79" s="3">
        <v>1.7548693491873999</v>
      </c>
      <c r="K79" s="3">
        <v>3.1780658508332</v>
      </c>
      <c r="L79" s="3">
        <v>2.3483932664727099</v>
      </c>
      <c r="M79" s="3">
        <v>3.02634501160321</v>
      </c>
      <c r="N79" s="3">
        <v>4.0036252403628296</v>
      </c>
    </row>
    <row r="80" spans="1:14" x14ac:dyDescent="0.35">
      <c r="A80" s="2">
        <v>44095</v>
      </c>
      <c r="B80" s="3">
        <v>2.4919608181826498</v>
      </c>
      <c r="C80" s="3">
        <v>3.6630647290271998</v>
      </c>
      <c r="D80" s="3">
        <v>3.4921085845470201</v>
      </c>
      <c r="E80" s="3">
        <v>2.9374131543682802</v>
      </c>
      <c r="F80" s="3">
        <v>2.3500654274945401</v>
      </c>
      <c r="G80" s="3">
        <v>2.94668917168682</v>
      </c>
      <c r="H80" s="3">
        <v>4.2685103554080097</v>
      </c>
      <c r="I80" s="3">
        <v>0.83245955498358104</v>
      </c>
      <c r="J80" s="3">
        <v>1.8160836041066399</v>
      </c>
      <c r="K80" s="3">
        <v>3.2966299145371298</v>
      </c>
      <c r="L80" s="3">
        <v>2.3963888353204998</v>
      </c>
      <c r="M80" s="3">
        <v>3.0785752014462902</v>
      </c>
      <c r="N80" s="3">
        <v>4.2564986115787002</v>
      </c>
    </row>
    <row r="81" spans="1:14" x14ac:dyDescent="0.35">
      <c r="A81" s="2">
        <v>44125</v>
      </c>
      <c r="B81" s="3">
        <v>2.3453839646166301</v>
      </c>
      <c r="C81" s="3">
        <v>3.5712419253463099</v>
      </c>
      <c r="D81" s="3">
        <v>3.4437226243751402</v>
      </c>
      <c r="E81" s="3">
        <v>2.8879534288681499</v>
      </c>
      <c r="F81" s="3">
        <v>2.37534195133478</v>
      </c>
      <c r="G81" s="3">
        <v>2.9982122718216999</v>
      </c>
      <c r="H81" s="3">
        <v>4.3735070237944598</v>
      </c>
      <c r="I81" s="3">
        <v>0.79511777142653095</v>
      </c>
      <c r="J81" s="3">
        <v>1.7428496301466501</v>
      </c>
      <c r="K81" s="3">
        <v>3.2521316716899098</v>
      </c>
      <c r="L81" s="3">
        <v>2.3044318851605201</v>
      </c>
      <c r="M81" s="3">
        <v>3.0831992753082802</v>
      </c>
      <c r="N81" s="3">
        <v>4.2303313327138401</v>
      </c>
    </row>
    <row r="82" spans="1:14" x14ac:dyDescent="0.35">
      <c r="A82" s="2">
        <v>44155</v>
      </c>
      <c r="B82" s="3">
        <v>2.4219263168352998</v>
      </c>
      <c r="C82" s="3">
        <v>3.4716977280367098</v>
      </c>
      <c r="D82" s="3">
        <v>3.2412541153174201</v>
      </c>
      <c r="E82" s="3">
        <v>2.8356481851433002</v>
      </c>
      <c r="F82" s="3">
        <v>2.2425520547190798</v>
      </c>
      <c r="G82" s="3">
        <v>2.88812794463314</v>
      </c>
      <c r="H82" s="3">
        <v>4.0160385524980899</v>
      </c>
      <c r="I82" s="3">
        <v>0.77828229185556497</v>
      </c>
      <c r="J82" s="3">
        <v>1.6843627230671401</v>
      </c>
      <c r="K82" s="3">
        <v>2.9197522552380599</v>
      </c>
      <c r="L82" s="3">
        <v>2.1724961609061899</v>
      </c>
      <c r="M82" s="3">
        <v>3.0052401826987301</v>
      </c>
      <c r="N82" s="3">
        <v>3.93467199308814</v>
      </c>
    </row>
    <row r="83" spans="1:14" x14ac:dyDescent="0.35">
      <c r="A83" s="2">
        <v>44186</v>
      </c>
      <c r="B83" s="3">
        <v>2.4757802536017799</v>
      </c>
      <c r="C83" s="3">
        <v>3.5369516416594702</v>
      </c>
      <c r="D83" s="3">
        <v>3.12330847464071</v>
      </c>
      <c r="E83" s="3">
        <v>2.7997734938200498</v>
      </c>
      <c r="F83" s="3">
        <v>2.1597939121309699</v>
      </c>
      <c r="G83" s="3">
        <v>2.9260250285646499</v>
      </c>
      <c r="H83" s="3">
        <v>4.0022383476402403</v>
      </c>
      <c r="I83" s="3">
        <v>0.773241389200234</v>
      </c>
      <c r="J83" s="3">
        <v>1.6014879643248601</v>
      </c>
      <c r="K83" s="3">
        <v>3.0082756502459</v>
      </c>
      <c r="L83" s="3">
        <v>2.0693345086117501</v>
      </c>
      <c r="M83" s="3">
        <v>3.15200568643428</v>
      </c>
      <c r="N83" s="3">
        <v>4.0673048843035797</v>
      </c>
    </row>
    <row r="84" spans="1:14" x14ac:dyDescent="0.35">
      <c r="A84" s="2">
        <v>44217</v>
      </c>
      <c r="B84" s="3">
        <v>2.4638441728723999</v>
      </c>
      <c r="C84" s="3">
        <v>3.5013725679960102</v>
      </c>
      <c r="D84" s="3">
        <v>3.0401058571727</v>
      </c>
      <c r="E84" s="3">
        <v>2.7083476093545298</v>
      </c>
      <c r="F84" s="3">
        <v>2.0827496337000899</v>
      </c>
      <c r="G84" s="3">
        <v>2.8034037345448799</v>
      </c>
      <c r="H84" s="3">
        <v>3.8924660383560701</v>
      </c>
      <c r="I84" s="3">
        <v>0.73778736357341301</v>
      </c>
      <c r="J84" s="3">
        <v>1.54389857844601</v>
      </c>
      <c r="K84" s="3">
        <v>2.9179696489046401</v>
      </c>
      <c r="L84" s="3">
        <v>1.92523271184957</v>
      </c>
      <c r="M84" s="3">
        <v>2.9816772122737398</v>
      </c>
      <c r="N84" s="3">
        <v>4.0050502539685597</v>
      </c>
    </row>
    <row r="85" spans="1:14" x14ac:dyDescent="0.35">
      <c r="A85" s="2">
        <v>44246</v>
      </c>
      <c r="B85" s="3">
        <v>2.5645684206891999</v>
      </c>
      <c r="C85" s="3">
        <v>3.84654470818352</v>
      </c>
      <c r="D85" s="3">
        <v>2.93209410496052</v>
      </c>
      <c r="E85" s="3">
        <v>2.76116177415257</v>
      </c>
      <c r="F85" s="3">
        <v>2.03825299008744</v>
      </c>
      <c r="G85" s="3">
        <v>2.8461191945270898</v>
      </c>
      <c r="H85" s="3">
        <v>3.9903107697322202</v>
      </c>
      <c r="I85" s="3">
        <v>0.734634684258341</v>
      </c>
      <c r="J85" s="3">
        <v>1.53934344323413</v>
      </c>
      <c r="K85" s="3">
        <v>2.8342143061360998</v>
      </c>
      <c r="L85" s="3">
        <v>1.8983457533150501</v>
      </c>
      <c r="M85" s="3">
        <v>2.9536734041160599</v>
      </c>
      <c r="N85" s="3">
        <v>4.0469638347828596</v>
      </c>
    </row>
    <row r="86" spans="1:14" x14ac:dyDescent="0.35">
      <c r="A86" s="2">
        <v>44274</v>
      </c>
      <c r="B86" s="3">
        <v>2.5615378864623901</v>
      </c>
      <c r="C86" s="3">
        <v>3.9639607569013</v>
      </c>
      <c r="D86" s="3">
        <v>2.83845227424866</v>
      </c>
      <c r="E86" s="3">
        <v>2.7573167875883202</v>
      </c>
      <c r="F86" s="3">
        <v>2.0104736638962599</v>
      </c>
      <c r="G86" s="3">
        <v>2.8254800443155998</v>
      </c>
      <c r="H86" s="3">
        <v>4.01982011083952</v>
      </c>
      <c r="I86" s="3">
        <v>0.78010118230634695</v>
      </c>
      <c r="J86" s="3">
        <v>1.5456605134299799</v>
      </c>
      <c r="K86" s="3">
        <v>2.7649877366804598</v>
      </c>
      <c r="L86" s="3">
        <v>2.0057053557453002</v>
      </c>
      <c r="M86" s="3">
        <v>2.7920916891826799</v>
      </c>
      <c r="N86" s="3">
        <v>4.0421663783585204</v>
      </c>
    </row>
    <row r="87" spans="1:14" x14ac:dyDescent="0.35">
      <c r="A87" s="2">
        <v>44307</v>
      </c>
      <c r="B87" s="3">
        <v>2.6173283804764198</v>
      </c>
      <c r="C87" s="3">
        <v>3.9183398422945901</v>
      </c>
      <c r="D87" s="3">
        <v>2.76875612774601</v>
      </c>
      <c r="E87" s="3">
        <v>2.7365741969224402</v>
      </c>
      <c r="F87" s="3">
        <v>2.15772262158759</v>
      </c>
      <c r="G87" s="3">
        <v>2.7387042611547598</v>
      </c>
      <c r="H87" s="3">
        <v>3.9760535563718999</v>
      </c>
      <c r="I87" s="3">
        <v>0.72363642050131205</v>
      </c>
      <c r="J87" s="3">
        <v>1.45961124668521</v>
      </c>
      <c r="K87" s="3">
        <v>2.7145321651335101</v>
      </c>
      <c r="L87" s="3">
        <v>1.9360817607284899</v>
      </c>
      <c r="M87" s="3">
        <v>2.7484446537801799</v>
      </c>
      <c r="N87" s="3">
        <v>4.1687937433817597</v>
      </c>
    </row>
    <row r="88" spans="1:14" x14ac:dyDescent="0.35">
      <c r="A88" s="2">
        <v>44337</v>
      </c>
      <c r="B88" s="3">
        <v>2.67005259582784</v>
      </c>
      <c r="C88" s="3">
        <v>3.9421079840647102</v>
      </c>
      <c r="D88" s="3">
        <v>2.70872274218075</v>
      </c>
      <c r="E88" s="3">
        <v>2.8371983016672901</v>
      </c>
      <c r="F88" s="3">
        <v>2.18971909029155</v>
      </c>
      <c r="G88" s="3">
        <v>2.7496527200543901</v>
      </c>
      <c r="H88" s="3">
        <v>3.9149294937840202</v>
      </c>
      <c r="I88" s="3">
        <v>0.75418463339629604</v>
      </c>
      <c r="J88" s="3">
        <v>1.47219782387775</v>
      </c>
      <c r="K88" s="3">
        <v>2.70291322288216</v>
      </c>
      <c r="L88" s="3">
        <v>1.9933341039125401</v>
      </c>
      <c r="M88" s="3">
        <v>2.8499096327153102</v>
      </c>
      <c r="N88" s="3">
        <v>4.1536632088653898</v>
      </c>
    </row>
    <row r="89" spans="1:14" x14ac:dyDescent="0.35">
      <c r="A89" s="2">
        <v>44368</v>
      </c>
      <c r="B89" s="3">
        <v>2.6965846076669799</v>
      </c>
      <c r="C89" s="3">
        <v>3.95507700020333</v>
      </c>
      <c r="D89" s="3">
        <v>2.6349219641399801</v>
      </c>
      <c r="E89" s="3">
        <v>2.7978226151332102</v>
      </c>
      <c r="F89" s="3">
        <v>2.2327862070671101</v>
      </c>
      <c r="G89" s="3">
        <v>2.6173238628478299</v>
      </c>
      <c r="H89" s="3">
        <v>3.9417514954976798</v>
      </c>
      <c r="I89" s="3">
        <v>0.72259078327391402</v>
      </c>
      <c r="J89" s="3">
        <v>1.4621331735554399</v>
      </c>
      <c r="K89" s="3">
        <v>2.6655702678505602</v>
      </c>
      <c r="L89" s="3">
        <v>2.0079465923679001</v>
      </c>
      <c r="M89" s="3">
        <v>2.6908523341012098</v>
      </c>
      <c r="N89" s="3">
        <v>4.0894092103855302</v>
      </c>
    </row>
    <row r="90" spans="1:14" x14ac:dyDescent="0.35">
      <c r="A90" s="2">
        <v>44398</v>
      </c>
      <c r="B90" s="3">
        <v>2.6151538078449099</v>
      </c>
      <c r="C90" s="3">
        <v>4.22723990377051</v>
      </c>
      <c r="D90" s="3">
        <v>2.7253293549438098</v>
      </c>
      <c r="E90" s="3">
        <v>2.86226395550197</v>
      </c>
      <c r="F90" s="3">
        <v>2.26191584498899</v>
      </c>
      <c r="G90" s="3">
        <v>2.6200024380095699</v>
      </c>
      <c r="H90" s="3">
        <v>4.1194172145030503</v>
      </c>
      <c r="I90" s="3">
        <v>0.706333611707047</v>
      </c>
      <c r="J90" s="3">
        <v>1.43535773159984</v>
      </c>
      <c r="K90" s="3">
        <v>2.74447210414605</v>
      </c>
      <c r="L90" s="3">
        <v>2.0172039334043301</v>
      </c>
      <c r="M90" s="3">
        <v>2.7230636670506101</v>
      </c>
      <c r="N90" s="3">
        <v>4.3107617531357398</v>
      </c>
    </row>
    <row r="91" spans="1:14" x14ac:dyDescent="0.35">
      <c r="A91" s="2">
        <v>44428</v>
      </c>
      <c r="B91" s="3">
        <v>2.6286138240267198</v>
      </c>
      <c r="C91" s="3">
        <v>4.1285533598580404</v>
      </c>
      <c r="D91" s="3">
        <v>2.7152530014904399</v>
      </c>
      <c r="E91" s="3">
        <v>2.8545470557927701</v>
      </c>
      <c r="F91" s="3">
        <v>2.3225446546893602</v>
      </c>
      <c r="G91" s="3">
        <v>2.56359419917719</v>
      </c>
      <c r="H91" s="3">
        <v>4.2327392443250504</v>
      </c>
      <c r="I91" s="3">
        <v>0.70110217472188197</v>
      </c>
      <c r="J91" s="3">
        <v>1.4224803578379599</v>
      </c>
      <c r="K91" s="3">
        <v>2.7781068340128399</v>
      </c>
      <c r="L91" s="3">
        <v>1.8707430294873899</v>
      </c>
      <c r="M91" s="3">
        <v>2.7585877794901501</v>
      </c>
      <c r="N91" s="3">
        <v>4.3882416743039796</v>
      </c>
    </row>
    <row r="92" spans="1:14" x14ac:dyDescent="0.35">
      <c r="A92" s="2">
        <v>44460</v>
      </c>
      <c r="B92" s="3">
        <v>2.6008702116579698</v>
      </c>
      <c r="C92" s="3">
        <v>4.1429280469438998</v>
      </c>
      <c r="D92" s="3">
        <v>2.8096283932789001</v>
      </c>
      <c r="E92" s="3">
        <v>2.9521475134265298</v>
      </c>
      <c r="F92" s="3">
        <v>2.1640370686948902</v>
      </c>
      <c r="G92" s="3">
        <v>2.700784668062</v>
      </c>
      <c r="H92" s="3">
        <v>4.2574432206031601</v>
      </c>
      <c r="I92" s="3">
        <v>0.70849072124354395</v>
      </c>
      <c r="J92" s="3">
        <v>1.45400902463495</v>
      </c>
      <c r="K92" s="3">
        <v>2.8241121856970999</v>
      </c>
      <c r="L92" s="3">
        <v>1.8746026266184299</v>
      </c>
      <c r="M92" s="3">
        <v>2.8637615394613798</v>
      </c>
      <c r="N92" s="3">
        <v>4.6117858791205197</v>
      </c>
    </row>
    <row r="93" spans="1:14" x14ac:dyDescent="0.35">
      <c r="A93" s="2">
        <v>44490</v>
      </c>
      <c r="B93" s="3">
        <v>2.6572793868664601</v>
      </c>
      <c r="C93" s="3">
        <v>3.9374389627870001</v>
      </c>
      <c r="D93" s="3">
        <v>2.6763404020957098</v>
      </c>
      <c r="E93" s="3">
        <v>2.97418039893329</v>
      </c>
      <c r="F93" s="3">
        <v>2.2388210733152798</v>
      </c>
      <c r="G93" s="3">
        <v>2.6747213534809098</v>
      </c>
      <c r="H93" s="3">
        <v>4.0492847951225297</v>
      </c>
      <c r="I93" s="3">
        <v>0.69335994289971603</v>
      </c>
      <c r="J93" s="3">
        <v>1.4049410219438101</v>
      </c>
      <c r="K93" s="3">
        <v>2.8383766480936901</v>
      </c>
      <c r="L93" s="3">
        <v>1.9144857838938401</v>
      </c>
      <c r="M93" s="3">
        <v>3.0046340549425201</v>
      </c>
      <c r="N93" s="3">
        <v>4.3879181828309299</v>
      </c>
    </row>
    <row r="94" spans="1:14" x14ac:dyDescent="0.35">
      <c r="A94" s="2">
        <v>44519</v>
      </c>
      <c r="B94" s="3">
        <v>2.73284055461786</v>
      </c>
      <c r="C94" s="3">
        <v>4.0124077174378598</v>
      </c>
      <c r="D94" s="3">
        <v>2.7063598718446502</v>
      </c>
      <c r="E94" s="3">
        <v>2.9463110060641</v>
      </c>
      <c r="F94" s="3">
        <v>2.2158840399935502</v>
      </c>
      <c r="G94" s="3">
        <v>2.5835416134178999</v>
      </c>
      <c r="H94" s="3">
        <v>4.0561686003384496</v>
      </c>
      <c r="I94" s="3">
        <v>0.65193034378279802</v>
      </c>
      <c r="J94" s="3">
        <v>1.3687947901634401</v>
      </c>
      <c r="K94" s="3">
        <v>2.73269094315296</v>
      </c>
      <c r="L94" s="3">
        <v>1.85021602486634</v>
      </c>
      <c r="M94" s="3">
        <v>2.9364174351677002</v>
      </c>
      <c r="N94" s="3">
        <v>4.37874939712838</v>
      </c>
    </row>
    <row r="95" spans="1:14" x14ac:dyDescent="0.35">
      <c r="A95" s="2">
        <v>44551</v>
      </c>
      <c r="B95" s="3">
        <v>2.7716139288360901</v>
      </c>
      <c r="C95" s="3">
        <v>3.9357299689690999</v>
      </c>
      <c r="D95" s="3">
        <v>2.8205977611710402</v>
      </c>
      <c r="E95" s="3">
        <v>3.1059366457047299</v>
      </c>
      <c r="F95" s="3">
        <v>2.3328457119402399</v>
      </c>
      <c r="G95" s="3">
        <v>2.5799184901623402</v>
      </c>
      <c r="H95" s="3">
        <v>4.0039044808190098</v>
      </c>
      <c r="I95" s="3">
        <v>0.68047427661708304</v>
      </c>
      <c r="J95" s="3">
        <v>1.3864675925154799</v>
      </c>
      <c r="K95" s="3">
        <v>2.81146756316345</v>
      </c>
      <c r="L95" s="3">
        <v>1.9902300848816601</v>
      </c>
      <c r="M95" s="3">
        <v>2.95634026951203</v>
      </c>
      <c r="N95" s="3">
        <v>4.6918120750981096</v>
      </c>
    </row>
    <row r="96" spans="1:14" x14ac:dyDescent="0.35">
      <c r="A96" s="2">
        <v>44582</v>
      </c>
      <c r="B96" s="3">
        <v>2.9472203169941502</v>
      </c>
      <c r="C96" s="3">
        <v>4.0500381176582101</v>
      </c>
      <c r="D96" s="3">
        <v>2.8837528131763599</v>
      </c>
      <c r="E96" s="3">
        <v>3.13288220952942</v>
      </c>
      <c r="F96" s="3">
        <v>2.4170052515967702</v>
      </c>
      <c r="G96" s="3">
        <v>2.67405248890151</v>
      </c>
      <c r="H96" s="3">
        <v>3.8602300922608301</v>
      </c>
      <c r="I96" s="3">
        <v>0.75904733604600305</v>
      </c>
      <c r="J96" s="3">
        <v>1.47843110236596</v>
      </c>
      <c r="K96" s="3">
        <v>2.7977172208293499</v>
      </c>
      <c r="L96" s="3">
        <v>2.13331775078227</v>
      </c>
      <c r="M96" s="3">
        <v>2.8377687184192699</v>
      </c>
      <c r="N96" s="3">
        <v>4.7064742712321603</v>
      </c>
    </row>
    <row r="97" spans="1:14" x14ac:dyDescent="0.35">
      <c r="A97" s="2">
        <v>44610</v>
      </c>
      <c r="B97" s="3">
        <v>2.9952490545086401</v>
      </c>
      <c r="C97" s="3">
        <v>4.30660238195959</v>
      </c>
      <c r="D97" s="3">
        <v>2.8718280154101201</v>
      </c>
      <c r="E97" s="3">
        <v>3.3004058297646801</v>
      </c>
      <c r="F97" s="3">
        <v>2.4766956413963102</v>
      </c>
      <c r="G97" s="3">
        <v>2.7905322962796699</v>
      </c>
      <c r="H97" s="3">
        <v>3.8392393982199899</v>
      </c>
      <c r="I97" s="3">
        <v>0.79323892732331003</v>
      </c>
      <c r="J97" s="3">
        <v>1.5128278600604299</v>
      </c>
      <c r="K97" s="3">
        <v>2.9508587886408</v>
      </c>
      <c r="L97" s="3">
        <v>2.25422524696023</v>
      </c>
      <c r="M97" s="3">
        <v>3.0680029686069901</v>
      </c>
      <c r="N97" s="3">
        <v>4.8796272158819303</v>
      </c>
    </row>
    <row r="98" spans="1:14" x14ac:dyDescent="0.35">
      <c r="A98" s="2">
        <v>44641</v>
      </c>
      <c r="B98" s="3">
        <v>3.0151770455768401</v>
      </c>
      <c r="C98" s="3">
        <v>4.2582308309597003</v>
      </c>
      <c r="D98" s="3">
        <v>2.7776106035952499</v>
      </c>
      <c r="E98" s="3">
        <v>3.53089008400159</v>
      </c>
      <c r="F98" s="3">
        <v>2.5568721158941101</v>
      </c>
      <c r="G98" s="3">
        <v>2.7715521363383</v>
      </c>
      <c r="H98" s="3">
        <v>3.9622740667128098</v>
      </c>
      <c r="I98" s="3">
        <v>0.78141061877811702</v>
      </c>
      <c r="J98" s="3">
        <v>1.47844708728883</v>
      </c>
      <c r="K98" s="3">
        <v>3.1327349667017201</v>
      </c>
      <c r="L98" s="3">
        <v>2.2566050445830301</v>
      </c>
      <c r="M98" s="3">
        <v>3.0272122100783898</v>
      </c>
      <c r="N98" s="3">
        <v>5.2112591026150401</v>
      </c>
    </row>
    <row r="99" spans="1:14" x14ac:dyDescent="0.35">
      <c r="A99" s="2">
        <v>44672</v>
      </c>
      <c r="B99" s="3">
        <v>3.1253431660608801</v>
      </c>
      <c r="C99" s="3">
        <v>4.2738231353316198</v>
      </c>
      <c r="D99" s="3">
        <v>2.8616698541139001</v>
      </c>
      <c r="E99" s="3">
        <v>3.5367820317429799</v>
      </c>
      <c r="F99" s="3">
        <v>2.5484842289039999</v>
      </c>
      <c r="G99" s="3">
        <v>2.7934605835225499</v>
      </c>
      <c r="H99" s="3">
        <v>3.9383096349607301</v>
      </c>
      <c r="I99" s="3">
        <v>0.82396239791925996</v>
      </c>
      <c r="J99" s="3">
        <v>1.5038794949802401</v>
      </c>
      <c r="K99" s="3">
        <v>3.06511076254196</v>
      </c>
      <c r="L99" s="3">
        <v>2.2823916700570201</v>
      </c>
      <c r="M99" s="3">
        <v>3.10640728003168</v>
      </c>
      <c r="N99" s="3">
        <v>5.0714488919078899</v>
      </c>
    </row>
    <row r="100" spans="1:14" x14ac:dyDescent="0.35">
      <c r="A100" s="2">
        <v>44701</v>
      </c>
      <c r="B100" s="3">
        <v>3.21407496301532</v>
      </c>
      <c r="C100" s="3">
        <v>4.6805550153465898</v>
      </c>
      <c r="D100" s="3">
        <v>3.1825650605568199</v>
      </c>
      <c r="E100" s="3">
        <v>3.86275421533179</v>
      </c>
      <c r="F100" s="3">
        <v>2.6391503976333501</v>
      </c>
      <c r="G100" s="3">
        <v>3.0497475697070202</v>
      </c>
      <c r="H100" s="3">
        <v>4.1497943803855097</v>
      </c>
      <c r="I100" s="3">
        <v>0.96002145417213802</v>
      </c>
      <c r="J100" s="3">
        <v>1.7000407514532601</v>
      </c>
      <c r="K100" s="3">
        <v>3.3005353385626801</v>
      </c>
      <c r="L100" s="3">
        <v>2.5900676631393198</v>
      </c>
      <c r="M100" s="3">
        <v>3.44084411579844</v>
      </c>
      <c r="N100" s="3">
        <v>5.1889827154196002</v>
      </c>
    </row>
    <row r="101" spans="1:14" x14ac:dyDescent="0.35">
      <c r="A101" s="2">
        <v>44733</v>
      </c>
      <c r="B101" s="3">
        <v>3.4172389677876298</v>
      </c>
      <c r="C101" s="3">
        <v>5.2711031159066497</v>
      </c>
      <c r="D101" s="3">
        <v>3.35534307458791</v>
      </c>
      <c r="E101" s="3">
        <v>4.0558399812382104</v>
      </c>
      <c r="F101" s="3">
        <v>2.7123675093850199</v>
      </c>
      <c r="G101" s="3">
        <v>3.2786987067056499</v>
      </c>
      <c r="H101" s="3">
        <v>4.3302759201365904</v>
      </c>
      <c r="I101" s="3">
        <v>0.99027633387962499</v>
      </c>
      <c r="J101" s="3">
        <v>1.7776626273232601</v>
      </c>
      <c r="K101" s="3">
        <v>3.5094785739599401</v>
      </c>
      <c r="L101" s="3">
        <v>3.4876960305112901</v>
      </c>
      <c r="M101" s="3">
        <v>3.5838427702839502</v>
      </c>
      <c r="N101" s="3">
        <v>5.7605936305570902</v>
      </c>
    </row>
    <row r="102" spans="1:14" x14ac:dyDescent="0.35">
      <c r="A102" s="2">
        <v>44763</v>
      </c>
      <c r="B102" s="3">
        <v>3.2927191265793101</v>
      </c>
      <c r="C102" s="3">
        <v>4.9962012673662404</v>
      </c>
      <c r="D102" s="3">
        <v>3.4105538123749599</v>
      </c>
      <c r="E102" s="3">
        <v>4.06952761207799</v>
      </c>
      <c r="F102" s="3">
        <v>2.5932728298963101</v>
      </c>
      <c r="G102" s="3">
        <v>3.09193543636172</v>
      </c>
      <c r="H102" s="3">
        <v>4.2933025732957102</v>
      </c>
      <c r="I102" s="3">
        <v>0.91510352373522397</v>
      </c>
      <c r="J102" s="3">
        <v>1.6825537121681999</v>
      </c>
      <c r="K102" s="3">
        <v>3.3846091458641498</v>
      </c>
      <c r="L102" s="3">
        <v>3.1382654546085198</v>
      </c>
      <c r="M102" s="3">
        <v>3.5715083143899098</v>
      </c>
      <c r="N102" s="3">
        <v>6.0185931048728003</v>
      </c>
    </row>
    <row r="103" spans="1:14" x14ac:dyDescent="0.35">
      <c r="A103" s="2">
        <v>44792</v>
      </c>
      <c r="B103" s="3">
        <v>3.1470450968635202</v>
      </c>
      <c r="C103" s="3">
        <v>4.6846068973672201</v>
      </c>
      <c r="D103" s="3">
        <v>3.3123610868470501</v>
      </c>
      <c r="E103" s="3">
        <v>3.9977889155754598</v>
      </c>
      <c r="F103" s="3">
        <v>2.5516802110209702</v>
      </c>
      <c r="G103" s="3">
        <v>3.09438755753858</v>
      </c>
      <c r="H103" s="3">
        <v>4.2179277412776299</v>
      </c>
      <c r="I103" s="3">
        <v>0.87506665318459598</v>
      </c>
      <c r="J103" s="3">
        <v>1.60986288737197</v>
      </c>
      <c r="K103" s="3">
        <v>3.30614121920825</v>
      </c>
      <c r="L103" s="3">
        <v>3.09580244368586</v>
      </c>
      <c r="M103" s="3">
        <v>3.5070532067186599</v>
      </c>
      <c r="N103" s="3">
        <v>5.6497795855011699</v>
      </c>
    </row>
    <row r="104" spans="1:14" x14ac:dyDescent="0.35">
      <c r="A104" s="2">
        <v>44825</v>
      </c>
      <c r="B104" s="3">
        <v>3.2882840747417799</v>
      </c>
      <c r="C104" s="3">
        <v>5.0436146720189701</v>
      </c>
      <c r="D104" s="3">
        <v>3.4919270814860801</v>
      </c>
      <c r="E104" s="3">
        <v>4.2439222578285003</v>
      </c>
      <c r="F104" s="3">
        <v>2.6755076772365598</v>
      </c>
      <c r="G104" s="3">
        <v>3.3457432688490001</v>
      </c>
      <c r="H104" s="3">
        <v>4.5111762040220498</v>
      </c>
      <c r="I104" s="3">
        <v>1.0046684357487099</v>
      </c>
      <c r="J104" s="3">
        <v>1.8042456358347501</v>
      </c>
      <c r="K104" s="3">
        <v>3.5887729057506399</v>
      </c>
      <c r="L104" s="3">
        <v>3.7540042438881498</v>
      </c>
      <c r="M104" s="3">
        <v>3.8288322733590499</v>
      </c>
      <c r="N104" s="3">
        <v>5.6846746695101196</v>
      </c>
    </row>
    <row r="105" spans="1:14" x14ac:dyDescent="0.35">
      <c r="A105" s="2">
        <v>44855</v>
      </c>
      <c r="B105" s="3">
        <v>3.5142944645480099</v>
      </c>
      <c r="C105" s="3">
        <v>5.1476423987359698</v>
      </c>
      <c r="D105" s="3">
        <v>3.5497147114313701</v>
      </c>
      <c r="E105" s="3">
        <v>4.2652937126956099</v>
      </c>
      <c r="F105" s="3">
        <v>2.74311711952318</v>
      </c>
      <c r="G105" s="3">
        <v>3.3946272438270402</v>
      </c>
      <c r="H105" s="3">
        <v>4.6307399803039404</v>
      </c>
      <c r="I105" s="3">
        <v>1.04299003460977</v>
      </c>
      <c r="J105" s="3">
        <v>1.83461473263493</v>
      </c>
      <c r="K105" s="3">
        <v>3.6195549542085601</v>
      </c>
      <c r="L105" s="3">
        <v>3.0101046649123799</v>
      </c>
      <c r="M105" s="3">
        <v>3.8680388032367299</v>
      </c>
      <c r="N105" s="3">
        <v>6.0045340451002396</v>
      </c>
    </row>
    <row r="106" spans="1:14" x14ac:dyDescent="0.35">
      <c r="A106" s="2">
        <v>44886</v>
      </c>
      <c r="B106" s="3">
        <v>3.33640978021795</v>
      </c>
      <c r="C106" s="3">
        <v>4.6659864694805204</v>
      </c>
      <c r="D106" s="3">
        <v>3.3486648561296</v>
      </c>
      <c r="E106" s="3">
        <v>3.76892602655998</v>
      </c>
      <c r="F106" s="3">
        <v>2.6164320492773299</v>
      </c>
      <c r="G106" s="3">
        <v>3.1374900166393198</v>
      </c>
      <c r="H106" s="3">
        <v>4.3622462053803996</v>
      </c>
      <c r="I106" s="3">
        <v>1.0260402779037101</v>
      </c>
      <c r="J106" s="3">
        <v>1.7545678489388601</v>
      </c>
      <c r="K106" s="3">
        <v>3.3087881947123101</v>
      </c>
      <c r="L106" s="3">
        <v>2.6955143516896101</v>
      </c>
      <c r="M106" s="3">
        <v>3.6360452550101101</v>
      </c>
      <c r="N106" s="3">
        <v>5.5184334908096497</v>
      </c>
    </row>
    <row r="107" spans="1:14" x14ac:dyDescent="0.35">
      <c r="A107" s="2">
        <v>44916</v>
      </c>
      <c r="B107" s="3">
        <v>3.4690413508279301</v>
      </c>
      <c r="C107" s="3">
        <v>4.5248552393184802</v>
      </c>
      <c r="D107" s="3">
        <v>3.4373372724059599</v>
      </c>
      <c r="E107" s="3">
        <v>3.8123024134813601</v>
      </c>
      <c r="F107" s="3">
        <v>2.74728335825833</v>
      </c>
      <c r="G107" s="3">
        <v>3.2016195547460198</v>
      </c>
      <c r="H107" s="3">
        <v>4.2370160817263098</v>
      </c>
      <c r="I107" s="3">
        <v>1.0096436891209899</v>
      </c>
      <c r="J107" s="3">
        <v>1.7897675137901301</v>
      </c>
      <c r="K107" s="3">
        <v>3.3316923225285402</v>
      </c>
      <c r="L107" s="3">
        <v>2.7210796454796999</v>
      </c>
      <c r="M107" s="3">
        <v>3.7144001662439901</v>
      </c>
      <c r="N107" s="3">
        <v>5.8353408056462497</v>
      </c>
    </row>
    <row r="108" spans="1:14" x14ac:dyDescent="0.35">
      <c r="A108" s="2">
        <v>44946</v>
      </c>
      <c r="B108" s="3">
        <v>3.3159509461325798</v>
      </c>
      <c r="C108" s="3">
        <v>4.2836077388766398</v>
      </c>
      <c r="D108" s="3">
        <v>3.3246613619993299</v>
      </c>
      <c r="E108" s="3">
        <v>3.5429828111025601</v>
      </c>
      <c r="F108" s="3">
        <v>2.6890686216796</v>
      </c>
      <c r="G108" s="3">
        <v>3.0633458052854898</v>
      </c>
      <c r="H108" s="3">
        <v>4.0721961665585198</v>
      </c>
      <c r="I108" s="3">
        <v>0.98286155520038299</v>
      </c>
      <c r="J108" s="3">
        <v>1.75349723286812</v>
      </c>
      <c r="K108" s="3">
        <v>3.1423140396865499</v>
      </c>
      <c r="L108" s="3">
        <v>2.5866466359646201</v>
      </c>
      <c r="M108" s="3">
        <v>3.5155080242161199</v>
      </c>
      <c r="N108" s="3">
        <v>5.48430925383499</v>
      </c>
    </row>
    <row r="109" spans="1:14" x14ac:dyDescent="0.35">
      <c r="A109" s="2">
        <v>44978</v>
      </c>
      <c r="B109" s="3">
        <v>3.3382526171481999</v>
      </c>
      <c r="C109" s="3">
        <v>4.3783944531085401</v>
      </c>
      <c r="D109" s="3">
        <v>3.3792069145213102</v>
      </c>
      <c r="E109" s="3">
        <v>3.4846100404387501</v>
      </c>
      <c r="F109" s="3">
        <v>2.6108508088966702</v>
      </c>
      <c r="G109" s="3">
        <v>3.0755540542796398</v>
      </c>
      <c r="H109" s="3">
        <v>4.0534433521245496</v>
      </c>
      <c r="I109" s="3">
        <v>0.95974073191890397</v>
      </c>
      <c r="J109" s="3">
        <v>1.7564575663859801</v>
      </c>
      <c r="K109" s="3">
        <v>3.1236196840166399</v>
      </c>
      <c r="L109" s="3">
        <v>2.60061983897319</v>
      </c>
      <c r="M109" s="3">
        <v>3.5597858209505802</v>
      </c>
      <c r="N109" s="3">
        <v>5.4608834543496396</v>
      </c>
    </row>
    <row r="110" spans="1:14" x14ac:dyDescent="0.35">
      <c r="A110" s="2">
        <v>45006</v>
      </c>
      <c r="B110" s="3">
        <v>3.5752841331150198</v>
      </c>
      <c r="C110" s="3">
        <v>4.7080918755591998</v>
      </c>
      <c r="D110" s="3">
        <v>3.4335050054198701</v>
      </c>
      <c r="E110" s="3">
        <v>3.61990933707746</v>
      </c>
      <c r="F110" s="3">
        <v>2.7104673484932902</v>
      </c>
      <c r="G110" s="3">
        <v>3.2462353930368399</v>
      </c>
      <c r="H110" s="3">
        <v>4.3190786447549199</v>
      </c>
      <c r="I110" s="3">
        <v>0.91256715151750301</v>
      </c>
      <c r="J110" s="3">
        <v>1.75786614771137</v>
      </c>
      <c r="K110" s="3">
        <v>3.2463877919402599</v>
      </c>
      <c r="L110" s="3">
        <v>2.7189553021371502</v>
      </c>
      <c r="M110" s="3">
        <v>3.7186419748557902</v>
      </c>
      <c r="N110" s="3">
        <v>5.5395047975202401</v>
      </c>
    </row>
    <row r="111" spans="1:14" x14ac:dyDescent="0.35">
      <c r="A111" s="2">
        <v>45037</v>
      </c>
      <c r="B111" s="3">
        <v>3.4103487493752001</v>
      </c>
      <c r="C111" s="3">
        <v>4.4047889785409096</v>
      </c>
      <c r="D111" s="3">
        <v>3.23025316872027</v>
      </c>
      <c r="E111" s="3">
        <v>3.49926135273734</v>
      </c>
      <c r="F111" s="3">
        <v>2.5816466735549399</v>
      </c>
      <c r="G111" s="3">
        <v>3.0567558496187099</v>
      </c>
      <c r="H111" s="3">
        <v>4.0637016733210896</v>
      </c>
      <c r="I111" s="3">
        <v>0.89673545403118005</v>
      </c>
      <c r="J111" s="3">
        <v>1.7114368101747499</v>
      </c>
      <c r="K111" s="3">
        <v>3.08586862038868</v>
      </c>
      <c r="L111" s="3">
        <v>2.6604926763110099</v>
      </c>
      <c r="M111" s="3">
        <v>3.6464224395508</v>
      </c>
      <c r="N111" s="3">
        <v>5.3155604797634304</v>
      </c>
    </row>
    <row r="112" spans="1:14" x14ac:dyDescent="0.35">
      <c r="A112" s="2">
        <v>45065</v>
      </c>
      <c r="B112" s="3">
        <v>3.4442821806367001</v>
      </c>
      <c r="C112" s="3">
        <v>4.4158357885741202</v>
      </c>
      <c r="D112" s="3">
        <v>3.27173214451844</v>
      </c>
      <c r="E112" s="3">
        <v>3.53780728032168</v>
      </c>
      <c r="F112" s="3">
        <v>2.4491139069602701</v>
      </c>
      <c r="G112" s="3">
        <v>3.0780211377928999</v>
      </c>
      <c r="H112" s="3">
        <v>4.2900170534616802</v>
      </c>
      <c r="I112" s="3">
        <v>0.83051111544595002</v>
      </c>
      <c r="J112" s="3">
        <v>1.6837811133521201</v>
      </c>
      <c r="K112" s="3">
        <v>3.1655817370952599</v>
      </c>
      <c r="L112" s="3">
        <v>2.6554037056561999</v>
      </c>
      <c r="M112" s="3">
        <v>3.67839471710078</v>
      </c>
      <c r="N112" s="3">
        <v>5.5264405196471502</v>
      </c>
    </row>
    <row r="113" spans="1:25" x14ac:dyDescent="0.35">
      <c r="A113" s="2">
        <v>45098</v>
      </c>
      <c r="B113" s="3">
        <v>3.4835908508384499</v>
      </c>
      <c r="C113" s="3">
        <v>4.2470389205103203</v>
      </c>
      <c r="D113" s="3">
        <v>3.33986553165294</v>
      </c>
      <c r="E113" s="3">
        <v>3.64656740326302</v>
      </c>
      <c r="F113" s="3">
        <v>2.3201797449680499</v>
      </c>
      <c r="G113" s="3">
        <v>3.2005547395908902</v>
      </c>
      <c r="H113" s="3">
        <v>4.4148581961972697</v>
      </c>
      <c r="I113" s="3">
        <v>0.77802875537580796</v>
      </c>
      <c r="J113" s="3">
        <v>1.6261874026860299</v>
      </c>
      <c r="K113" s="3">
        <v>3.2741984707563798</v>
      </c>
      <c r="L113" s="3">
        <v>2.7171840821897999</v>
      </c>
      <c r="M113" s="3">
        <v>3.7797549673625301</v>
      </c>
      <c r="N113" s="3">
        <v>5.39395635632434</v>
      </c>
    </row>
    <row r="114" spans="1:25" x14ac:dyDescent="0.35">
      <c r="A114" s="2">
        <v>45128</v>
      </c>
      <c r="B114" s="3">
        <v>3.42818701115214</v>
      </c>
      <c r="C114" s="3">
        <v>4.1580932774786197</v>
      </c>
      <c r="D114" s="3">
        <v>3.16342006731628</v>
      </c>
      <c r="E114" s="3">
        <v>3.6482771242127701</v>
      </c>
      <c r="F114" s="3">
        <v>2.37720510382462</v>
      </c>
      <c r="G114" s="3">
        <v>3.1652102214248599</v>
      </c>
      <c r="H114" s="3">
        <v>4.3068548162588103</v>
      </c>
      <c r="I114" s="3">
        <v>0.75477278034428696</v>
      </c>
      <c r="J114" s="3">
        <v>1.5727171599379901</v>
      </c>
      <c r="K114" s="3">
        <v>3.2310900276628902</v>
      </c>
      <c r="L114" s="3">
        <v>2.6972569044672698</v>
      </c>
      <c r="M114" s="3">
        <v>3.8137040057883498</v>
      </c>
      <c r="N114" s="3">
        <v>5.21068288834228</v>
      </c>
    </row>
    <row r="115" spans="1:25" x14ac:dyDescent="0.35">
      <c r="A115" s="2">
        <v>45159</v>
      </c>
      <c r="B115" s="3">
        <v>3.53020035228921</v>
      </c>
      <c r="C115" s="3">
        <v>4.33518885762488</v>
      </c>
      <c r="D115" s="3">
        <v>3.5853004511148301</v>
      </c>
      <c r="E115" s="3">
        <v>3.77304102523691</v>
      </c>
      <c r="F115" s="3">
        <v>2.4399543254574199</v>
      </c>
      <c r="G115" s="3">
        <v>3.2971475183163101</v>
      </c>
      <c r="H115" s="3">
        <v>4.5927407892779897</v>
      </c>
      <c r="I115" s="3">
        <v>0.904812894120403</v>
      </c>
      <c r="J115" s="3">
        <v>1.6320002073849</v>
      </c>
      <c r="K115" s="3">
        <v>3.3800547681536899</v>
      </c>
      <c r="L115" s="3">
        <v>2.89833464370431</v>
      </c>
      <c r="M115" s="3">
        <v>4.0297611544819203</v>
      </c>
      <c r="N115" s="3">
        <v>5.6303957092177299</v>
      </c>
    </row>
    <row r="116" spans="1:25" x14ac:dyDescent="0.35">
      <c r="A116" s="2">
        <v>45190</v>
      </c>
      <c r="B116" s="3">
        <v>3.4264245512662201</v>
      </c>
      <c r="C116" s="3">
        <v>4.2926685638418798</v>
      </c>
      <c r="D116" s="3">
        <v>3.58693889346848</v>
      </c>
      <c r="E116" s="3">
        <v>3.78822966022038</v>
      </c>
      <c r="F116" s="3">
        <v>2.3164683961868899</v>
      </c>
      <c r="G116" s="3">
        <v>3.2935819044159</v>
      </c>
      <c r="H116" s="3">
        <v>4.41503163901388</v>
      </c>
      <c r="I116" s="3">
        <v>0.93361316479425105</v>
      </c>
      <c r="J116" s="3">
        <v>1.66780845452641</v>
      </c>
      <c r="K116" s="3">
        <v>3.3804047160589898</v>
      </c>
      <c r="L116" s="3">
        <v>3.0258095321349701</v>
      </c>
      <c r="M116" s="3">
        <v>3.9811698152205501</v>
      </c>
      <c r="N116" s="3">
        <v>5.4250826306736499</v>
      </c>
    </row>
    <row r="117" spans="1:25" x14ac:dyDescent="0.35">
      <c r="A117" s="2">
        <v>45219</v>
      </c>
      <c r="B117" s="3">
        <v>3.53923506395956</v>
      </c>
      <c r="C117" s="3">
        <v>4.44436672559962</v>
      </c>
      <c r="D117" s="3">
        <v>3.7268014100195299</v>
      </c>
      <c r="E117" s="3">
        <v>4.0314824339789803</v>
      </c>
      <c r="F117" s="3">
        <v>2.4657916616308602</v>
      </c>
      <c r="G117" s="3">
        <v>3.52821536416501</v>
      </c>
      <c r="H117" s="3">
        <v>4.5970280647830197</v>
      </c>
      <c r="I117" s="3">
        <v>0.96094123418520605</v>
      </c>
      <c r="J117" s="3">
        <v>1.7174685624083399</v>
      </c>
      <c r="K117" s="3">
        <v>3.5841351855599202</v>
      </c>
      <c r="L117" s="3">
        <v>3.1484463556765099</v>
      </c>
      <c r="M117" s="3">
        <v>3.9626534944249001</v>
      </c>
      <c r="N117" s="3">
        <v>5.7392452952430801</v>
      </c>
    </row>
    <row r="118" spans="1:25" x14ac:dyDescent="0.35">
      <c r="A118" s="2">
        <v>45251</v>
      </c>
      <c r="B118" s="3">
        <v>3.4381307347472498</v>
      </c>
      <c r="C118" s="3">
        <v>4.31392443644007</v>
      </c>
      <c r="D118" s="3">
        <v>3.5027643631775098</v>
      </c>
      <c r="E118" s="3">
        <v>3.7223737438711701</v>
      </c>
      <c r="F118" s="3">
        <v>2.3844817445139599</v>
      </c>
      <c r="G118" s="3">
        <v>3.3993485063901101</v>
      </c>
      <c r="H118" s="3">
        <v>4.4792108830554804</v>
      </c>
      <c r="I118" s="3">
        <v>0.88976825831041395</v>
      </c>
      <c r="J118" s="3">
        <v>1.6069744183519299</v>
      </c>
      <c r="K118" s="3">
        <v>3.3688608660289399</v>
      </c>
      <c r="L118" s="3">
        <v>2.8292833956676802</v>
      </c>
      <c r="M118" s="3">
        <v>3.6918455728965101</v>
      </c>
      <c r="N118" s="3">
        <v>5.5493501685732198</v>
      </c>
    </row>
    <row r="119" spans="1:25" x14ac:dyDescent="0.35">
      <c r="A119" s="2">
        <v>45281</v>
      </c>
      <c r="B119" s="3">
        <v>3.0054568466412701</v>
      </c>
      <c r="C119" s="3">
        <v>4.0264508800513701</v>
      </c>
      <c r="D119" s="3">
        <v>3.39176686726542</v>
      </c>
      <c r="E119" s="3">
        <v>3.56039820816068</v>
      </c>
      <c r="F119" s="3">
        <v>2.45734928522482</v>
      </c>
      <c r="G119" s="3">
        <v>3.29352314107184</v>
      </c>
      <c r="H119" s="3">
        <v>4.30029013823453</v>
      </c>
      <c r="I119" s="3">
        <v>0.92057575808731196</v>
      </c>
      <c r="J119" s="3">
        <v>1.5485702684460101</v>
      </c>
      <c r="K119" s="3">
        <v>3.2157988291791701</v>
      </c>
      <c r="L119" s="3">
        <v>2.6674927796923602</v>
      </c>
      <c r="M119" s="3">
        <v>2.9480841175552501</v>
      </c>
      <c r="N119" s="3">
        <v>5.4845839095673004</v>
      </c>
    </row>
    <row r="120" spans="1:25" x14ac:dyDescent="0.35">
      <c r="A120" s="2">
        <v>45310</v>
      </c>
      <c r="B120" s="3">
        <v>3.04435215534629</v>
      </c>
      <c r="C120" s="3">
        <v>4.0949218079978804</v>
      </c>
      <c r="D120" s="3">
        <v>3.3615410240017201</v>
      </c>
      <c r="E120" s="3">
        <v>3.6301972244639198</v>
      </c>
      <c r="F120" s="3">
        <v>2.2801513483539502</v>
      </c>
      <c r="G120" s="3">
        <v>3.34187792215908</v>
      </c>
      <c r="H120" s="3">
        <v>4.4503118377000597</v>
      </c>
      <c r="I120" s="3">
        <v>0.89116864199121504</v>
      </c>
      <c r="J120" s="3">
        <v>1.5255908443442201</v>
      </c>
      <c r="K120" s="3">
        <v>3.2984027205928399</v>
      </c>
      <c r="L120" s="3">
        <v>2.7459420457758799</v>
      </c>
      <c r="M120" s="3">
        <v>3.0893163146225699</v>
      </c>
      <c r="N120" s="3">
        <v>5.4586904405558299</v>
      </c>
    </row>
    <row r="121" spans="1:25" x14ac:dyDescent="0.35">
      <c r="A121" s="2">
        <v>45343</v>
      </c>
      <c r="B121" s="3">
        <v>2.98293212213474</v>
      </c>
      <c r="C121" s="3">
        <v>4.0130475672431096</v>
      </c>
      <c r="D121" s="3">
        <v>3.2939556320317598</v>
      </c>
      <c r="E121" s="3">
        <v>3.48537636786588</v>
      </c>
      <c r="F121" s="3">
        <v>2.2280347192140799</v>
      </c>
      <c r="G121" s="3">
        <v>3.2966481957059899</v>
      </c>
      <c r="H121" s="3">
        <v>4.2188551543327097</v>
      </c>
      <c r="I121" s="3">
        <v>0.90302076375714802</v>
      </c>
      <c r="J121" s="3">
        <v>1.50554226082415</v>
      </c>
      <c r="K121" s="3">
        <v>3.1566820730690699</v>
      </c>
      <c r="L121" s="3">
        <v>2.5164575987541098</v>
      </c>
      <c r="M121" s="3">
        <v>3.34583415041722</v>
      </c>
      <c r="N121" s="3">
        <v>5.3809009694197902</v>
      </c>
    </row>
    <row r="122" spans="1:25" x14ac:dyDescent="0.35">
      <c r="A122" s="2">
        <v>45369</v>
      </c>
      <c r="B122" s="3">
        <v>2.8028477853795901</v>
      </c>
      <c r="C122" s="3">
        <v>4.0059757918428502</v>
      </c>
      <c r="D122" s="3">
        <v>3.1461035250888001</v>
      </c>
      <c r="E122" s="3">
        <v>3.3226900647503901</v>
      </c>
      <c r="F122" s="3">
        <v>2.1776516014646199</v>
      </c>
      <c r="G122" s="3">
        <v>3.2701113771527002</v>
      </c>
      <c r="H122" s="3">
        <v>4.1325155658623602</v>
      </c>
      <c r="I122" s="3">
        <v>0.88381012670237302</v>
      </c>
      <c r="J122" s="3">
        <v>1.43678256547327</v>
      </c>
      <c r="K122" s="3">
        <v>3.0652479728367701</v>
      </c>
      <c r="L122" s="3">
        <v>2.58993033554319</v>
      </c>
      <c r="M122" s="3">
        <v>3.2199102185231898</v>
      </c>
      <c r="N122" s="3">
        <v>5.1191056941486597</v>
      </c>
    </row>
    <row r="125" spans="1:25" x14ac:dyDescent="0.35">
      <c r="A125" s="2" t="s">
        <v>91</v>
      </c>
      <c r="B125" s="3" cm="1">
        <f t="array" ref="B125">MIN(_xlfn._xlws.FILTER(B1:B122, ISNUMBER(B1:B122)))</f>
        <v>2.3098509223250598</v>
      </c>
      <c r="C125" s="3" cm="1">
        <f t="array" ref="C125">MIN(_xlfn._xlws.FILTER(C1:C122, ISNUMBER(C1:C122)))</f>
        <v>3.3554022142178201</v>
      </c>
      <c r="D125" s="3" cm="1">
        <f t="array" ref="D125">MIN(_xlfn._xlws.FILTER(D1:D122, ISNUMBER(D1:D122)))</f>
        <v>2.6349219641399801</v>
      </c>
      <c r="E125" s="3" cm="1">
        <f t="array" ref="E125">MIN(_xlfn._xlws.FILTER(E1:E122, ISNUMBER(E1:E122)))</f>
        <v>2.6536751615207699</v>
      </c>
      <c r="F125" s="3" cm="1">
        <f t="array" ref="F125">MIN(_xlfn._xlws.FILTER(F1:F122, ISNUMBER(F1:F122)))</f>
        <v>1.82456605427912</v>
      </c>
      <c r="G125" s="3" cm="1">
        <f t="array" ref="G125">MIN(_xlfn._xlws.FILTER(G1:G122, ISNUMBER(G1:G122)))</f>
        <v>2.56359419917719</v>
      </c>
      <c r="H125" s="3" cm="1">
        <f t="array" ref="H125">MIN(_xlfn._xlws.FILTER(H1:H122, ISNUMBER(H1:H122)))</f>
        <v>3.8338915868543202</v>
      </c>
      <c r="I125" s="3" cm="1">
        <f t="array" ref="I125">MIN(_xlfn._xlws.FILTER(I1:I122, ISNUMBER(I1:I122)))</f>
        <v>0.65193034378279802</v>
      </c>
      <c r="J125" s="3" cm="1">
        <f t="array" ref="J125">MIN(_xlfn._xlws.FILTER(J1:J122, ISNUMBER(J1:J122)))</f>
        <v>1.3687947901634401</v>
      </c>
      <c r="K125" s="3" cm="1">
        <f t="array" ref="K125">MIN(_xlfn._xlws.FILTER(K1:K122, ISNUMBER(K1:K122)))</f>
        <v>2.6655702678505602</v>
      </c>
      <c r="L125" s="3" cm="1">
        <f t="array" ref="L125">MIN(_xlfn._xlws.FILTER(L1:L122, ISNUMBER(L1:L122)))</f>
        <v>1.85021602486634</v>
      </c>
      <c r="M125" s="3" cm="1">
        <f t="array" ref="M125">MIN(_xlfn._xlws.FILTER(M1:M122, ISNUMBER(M1:M122)))</f>
        <v>2.6908523341012098</v>
      </c>
      <c r="N125" s="3" cm="1">
        <f t="array" ref="N125">MIN(_xlfn._xlws.FILTER(N1:N122, ISNUMBER(N1:N122)))</f>
        <v>3.10432585262074</v>
      </c>
    </row>
    <row r="126" spans="1:25" x14ac:dyDescent="0.35">
      <c r="A126" s="2" t="s">
        <v>92</v>
      </c>
      <c r="B126" s="3" cm="1">
        <f t="array" ref="B126">MAX(_xlfn._xlws.FILTER(B1:B122, ISNUMBER(B1:B122)))</f>
        <v>5.1171663250933097</v>
      </c>
      <c r="C126" s="3" cm="1">
        <f t="array" ref="C126">MAX(_xlfn._xlws.FILTER(C1:C122, ISNUMBER(C1:C122)))</f>
        <v>5.8236550374081704</v>
      </c>
      <c r="D126" s="3" cm="1">
        <f t="array" ref="D126">MAX(_xlfn._xlws.FILTER(D1:D122, ISNUMBER(D1:D122)))</f>
        <v>4.8991733396705399</v>
      </c>
      <c r="E126" s="3" cm="1">
        <f t="array" ref="E126">MAX(_xlfn._xlws.FILTER(E1:E122, ISNUMBER(E1:E122)))</f>
        <v>4.4705444252503801</v>
      </c>
      <c r="F126" s="3" cm="1">
        <f t="array" ref="F126">MAX(_xlfn._xlws.FILTER(F1:F122, ISNUMBER(F1:F122)))</f>
        <v>3.2796246001138698</v>
      </c>
      <c r="G126" s="3" cm="1">
        <f t="array" ref="G126">MAX(_xlfn._xlws.FILTER(G1:G122, ISNUMBER(G1:G122)))</f>
        <v>3.8136659496476701</v>
      </c>
      <c r="H126" s="3" cm="1">
        <f t="array" ref="H126">MAX(_xlfn._xlws.FILTER(H1:H122, ISNUMBER(H1:H122)))</f>
        <v>6.97655085282471</v>
      </c>
      <c r="I126" s="3" cm="1">
        <f t="array" ref="I126">MAX(_xlfn._xlws.FILTER(I1:I122, ISNUMBER(I1:I122)))</f>
        <v>1.4194653041324501</v>
      </c>
      <c r="J126" s="3" cm="1">
        <f t="array" ref="J126">MAX(_xlfn._xlws.FILTER(J1:J122, ISNUMBER(J1:J122)))</f>
        <v>2.7433900948800001</v>
      </c>
      <c r="K126" s="3" cm="1">
        <f t="array" ref="K126">MAX(_xlfn._xlws.FILTER(K1:K122, ISNUMBER(K1:K122)))</f>
        <v>4.8381399208734504</v>
      </c>
      <c r="L126" s="3" cm="1">
        <f t="array" ref="L126">MAX(_xlfn._xlws.FILTER(L1:L122, ISNUMBER(L1:L122)))</f>
        <v>3.7540042438881498</v>
      </c>
      <c r="M126" s="3" cm="1">
        <f t="array" ref="M126">MAX(_xlfn._xlws.FILTER(M1:M122, ISNUMBER(M1:M122)))</f>
        <v>4.7620752882648096</v>
      </c>
      <c r="N126" s="3" cm="1">
        <f t="array" ref="N126">MAX(_xlfn._xlws.FILTER(N1:N122, ISNUMBER(N1:N122)))</f>
        <v>6.7479859636934503</v>
      </c>
    </row>
    <row r="128" spans="1:25" x14ac:dyDescent="0.35">
      <c r="A128" s="2" t="s">
        <v>93</v>
      </c>
      <c r="B128" s="9" cm="1">
        <f t="array" ref="B128">_xlfn.PERCENTRANK.EXC(_xlfn._xlws.FILTER(B1:B122, ISNUMBER(B1:B122)),B122)</f>
        <v>0.18</v>
      </c>
      <c r="C128" s="9" cm="1">
        <f t="array" ref="C128">_xlfn.PERCENTRANK.EXC(_xlfn._xlws.FILTER(C1:C122, ISNUMBER(C1:C122)),C122)</f>
        <v>0.13900000000000001</v>
      </c>
      <c r="D128" s="9" cm="1">
        <f t="array" ref="D128">_xlfn.PERCENTRANK.EXC(_xlfn._xlws.FILTER(D1:D122, ISNUMBER(D1:D122)),D122)</f>
        <v>0.53200000000000003</v>
      </c>
      <c r="E128" s="9" cm="1">
        <f t="array" ref="E128">_xlfn.PERCENTRANK.EXC(_xlfn._xlws.FILTER(E1:E122, ISNUMBER(E1:E122)),E122)</f>
        <v>0.622</v>
      </c>
      <c r="F128" s="9" cm="1">
        <f t="array" ref="F128">_xlfn.PERCENTRANK.EXC(_xlfn._xlws.FILTER(F1:F122, ISNUMBER(F1:F122)),F122)</f>
        <v>0.29499999999999998</v>
      </c>
      <c r="G128" s="9" cm="1">
        <f t="array" ref="G128">_xlfn.PERCENTRANK.EXC(_xlfn._xlws.FILTER(G1:G122, ISNUMBER(G1:G122)),G122)</f>
        <v>0.51600000000000001</v>
      </c>
      <c r="H128" s="9" cm="1">
        <f t="array" ref="H128">_xlfn.PERCENTRANK.EXC(_xlfn._xlws.FILTER(H1:H122, ISNUMBER(H1:H122)),H122)</f>
        <v>0.31900000000000001</v>
      </c>
      <c r="I128" s="9" cm="1">
        <f t="array" ref="I128">_xlfn.PERCENTRANK.EXC(_xlfn._xlws.FILTER(I1:I122, ISNUMBER(I1:I122)),I122)</f>
        <v>0.221</v>
      </c>
      <c r="J128" s="9" cm="1">
        <f t="array" ref="J128">_xlfn.PERCENTRANK.EXC(_xlfn._xlws.FILTER(J1:J122, ISNUMBER(J1:J122)),J122)</f>
        <v>4.9000000000000002E-2</v>
      </c>
      <c r="K128" s="9" cm="1">
        <f t="array" ref="K128">_xlfn.PERCENTRANK.EXC(_xlfn._xlws.FILTER(K1:K122, ISNUMBER(K1:K122)),K122)</f>
        <v>0.155</v>
      </c>
      <c r="L128" s="9" cm="1">
        <f t="array" ref="L128">_xlfn.PERCENTRANK.EXC(_xlfn._xlws.FILTER(L1:L122, ISNUMBER(L1:L122)),L122)</f>
        <v>0.245</v>
      </c>
      <c r="M128" s="9" cm="1">
        <f t="array" ref="M128">_xlfn.PERCENTRANK.EXC(_xlfn._xlws.FILTER(M1:M122, ISNUMBER(M1:M122)),M122)</f>
        <v>0.21299999999999999</v>
      </c>
      <c r="N128" s="9" cm="1">
        <f t="array" ref="N128">_xlfn.PERCENTRANK.EXC(_xlfn._xlws.FILTER(N1:N122, ISNUMBER(N1:N122)),N122)</f>
        <v>0.77</v>
      </c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39"/>
  <sheetViews>
    <sheetView topLeftCell="A106" workbookViewId="0">
      <selection activeCell="B132" sqref="B132"/>
    </sheetView>
  </sheetViews>
  <sheetFormatPr defaultRowHeight="14.5" x14ac:dyDescent="0.35"/>
  <cols>
    <col min="1" max="1" width="24.54296875" bestFit="1" customWidth="1"/>
  </cols>
  <sheetData>
    <row r="1" spans="1:26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26" x14ac:dyDescent="0.35">
      <c r="A2" s="2" cm="1">
        <f t="array" ref="A2:A122">_xll.FDS(B1,"JULIAN(FG_TOTAL_RETURNC(-10AY,0,AM).dates)")</f>
        <v>41719</v>
      </c>
      <c r="B2" s="24" cm="1">
        <f t="array" ref="B2:B122">_xll.FDS(B1,"FG_TOTAL_RETURNC(-10AY,0,AM)")/100</f>
        <v>8.0469019999999988E-2</v>
      </c>
      <c r="C2" s="24" cm="1">
        <f t="array" ref="C2:C122">_xll.FDS(C1,"FG_TOTAL_RETURNC(-10AY,0,AM)")/100</f>
        <v>-5.9975979999999998E-3</v>
      </c>
      <c r="D2" s="24" cm="1">
        <f t="array" ref="D2:D122">_xll.FDS(D1,"FG_TOTAL_RETURNC(-10AY,0,AM)")/100</f>
        <v>3.4494399999999998E-3</v>
      </c>
      <c r="E2" s="24" cm="1">
        <f t="array" ref="E2:E122">_xll.FDS(E1,"FG_TOTAL_RETURNC(-10AY,0,AM)")/100</f>
        <v>-3.4515500000000005E-2</v>
      </c>
      <c r="F2" s="24" cm="1">
        <f t="array" ref="F2:F122">_xll.FDS(F1,"FG_TOTAL_RETURNC(-10AY,0,AM)")/100</f>
        <v>-5.4735003000000004E-2</v>
      </c>
      <c r="G2" s="24" cm="1">
        <f t="array" ref="G2:G122">_xll.FDS(G1,"FG_TOTAL_RETURNC(-10AY,0,AM)")/100</f>
        <v>-3.2728313999999996E-3</v>
      </c>
      <c r="H2" s="24" cm="1">
        <f t="array" ref="H2:H122">_xll.FDS(H1,"FG_TOTAL_RETURNC(-10AY,0,AM)")/100</f>
        <v>-4.9929322999999998E-2</v>
      </c>
      <c r="I2" s="24" cm="1">
        <f t="array" ref="I2:I122">_xll.FDS(I1,"FG_TOTAL_RETURNC(-10AY,0,AM)")/100</f>
        <v>-3.95751E-3</v>
      </c>
      <c r="J2" s="24" cm="1">
        <f t="array" ref="J2:J122">_xll.FDS(J1,"FG_TOTAL_RETURNC(-10AY,0,AM)")/100</f>
        <v>1.7046094000000001E-2</v>
      </c>
      <c r="K2" s="24" cm="1">
        <f t="array" ref="K2:K122">_xll.FDS(K1,"FG_TOTAL_RETURNC(-10AY,0,AM)")/100</f>
        <v>-7.6416135E-3</v>
      </c>
      <c r="L2" s="24" cm="1">
        <f t="array" ref="L2:L122">_xll.FDS(L1,"FG_TOTAL_RETURNC(-10AY,0,AM)")/100</f>
        <v>-2.0328403000000002E-2</v>
      </c>
      <c r="M2" s="24" cm="1">
        <f t="array" ref="M2:M122">_xll.FDS(M1,"FG_TOTAL_RETURNC(-10AY,0,AM)")/100</f>
        <v>1.0967374E-2</v>
      </c>
      <c r="N2" s="24" cm="1">
        <f t="array" ref="N2:N122">_xll.FDS(N1,"FG_TOTAL_RETURNC(-10AY,0,AM)")/100</f>
        <v>1.8685937E-2</v>
      </c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35">
      <c r="A3" s="2">
        <v>41750</v>
      </c>
      <c r="B3" s="24">
        <v>1.6627312E-3</v>
      </c>
      <c r="C3" s="24">
        <v>6.3555955999999997E-2</v>
      </c>
      <c r="D3" s="24">
        <v>2.8875947000000003E-2</v>
      </c>
      <c r="E3" s="24">
        <v>1.9678593000000001E-2</v>
      </c>
      <c r="F3" s="24">
        <v>2.7573585999999997E-2</v>
      </c>
      <c r="G3" s="24">
        <v>3.1641840000000004E-2</v>
      </c>
      <c r="H3" s="24">
        <v>4.1150209999999993E-2</v>
      </c>
      <c r="I3" s="24">
        <v>-2.4269699999999998E-2</v>
      </c>
      <c r="J3" s="24">
        <v>4.5112370000000004E-3</v>
      </c>
      <c r="K3" s="24">
        <v>3.6401867999999997E-2</v>
      </c>
      <c r="L3" s="24">
        <v>1.9952059000000001E-2</v>
      </c>
      <c r="M3" s="24">
        <v>-5.5634975000000008E-4</v>
      </c>
      <c r="N3" s="24">
        <v>5.7396529999999994E-2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35">
      <c r="A4" s="2">
        <v>41780</v>
      </c>
      <c r="B4" s="24">
        <v>1.6570090999999998E-5</v>
      </c>
      <c r="C4" s="24">
        <v>-9.4553830000000012E-3</v>
      </c>
      <c r="D4" s="24">
        <v>2.2385597E-2</v>
      </c>
      <c r="E4" s="24">
        <v>1.2222528E-2</v>
      </c>
      <c r="F4" s="24">
        <v>-8.9448689999999998E-4</v>
      </c>
      <c r="G4" s="24">
        <v>1.7939805999999999E-2</v>
      </c>
      <c r="H4" s="24">
        <v>3.9999962E-2</v>
      </c>
      <c r="I4" s="24">
        <v>2.3030876999999998E-2</v>
      </c>
      <c r="J4" s="24">
        <v>1.1174201999999999E-2</v>
      </c>
      <c r="K4" s="24">
        <v>7.0921179999999997E-3</v>
      </c>
      <c r="L4" s="24">
        <v>1.5649796E-3</v>
      </c>
      <c r="M4" s="24">
        <v>3.8129686999999995E-2</v>
      </c>
      <c r="N4" s="24">
        <v>-5.5400190000000002E-2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35">
      <c r="A5" s="2">
        <v>41810</v>
      </c>
      <c r="B5" s="24">
        <v>1.3480662999999999E-2</v>
      </c>
      <c r="C5" s="24">
        <v>1.5272974999999999E-2</v>
      </c>
      <c r="D5" s="24">
        <v>4.7058820000000001E-2</v>
      </c>
      <c r="E5" s="24">
        <v>2.2878885000000002E-2</v>
      </c>
      <c r="F5" s="24">
        <v>9.1315980000000005E-2</v>
      </c>
      <c r="G5" s="24">
        <v>3.9795637E-3</v>
      </c>
      <c r="H5" s="24">
        <v>7.7838899999999999E-3</v>
      </c>
      <c r="I5" s="24">
        <v>4.7040699999999998E-2</v>
      </c>
      <c r="J5" s="24">
        <v>4.0959597E-2</v>
      </c>
      <c r="K5" s="24">
        <v>1.3749123E-2</v>
      </c>
      <c r="L5" s="24">
        <v>2.8515577E-2</v>
      </c>
      <c r="M5" s="24">
        <v>-2.7613938000000001E-2</v>
      </c>
      <c r="N5" s="24">
        <v>6.8128110000000006E-2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35">
      <c r="A6" s="2">
        <v>41841</v>
      </c>
      <c r="B6" s="24">
        <v>-6.9013239999999995E-3</v>
      </c>
      <c r="C6" s="24">
        <v>1.620388E-2</v>
      </c>
      <c r="D6" s="24">
        <v>1.9366026000000001E-2</v>
      </c>
      <c r="E6" s="24">
        <v>-4.0992974999999994E-2</v>
      </c>
      <c r="F6" s="24">
        <v>-5.8931111999999998E-4</v>
      </c>
      <c r="G6" s="24">
        <v>-2.0463406999999999E-2</v>
      </c>
      <c r="H6" s="24">
        <v>-9.9251270000000006E-3</v>
      </c>
      <c r="I6" s="24">
        <v>3.4817338000000003E-2</v>
      </c>
      <c r="J6" s="24">
        <v>7.1450469999999999E-3</v>
      </c>
      <c r="K6" s="24">
        <v>-5.2689019999999996E-2</v>
      </c>
      <c r="L6" s="24">
        <v>-4.9307226999999995E-2</v>
      </c>
      <c r="M6" s="24">
        <v>-1.9013165999999998E-2</v>
      </c>
      <c r="N6" s="24">
        <v>-7.1477470000000001E-2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35">
      <c r="A7" s="2">
        <v>41872</v>
      </c>
      <c r="B7" s="24">
        <v>-2.3104667999999998E-2</v>
      </c>
      <c r="C7" s="24">
        <v>1.6153215999999998E-2</v>
      </c>
      <c r="D7" s="24">
        <v>2.4676323000000001E-3</v>
      </c>
      <c r="E7" s="24">
        <v>-4.2300104999999998E-2</v>
      </c>
      <c r="F7" s="24">
        <v>-7.4380040000000007E-3</v>
      </c>
      <c r="G7" s="24">
        <v>-1.0940254E-2</v>
      </c>
      <c r="H7" s="24">
        <v>-1.9258498999999998E-2</v>
      </c>
      <c r="I7" s="24">
        <v>3.0208349999999998E-2</v>
      </c>
      <c r="J7" s="24">
        <v>1.0945559000000001E-2</v>
      </c>
      <c r="K7" s="24">
        <v>-2.745092E-2</v>
      </c>
      <c r="L7" s="24">
        <v>-4.0683745999999998E-3</v>
      </c>
      <c r="M7" s="24">
        <v>-3.7583709999999999E-3</v>
      </c>
      <c r="N7" s="24">
        <v>-4.4821319999999998E-2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35">
      <c r="A8" s="2">
        <v>41901</v>
      </c>
      <c r="B8" s="24">
        <v>-3.4984052000000002E-2</v>
      </c>
      <c r="C8" s="24">
        <v>-7.2088659999999999E-2</v>
      </c>
      <c r="D8" s="24">
        <v>-1.2923001999999999E-2</v>
      </c>
      <c r="E8" s="24">
        <v>4.4858455999999998E-3</v>
      </c>
      <c r="F8" s="24">
        <v>-1.6652763000000001E-2</v>
      </c>
      <c r="G8" s="24">
        <v>-8.3707569999999995E-3</v>
      </c>
      <c r="H8" s="24">
        <v>-5.8910847000000002E-3</v>
      </c>
      <c r="I8" s="24">
        <v>1.3324618E-2</v>
      </c>
      <c r="J8" s="24">
        <v>1.0722756E-2</v>
      </c>
      <c r="K8" s="24">
        <v>2.5659799999999998E-3</v>
      </c>
      <c r="L8" s="24">
        <v>1.1029482E-2</v>
      </c>
      <c r="M8" s="24">
        <v>-1.5380144E-2</v>
      </c>
      <c r="N8" s="24">
        <v>1.0145782999999998E-2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35">
      <c r="A9" s="2">
        <v>41933</v>
      </c>
      <c r="B9" s="24">
        <v>6.6378117000000002E-3</v>
      </c>
      <c r="C9" s="24">
        <v>-1.9521891999999999E-2</v>
      </c>
      <c r="D9" s="24">
        <v>-7.1072396999999995E-2</v>
      </c>
      <c r="E9" s="24">
        <v>-9.1721059999999993E-2</v>
      </c>
      <c r="F9" s="24">
        <v>-5.6731579999999997E-2</v>
      </c>
      <c r="G9" s="24">
        <v>-5.5170299999999999E-2</v>
      </c>
      <c r="H9" s="24">
        <v>-7.7530859999999993E-2</v>
      </c>
      <c r="I9" s="24">
        <v>-3.1106234E-2</v>
      </c>
      <c r="J9" s="24">
        <v>-3.3034325000000003E-2</v>
      </c>
      <c r="K9" s="24">
        <v>-8.1170080000000006E-2</v>
      </c>
      <c r="L9" s="24">
        <v>-6.3434304999999996E-2</v>
      </c>
      <c r="M9" s="24">
        <v>-6.4839419999999995E-2</v>
      </c>
      <c r="N9" s="24">
        <v>-8.7884539999999997E-2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x14ac:dyDescent="0.35">
      <c r="A10" s="2">
        <v>41964</v>
      </c>
      <c r="B10" s="24">
        <v>3.7027597000000002E-2</v>
      </c>
      <c r="C10" s="24">
        <v>-1.4628232000000001E-2</v>
      </c>
      <c r="D10" s="24">
        <v>4.1275263000000006E-2</v>
      </c>
      <c r="E10" s="24">
        <v>5.8055996999999998E-2</v>
      </c>
      <c r="F10" s="24">
        <v>4.4434430000000004E-2</v>
      </c>
      <c r="G10" s="24">
        <v>4.9138545999999998E-2</v>
      </c>
      <c r="H10" s="24">
        <v>2.6766538999999999E-2</v>
      </c>
      <c r="I10" s="24">
        <v>7.226181000000001E-2</v>
      </c>
      <c r="J10" s="24">
        <v>6.4976454000000003E-2</v>
      </c>
      <c r="K10" s="24">
        <v>3.02428E-2</v>
      </c>
      <c r="L10" s="24">
        <v>4.9180270000000005E-2</v>
      </c>
      <c r="M10" s="24">
        <v>4.4437410000000004E-2</v>
      </c>
      <c r="N10" s="24">
        <v>1.7894030000000002E-2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x14ac:dyDescent="0.35">
      <c r="A11" s="2">
        <v>41992</v>
      </c>
      <c r="B11" s="24">
        <v>-4.3804645999999999E-3</v>
      </c>
      <c r="C11" s="24">
        <v>-5.7343187000000004E-2</v>
      </c>
      <c r="D11" s="24">
        <v>-6.6890419999999992E-2</v>
      </c>
      <c r="E11" s="24">
        <v>-5.1832199999999997E-3</v>
      </c>
      <c r="F11" s="24">
        <v>-4.921913E-3</v>
      </c>
      <c r="G11" s="24">
        <v>-2.0985483999999999E-2</v>
      </c>
      <c r="H11" s="24">
        <v>-2.5454104000000002E-2</v>
      </c>
      <c r="I11" s="24">
        <v>8.0562829999999992E-3</v>
      </c>
      <c r="J11" s="24">
        <v>4.7171116000000006E-3</v>
      </c>
      <c r="K11" s="24">
        <v>-2.4629354000000003E-2</v>
      </c>
      <c r="L11" s="24">
        <v>-9.7820759999999989E-3</v>
      </c>
      <c r="M11" s="24">
        <v>-2.6093006000000002E-2</v>
      </c>
      <c r="N11" s="24">
        <v>-5.5686655000000002E-2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x14ac:dyDescent="0.35">
      <c r="A12" s="2">
        <v>42025</v>
      </c>
      <c r="B12" s="24">
        <v>6.919265E-3</v>
      </c>
      <c r="C12" s="24">
        <v>4.0650367999999996E-3</v>
      </c>
      <c r="D12" s="24">
        <v>-5.3921520000000001E-2</v>
      </c>
      <c r="E12" s="24">
        <v>7.1871279999999999E-4</v>
      </c>
      <c r="F12" s="24">
        <v>-5.2129029999999996E-3</v>
      </c>
      <c r="G12" s="24">
        <v>1.3668895E-2</v>
      </c>
      <c r="H12" s="24">
        <v>-1.0911107E-2</v>
      </c>
      <c r="I12" s="24">
        <v>-2.0897269999999999E-2</v>
      </c>
      <c r="J12" s="24">
        <v>-1.6656995000000001E-2</v>
      </c>
      <c r="K12" s="24">
        <v>-2.3971795999999999E-3</v>
      </c>
      <c r="L12" s="24">
        <v>0</v>
      </c>
      <c r="M12" s="24">
        <v>-2.4656713E-2</v>
      </c>
      <c r="N12" s="24">
        <v>-4.3258667000000001E-3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35">
      <c r="A13" s="2">
        <v>42055</v>
      </c>
      <c r="B13" s="24">
        <v>2.1567344999999997E-3</v>
      </c>
      <c r="C13" s="24">
        <v>5.8029770000000001E-2</v>
      </c>
      <c r="D13" s="24">
        <v>2.5536536999999998E-2</v>
      </c>
      <c r="E13" s="24">
        <v>5.9245944000000002E-2</v>
      </c>
      <c r="F13" s="24">
        <v>7.6855900000000005E-2</v>
      </c>
      <c r="G13" s="24">
        <v>2.4517298E-2</v>
      </c>
      <c r="H13" s="24">
        <v>5.2950980000000002E-2</v>
      </c>
      <c r="I13" s="24">
        <v>6.1386347000000001E-2</v>
      </c>
      <c r="J13" s="24">
        <v>4.0176271999999999E-2</v>
      </c>
      <c r="K13" s="24">
        <v>6.8081737000000003E-2</v>
      </c>
      <c r="L13" s="24">
        <v>5.9166670000000005E-2</v>
      </c>
      <c r="M13" s="24">
        <v>0.10016000999999999</v>
      </c>
      <c r="N13" s="24">
        <v>8.9789980000000005E-2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35">
      <c r="A14" s="2">
        <v>42083</v>
      </c>
      <c r="B14" s="24">
        <v>2.5275349999999999E-2</v>
      </c>
      <c r="C14" s="24">
        <v>1.7431973999999999E-2</v>
      </c>
      <c r="D14" s="24">
        <v>-9.3828439999999996E-3</v>
      </c>
      <c r="E14" s="24">
        <v>2.5762676999999998E-2</v>
      </c>
      <c r="F14" s="24">
        <v>3.8929461999999998E-2</v>
      </c>
      <c r="G14" s="24">
        <v>1.7050505000000001E-2</v>
      </c>
      <c r="H14" s="24">
        <v>-1.4143526999999999E-2</v>
      </c>
      <c r="I14" s="24">
        <v>3.3950806000000002E-3</v>
      </c>
      <c r="J14" s="24">
        <v>4.8196316000000003E-4</v>
      </c>
      <c r="K14" s="24">
        <v>-9.3738437000000004E-3</v>
      </c>
      <c r="L14" s="24">
        <v>1.8882751E-2</v>
      </c>
      <c r="M14" s="24">
        <v>-1.3961612999999999E-2</v>
      </c>
      <c r="N14" s="24">
        <v>-1.4617979999999999E-2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35">
      <c r="A15" s="2">
        <v>42115</v>
      </c>
      <c r="B15" s="24">
        <v>-2.4414062999999998E-4</v>
      </c>
      <c r="C15" s="24">
        <v>-3.1759322E-2</v>
      </c>
      <c r="D15" s="24">
        <v>5.2094699999999994E-2</v>
      </c>
      <c r="E15" s="24">
        <v>-1.2227416E-2</v>
      </c>
      <c r="F15" s="24">
        <v>2.8102993999999999E-2</v>
      </c>
      <c r="G15" s="24">
        <v>2.4117590000000001E-2</v>
      </c>
      <c r="H15" s="24">
        <v>7.9702139999999998E-3</v>
      </c>
      <c r="I15" s="24">
        <v>-4.3306350000000002E-3</v>
      </c>
      <c r="J15" s="24">
        <v>-3.8496256E-3</v>
      </c>
      <c r="K15" s="24">
        <v>1.8168092E-2</v>
      </c>
      <c r="L15" s="24">
        <v>5.4054259999999996E-3</v>
      </c>
      <c r="M15" s="24">
        <v>8.5544586000000002E-3</v>
      </c>
      <c r="N15" s="24">
        <v>5.3944590000000008E-3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35">
      <c r="A16" s="2">
        <v>42145</v>
      </c>
      <c r="B16" s="24">
        <v>-4.3701169999999998E-2</v>
      </c>
      <c r="C16" s="24">
        <v>-1.0358213999999999E-2</v>
      </c>
      <c r="D16" s="24">
        <v>-6.5789220000000001E-3</v>
      </c>
      <c r="E16" s="24">
        <v>2.308464E-2</v>
      </c>
      <c r="F16" s="24">
        <v>1.0250568E-2</v>
      </c>
      <c r="G16" s="24">
        <v>3.1303882999999998E-2</v>
      </c>
      <c r="H16" s="24">
        <v>4.9024819999999997E-2</v>
      </c>
      <c r="I16" s="24">
        <v>2.3320436E-2</v>
      </c>
      <c r="J16" s="24">
        <v>1.8606781999999999E-2</v>
      </c>
      <c r="K16" s="24">
        <v>3.3457279999999999E-2</v>
      </c>
      <c r="L16" s="24">
        <v>4.2626619999999997E-2</v>
      </c>
      <c r="M16" s="24">
        <v>1.3746738000000001E-2</v>
      </c>
      <c r="N16" s="24">
        <v>6.7739843999999994E-2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35">
      <c r="A17" s="2">
        <v>42174</v>
      </c>
      <c r="B17" s="24">
        <v>-6.6632566000000004E-2</v>
      </c>
      <c r="C17" s="24">
        <v>-2.5730490000000002E-2</v>
      </c>
      <c r="D17" s="24">
        <v>-4.2523565000000006E-2</v>
      </c>
      <c r="E17" s="24">
        <v>-5.2321790000000007E-2</v>
      </c>
      <c r="F17" s="24">
        <v>-3.4197687999999997E-2</v>
      </c>
      <c r="G17" s="24">
        <v>-3.5505474000000002E-2</v>
      </c>
      <c r="H17" s="24">
        <v>-3.3165811999999996E-2</v>
      </c>
      <c r="I17" s="24">
        <v>-3.9414167000000003E-3</v>
      </c>
      <c r="J17" s="24">
        <v>-7.7748299999999999E-3</v>
      </c>
      <c r="K17" s="24">
        <v>-4.0647450000000002E-2</v>
      </c>
      <c r="L17" s="24">
        <v>-2.6151000999999997E-2</v>
      </c>
      <c r="M17" s="24">
        <v>-1.7022489999999998E-2</v>
      </c>
      <c r="N17" s="24">
        <v>-2.5753735999999999E-2</v>
      </c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35">
      <c r="A18" s="2">
        <v>42206</v>
      </c>
      <c r="B18" s="24">
        <v>-2.1547496000000003E-2</v>
      </c>
      <c r="C18" s="24">
        <v>-2.6656805999999998E-2</v>
      </c>
      <c r="D18" s="24">
        <v>-6.4568399999999998E-2</v>
      </c>
      <c r="E18" s="24">
        <v>1.4195085000000001E-2</v>
      </c>
      <c r="F18" s="24">
        <v>1.2084365E-2</v>
      </c>
      <c r="G18" s="24">
        <v>1.0137558E-2</v>
      </c>
      <c r="H18" s="24">
        <v>-1.1940538999999998E-2</v>
      </c>
      <c r="I18" s="24">
        <v>3.6582112E-2</v>
      </c>
      <c r="J18" s="24">
        <v>4.4590235000000001E-3</v>
      </c>
      <c r="K18" s="24">
        <v>2.1112679999999998E-2</v>
      </c>
      <c r="L18" s="24">
        <v>1.6754150000000002E-2</v>
      </c>
      <c r="M18" s="24">
        <v>-3.0995010000000002E-3</v>
      </c>
      <c r="N18" s="24">
        <v>1.8273950000000001E-2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35">
      <c r="A19" s="2">
        <v>42237</v>
      </c>
      <c r="B19" s="24">
        <v>-2.3802637999999997E-2</v>
      </c>
      <c r="C19" s="24">
        <v>-0.1135186</v>
      </c>
      <c r="D19" s="24">
        <v>-7.8039227000000003E-2</v>
      </c>
      <c r="E19" s="24">
        <v>-9.9688470000000001E-2</v>
      </c>
      <c r="F19" s="24">
        <v>-7.8825293000000005E-2</v>
      </c>
      <c r="G19" s="24">
        <v>-6.3213350000000001E-2</v>
      </c>
      <c r="H19" s="24">
        <v>-7.9807160000000002E-2</v>
      </c>
      <c r="I19" s="24">
        <v>-0.10104471</v>
      </c>
      <c r="J19" s="24">
        <v>-6.6682395999999991E-2</v>
      </c>
      <c r="K19" s="24">
        <v>-6.1239777000000002E-2</v>
      </c>
      <c r="L19" s="24">
        <v>-8.2423800000000005E-2</v>
      </c>
      <c r="M19" s="24">
        <v>-7.8939380000000003E-2</v>
      </c>
      <c r="N19" s="24">
        <v>-5.7989717000000003E-2</v>
      </c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35">
      <c r="A20" s="2">
        <v>42268</v>
      </c>
      <c r="B20" s="24">
        <v>-5.4054080000000004E-2</v>
      </c>
      <c r="C20" s="24">
        <v>-1.9659876999999999E-2</v>
      </c>
      <c r="D20" s="24">
        <v>1.914072E-2</v>
      </c>
      <c r="E20" s="24">
        <v>-1.6916573000000001E-2</v>
      </c>
      <c r="F20" s="24">
        <v>-2.8523505000000001E-2</v>
      </c>
      <c r="G20" s="24">
        <v>-1.5307665E-2</v>
      </c>
      <c r="H20" s="24">
        <v>-1.6880154999999997E-2</v>
      </c>
      <c r="I20" s="24">
        <v>3.4578562E-2</v>
      </c>
      <c r="J20" s="24">
        <v>-6.6399573999999999E-4</v>
      </c>
      <c r="K20" s="24">
        <v>-2.0286381000000003E-2</v>
      </c>
      <c r="L20" s="24">
        <v>-1.9278050000000001E-2</v>
      </c>
      <c r="M20" s="24">
        <v>-1.1912583999999999E-2</v>
      </c>
      <c r="N20" s="24">
        <v>-2.0519494999999997E-3</v>
      </c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x14ac:dyDescent="0.35">
      <c r="A21" s="2">
        <v>42298</v>
      </c>
      <c r="B21" s="24">
        <v>0.10310554500000001</v>
      </c>
      <c r="C21" s="24">
        <v>3.7398338000000003E-2</v>
      </c>
      <c r="D21" s="24">
        <v>2.9215813E-3</v>
      </c>
      <c r="E21" s="24">
        <v>2.9722333E-2</v>
      </c>
      <c r="F21" s="24">
        <v>5.6994796E-2</v>
      </c>
      <c r="G21" s="24">
        <v>1.2689829E-3</v>
      </c>
      <c r="H21" s="24">
        <v>3.1971693000000002E-2</v>
      </c>
      <c r="I21" s="24">
        <v>1.7410993999999999E-2</v>
      </c>
      <c r="J21" s="24">
        <v>2.7435660000000001E-2</v>
      </c>
      <c r="K21" s="24">
        <v>3.6946893000000001E-2</v>
      </c>
      <c r="L21" s="24">
        <v>3.8686752000000005E-2</v>
      </c>
      <c r="M21" s="24">
        <v>-1.6745329000000002E-3</v>
      </c>
      <c r="N21" s="24">
        <v>3.289926E-2</v>
      </c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x14ac:dyDescent="0.35">
      <c r="A22" s="2">
        <v>42328</v>
      </c>
      <c r="B22" s="24">
        <v>-5.0675870000000001E-3</v>
      </c>
      <c r="C22" s="24">
        <v>1.0971785000000001E-2</v>
      </c>
      <c r="D22" s="24">
        <v>-3.2875596999999999E-2</v>
      </c>
      <c r="E22" s="24">
        <v>2.0129204000000001E-2</v>
      </c>
      <c r="F22" s="24">
        <v>3.1045794000000002E-2</v>
      </c>
      <c r="G22" s="24">
        <v>-1.3624847000000001E-2</v>
      </c>
      <c r="H22" s="24">
        <v>-1.4343083000000001E-2</v>
      </c>
      <c r="I22" s="24">
        <v>6.4732193999999993E-2</v>
      </c>
      <c r="J22" s="24">
        <v>3.6962151999999998E-2</v>
      </c>
      <c r="K22" s="24">
        <v>-1.4095545000000001E-2</v>
      </c>
      <c r="L22" s="24">
        <v>-4.2278767E-3</v>
      </c>
      <c r="M22" s="24">
        <v>4.6964884000000005E-3</v>
      </c>
      <c r="N22" s="24">
        <v>-6.7020534999999992E-2</v>
      </c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x14ac:dyDescent="0.35">
      <c r="A23" s="2">
        <v>42359</v>
      </c>
      <c r="B23" s="24">
        <v>4.5939445000000002E-2</v>
      </c>
      <c r="C23" s="24">
        <v>-3.1040131999999998E-2</v>
      </c>
      <c r="D23" s="24">
        <v>-6.9720563999999999E-2</v>
      </c>
      <c r="E23" s="24">
        <v>-2.1965742E-2</v>
      </c>
      <c r="F23" s="24">
        <v>-3.8215220000000001E-2</v>
      </c>
      <c r="G23" s="24">
        <v>-1.7989040000000001E-2</v>
      </c>
      <c r="H23" s="24">
        <v>-6.0180959999999999E-2</v>
      </c>
      <c r="I23" s="24">
        <v>-2.6938080000000003E-2</v>
      </c>
      <c r="J23" s="24">
        <v>-3.0668676000000002E-2</v>
      </c>
      <c r="K23" s="24">
        <v>-3.8433254E-2</v>
      </c>
      <c r="L23" s="24">
        <v>-4.4706820000000001E-2</v>
      </c>
      <c r="M23" s="24">
        <v>-3.6541402000000001E-2</v>
      </c>
      <c r="N23" s="24">
        <v>-1.5526353999999999E-2</v>
      </c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x14ac:dyDescent="0.35">
      <c r="A24" s="2">
        <v>42390</v>
      </c>
      <c r="B24" s="24">
        <v>-4.4907627000000006E-2</v>
      </c>
      <c r="C24" s="24">
        <v>-7.3464929999999998E-2</v>
      </c>
      <c r="D24" s="24">
        <v>-9.751522E-2</v>
      </c>
      <c r="E24" s="24">
        <v>-9.6688270000000007E-2</v>
      </c>
      <c r="F24" s="24">
        <v>-0.10373444</v>
      </c>
      <c r="G24" s="24">
        <v>-7.2293043000000001E-2</v>
      </c>
      <c r="H24" s="24">
        <v>-8.7125720000000004E-2</v>
      </c>
      <c r="I24" s="24">
        <v>-9.1850580000000001E-2</v>
      </c>
      <c r="J24" s="24">
        <v>-7.4279730000000002E-2</v>
      </c>
      <c r="K24" s="24">
        <v>-8.4752500000000008E-2</v>
      </c>
      <c r="L24" s="24">
        <v>-5.0681352999999998E-2</v>
      </c>
      <c r="M24" s="24">
        <v>-8.5674650000000005E-2</v>
      </c>
      <c r="N24" s="24">
        <v>-0.12173914999999999</v>
      </c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x14ac:dyDescent="0.35">
      <c r="A25" s="2">
        <v>42419</v>
      </c>
      <c r="B25" s="24">
        <v>3.4028769E-2</v>
      </c>
      <c r="C25" s="24">
        <v>4.2603609999999993E-2</v>
      </c>
      <c r="D25" s="24">
        <v>0.10649347000000001</v>
      </c>
      <c r="E25" s="24">
        <v>6.7424773999999995E-3</v>
      </c>
      <c r="F25" s="24">
        <v>2.7776957000000004E-3</v>
      </c>
      <c r="G25" s="24">
        <v>8.4626674999999998E-3</v>
      </c>
      <c r="H25" s="24">
        <v>4.4232845E-2</v>
      </c>
      <c r="I25" s="24">
        <v>7.734299E-3</v>
      </c>
      <c r="J25" s="24">
        <v>2.844286E-2</v>
      </c>
      <c r="K25" s="24">
        <v>3.2608628000000001E-2</v>
      </c>
      <c r="L25" s="24">
        <v>1.1215806E-2</v>
      </c>
      <c r="M25" s="24">
        <v>5.0455212999999999E-2</v>
      </c>
      <c r="N25" s="24">
        <v>-7.9207896999999999E-2</v>
      </c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x14ac:dyDescent="0.35">
      <c r="A26" s="2">
        <v>42450</v>
      </c>
      <c r="B26" s="24">
        <v>0.10441101</v>
      </c>
      <c r="C26" s="24">
        <v>0.1191827</v>
      </c>
      <c r="D26" s="24">
        <v>0.11314558999999999</v>
      </c>
      <c r="E26" s="24">
        <v>6.8229437000000004E-2</v>
      </c>
      <c r="F26" s="24">
        <v>6.1865209999999997E-2</v>
      </c>
      <c r="G26" s="24">
        <v>3.5314680000000001E-2</v>
      </c>
      <c r="H26" s="24">
        <v>4.705107E-2</v>
      </c>
      <c r="I26" s="24">
        <v>6.3751340000000004E-2</v>
      </c>
      <c r="J26" s="24">
        <v>7.1464059999999996E-2</v>
      </c>
      <c r="K26" s="24">
        <v>6.4035176999999999E-2</v>
      </c>
      <c r="L26" s="24">
        <v>8.8731170000000012E-2</v>
      </c>
      <c r="M26" s="24">
        <v>5.7421445999999994E-2</v>
      </c>
      <c r="N26" s="24">
        <v>0.12186384</v>
      </c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x14ac:dyDescent="0.35">
      <c r="A27" s="2">
        <v>42481</v>
      </c>
      <c r="B27" s="24">
        <v>6.1931132999999999E-2</v>
      </c>
      <c r="C27" s="24">
        <v>3.0933142E-2</v>
      </c>
      <c r="D27" s="24">
        <v>5.1455140000000003E-2</v>
      </c>
      <c r="E27" s="24">
        <v>4.5062660000000004E-2</v>
      </c>
      <c r="F27" s="24">
        <v>5.3912997000000004E-2</v>
      </c>
      <c r="G27" s="24">
        <v>3.7824987999999997E-2</v>
      </c>
      <c r="H27" s="24">
        <v>2.8481006999999999E-2</v>
      </c>
      <c r="I27" s="24">
        <v>2.6533127E-2</v>
      </c>
      <c r="J27" s="24">
        <v>2.1009445000000002E-2</v>
      </c>
      <c r="K27" s="24">
        <v>2.8029679999999998E-2</v>
      </c>
      <c r="L27" s="24">
        <v>1.3039947000000001E-2</v>
      </c>
      <c r="M27" s="24">
        <v>4.8155785E-2</v>
      </c>
      <c r="N27" s="24">
        <v>7.9870224E-4</v>
      </c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x14ac:dyDescent="0.35">
      <c r="A28" s="2">
        <v>42510</v>
      </c>
      <c r="B28" s="24">
        <v>-1.713872E-2</v>
      </c>
      <c r="C28" s="24">
        <v>-4.3285727999999996E-2</v>
      </c>
      <c r="D28" s="24">
        <v>-3.0886471000000002E-2</v>
      </c>
      <c r="E28" s="24">
        <v>-5.0993624000000001E-2</v>
      </c>
      <c r="F28" s="24">
        <v>-4.1254099999999995E-2</v>
      </c>
      <c r="G28" s="24">
        <v>-2.1802782999999999E-2</v>
      </c>
      <c r="H28" s="24">
        <v>-1.8461524999999999E-2</v>
      </c>
      <c r="I28" s="24">
        <v>-3.7776768000000002E-2</v>
      </c>
      <c r="J28" s="24">
        <v>-1.6653061E-2</v>
      </c>
      <c r="K28" s="24">
        <v>-3.5284697999999996E-2</v>
      </c>
      <c r="L28" s="24">
        <v>-2.6950954999999999E-2</v>
      </c>
      <c r="M28" s="24">
        <v>-5.7021856000000003E-2</v>
      </c>
      <c r="N28" s="24">
        <v>-5.5067779999999997E-2</v>
      </c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x14ac:dyDescent="0.35">
      <c r="A29" s="2">
        <v>42542</v>
      </c>
      <c r="B29" s="24">
        <v>4.5289396999999995E-2</v>
      </c>
      <c r="C29" s="24">
        <v>1.4395833E-2</v>
      </c>
      <c r="D29" s="24">
        <v>3.2284856000000001E-2</v>
      </c>
      <c r="E29" s="24">
        <v>1.698935E-2</v>
      </c>
      <c r="F29" s="24">
        <v>1.2908816E-2</v>
      </c>
      <c r="G29" s="24">
        <v>1.8296837999999999E-2</v>
      </c>
      <c r="H29" s="24">
        <v>2.7586222000000001E-2</v>
      </c>
      <c r="I29" s="24">
        <v>1.2392044E-2</v>
      </c>
      <c r="J29" s="24">
        <v>1.9652843E-2</v>
      </c>
      <c r="K29" s="24">
        <v>1.6209483E-2</v>
      </c>
      <c r="L29" s="24">
        <v>2.4803876999999999E-3</v>
      </c>
      <c r="M29" s="24">
        <v>1.5203834000000001E-2</v>
      </c>
      <c r="N29" s="24">
        <v>1.3513446E-2</v>
      </c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x14ac:dyDescent="0.35">
      <c r="A30" s="2">
        <v>42572</v>
      </c>
      <c r="B30" s="24">
        <v>3.4574866000000003E-2</v>
      </c>
      <c r="C30" s="24">
        <v>4.5534134000000004E-2</v>
      </c>
      <c r="D30" s="24">
        <v>1.6023874E-2</v>
      </c>
      <c r="E30" s="24">
        <v>-1.3504683999999999E-2</v>
      </c>
      <c r="F30" s="24">
        <v>1.3929605000000001E-2</v>
      </c>
      <c r="G30" s="24">
        <v>-3.5636424999999998E-3</v>
      </c>
      <c r="H30" s="24">
        <v>-3.2215536000000003E-2</v>
      </c>
      <c r="I30" s="24">
        <v>5.2837253000000001E-2</v>
      </c>
      <c r="J30" s="24">
        <v>3.7540792999999996E-2</v>
      </c>
      <c r="K30" s="24">
        <v>-2.7079403000000002E-2</v>
      </c>
      <c r="L30" s="24">
        <v>-1.2314498E-2</v>
      </c>
      <c r="M30" s="24">
        <v>-1.8793344E-2</v>
      </c>
      <c r="N30" s="24">
        <v>-6.0644207000000006E-2</v>
      </c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x14ac:dyDescent="0.35">
      <c r="A31" s="2">
        <v>42601</v>
      </c>
      <c r="B31" s="24">
        <v>6.6681743000000002E-2</v>
      </c>
      <c r="C31" s="24">
        <v>2.310717E-2</v>
      </c>
      <c r="D31" s="24">
        <v>2.9037476E-2</v>
      </c>
      <c r="E31" s="24">
        <v>7.1399690000000002E-2</v>
      </c>
      <c r="F31" s="24">
        <v>3.8851379999999998E-2</v>
      </c>
      <c r="G31" s="24">
        <v>3.1639217999999997E-2</v>
      </c>
      <c r="H31" s="24">
        <v>2.5193810000000001E-2</v>
      </c>
      <c r="I31" s="24">
        <v>3.6048770000000001E-2</v>
      </c>
      <c r="J31" s="24">
        <v>1.0519505E-2</v>
      </c>
      <c r="K31" s="24">
        <v>4.0103554999999999E-2</v>
      </c>
      <c r="L31" s="24">
        <v>4.6590329999999999E-2</v>
      </c>
      <c r="M31" s="24">
        <v>3.8225769999999999E-2</v>
      </c>
      <c r="N31" s="24">
        <v>9.1241599999999992E-3</v>
      </c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x14ac:dyDescent="0.35">
      <c r="A32" s="2">
        <v>42634</v>
      </c>
      <c r="B32" s="24">
        <v>-1.7009974E-3</v>
      </c>
      <c r="C32" s="24">
        <v>-1.7779887000000001E-2</v>
      </c>
      <c r="D32" s="24">
        <v>-1.2756109E-2</v>
      </c>
      <c r="E32" s="24">
        <v>-1.5813231000000001E-2</v>
      </c>
      <c r="F32" s="24">
        <v>2.9268265000000002E-2</v>
      </c>
      <c r="G32" s="24">
        <v>2.2838115999999999E-3</v>
      </c>
      <c r="H32" s="24">
        <v>-4.4108033000000001E-3</v>
      </c>
      <c r="I32" s="24">
        <v>1.0114431E-2</v>
      </c>
      <c r="J32" s="24">
        <v>-7.4379443999999994E-3</v>
      </c>
      <c r="K32" s="24">
        <v>-4.1459800000000005E-3</v>
      </c>
      <c r="L32" s="24">
        <v>1.2141465999999999E-3</v>
      </c>
      <c r="M32" s="24">
        <v>3.820777E-3</v>
      </c>
      <c r="N32" s="24">
        <v>-9.0420246000000001E-4</v>
      </c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x14ac:dyDescent="0.35">
      <c r="A33" s="2">
        <v>42664</v>
      </c>
      <c r="B33" s="24">
        <v>-8.2215129999999997E-2</v>
      </c>
      <c r="C33" s="24">
        <v>1.4187813000000001E-2</v>
      </c>
      <c r="D33" s="24">
        <v>6.2646866000000004E-3</v>
      </c>
      <c r="E33" s="24">
        <v>-1.1476636E-2</v>
      </c>
      <c r="F33" s="24">
        <v>-7.1090459999999999E-3</v>
      </c>
      <c r="G33" s="24">
        <v>-3.6783813999999998E-2</v>
      </c>
      <c r="H33" s="24">
        <v>-3.7341774000000001E-2</v>
      </c>
      <c r="I33" s="24">
        <v>0</v>
      </c>
      <c r="J33" s="24">
        <v>-8.5256696000000007E-3</v>
      </c>
      <c r="K33" s="24">
        <v>-3.7468671999999997E-3</v>
      </c>
      <c r="L33" s="24">
        <v>-9.2966556999999998E-3</v>
      </c>
      <c r="M33" s="24">
        <v>-1.8685101999999999E-2</v>
      </c>
      <c r="N33" s="24">
        <v>1.4479637E-2</v>
      </c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x14ac:dyDescent="0.35">
      <c r="A34" s="2">
        <v>42695</v>
      </c>
      <c r="B34" s="24">
        <v>-2.6688336999999999E-2</v>
      </c>
      <c r="C34" s="24">
        <v>-2.5566756999999999E-2</v>
      </c>
      <c r="D34" s="24">
        <v>1.0894895E-2</v>
      </c>
      <c r="E34" s="24">
        <v>-3.1733750999999998E-2</v>
      </c>
      <c r="F34" s="24">
        <v>-9.7453594000000004E-3</v>
      </c>
      <c r="G34" s="24">
        <v>-3.4809053E-2</v>
      </c>
      <c r="H34" s="24">
        <v>-1.1176884E-2</v>
      </c>
      <c r="I34" s="24">
        <v>3.3009051999999999E-3</v>
      </c>
      <c r="J34" s="24">
        <v>2.8834461999999998E-2</v>
      </c>
      <c r="K34" s="24">
        <v>-2.1312177000000002E-2</v>
      </c>
      <c r="L34" s="24">
        <v>-3.5087764E-2</v>
      </c>
      <c r="M34" s="24">
        <v>-2.715093E-2</v>
      </c>
      <c r="N34" s="24">
        <v>-5.9322059999999996E-2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x14ac:dyDescent="0.35">
      <c r="A35" s="2">
        <v>42725</v>
      </c>
      <c r="B35" s="24">
        <v>-2.9588459999999997E-2</v>
      </c>
      <c r="C35" s="24">
        <v>2.5722504E-2</v>
      </c>
      <c r="D35" s="24">
        <v>2.2431969999999999E-2</v>
      </c>
      <c r="E35" s="24">
        <v>5.1120520000000003E-2</v>
      </c>
      <c r="F35" s="24">
        <v>1.0915756E-2</v>
      </c>
      <c r="G35" s="24">
        <v>2.1995901999999998E-2</v>
      </c>
      <c r="H35" s="24">
        <v>2.6992560000000002E-2</v>
      </c>
      <c r="I35" s="24">
        <v>1.9212842000000001E-2</v>
      </c>
      <c r="J35" s="24">
        <v>3.1584144000000001E-2</v>
      </c>
      <c r="K35" s="24">
        <v>4.3017982999999996E-2</v>
      </c>
      <c r="L35" s="24">
        <v>2.7447104000000003E-2</v>
      </c>
      <c r="M35" s="24">
        <v>3.1708956000000003E-2</v>
      </c>
      <c r="N35" s="24">
        <v>0.14656627999999999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x14ac:dyDescent="0.35">
      <c r="A36" s="2">
        <v>42755</v>
      </c>
      <c r="B36" s="24">
        <v>7.4478865000000005E-2</v>
      </c>
      <c r="C36" s="24">
        <v>5.5004954000000002E-2</v>
      </c>
      <c r="D36" s="24">
        <v>2.0152092E-2</v>
      </c>
      <c r="E36" s="24">
        <v>3.8797974999999998E-2</v>
      </c>
      <c r="F36" s="24">
        <v>1.4874458E-2</v>
      </c>
      <c r="G36" s="24">
        <v>3.7367104999999998E-2</v>
      </c>
      <c r="H36" s="24">
        <v>2.2973417999999999E-2</v>
      </c>
      <c r="I36" s="24">
        <v>2.3161173E-2</v>
      </c>
      <c r="J36" s="24">
        <v>4.2964219999999994E-3</v>
      </c>
      <c r="K36" s="24">
        <v>3.4511090000000001E-2</v>
      </c>
      <c r="L36" s="24">
        <v>3.2930373999999998E-2</v>
      </c>
      <c r="M36" s="24">
        <v>4.4624089999999998E-2</v>
      </c>
      <c r="N36" s="24">
        <v>3.046751E-2</v>
      </c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x14ac:dyDescent="0.35">
      <c r="A37" s="2">
        <v>42787</v>
      </c>
      <c r="B37" s="24">
        <v>1.1119008E-2</v>
      </c>
      <c r="C37" s="24">
        <v>4.8849225000000003E-2</v>
      </c>
      <c r="D37" s="24">
        <v>3.7271737999999999E-2</v>
      </c>
      <c r="E37" s="24">
        <v>1.7209888E-2</v>
      </c>
      <c r="F37" s="24">
        <v>2.2380589999999999E-2</v>
      </c>
      <c r="G37" s="24">
        <v>2.7428984999999999E-2</v>
      </c>
      <c r="H37" s="24">
        <v>2.7590632E-2</v>
      </c>
      <c r="I37" s="24">
        <v>5.8417797E-2</v>
      </c>
      <c r="J37" s="24">
        <v>4.3000816999999997E-2</v>
      </c>
      <c r="K37" s="24">
        <v>-7.9428553999999988E-3</v>
      </c>
      <c r="L37" s="24">
        <v>2.7037977999999997E-2</v>
      </c>
      <c r="M37" s="24">
        <v>4.2381406000000003E-2</v>
      </c>
      <c r="N37" s="24">
        <v>-3.8882196000000001E-2</v>
      </c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x14ac:dyDescent="0.35">
      <c r="A38" s="2">
        <v>42815</v>
      </c>
      <c r="B38" s="24">
        <v>-3.1586409000000003E-2</v>
      </c>
      <c r="C38" s="24">
        <v>-4.9261449999999998E-3</v>
      </c>
      <c r="D38" s="24">
        <v>-5.4617350000000002E-2</v>
      </c>
      <c r="E38" s="24">
        <v>1.5838741999999999E-2</v>
      </c>
      <c r="F38" s="24">
        <v>-3.4870505E-3</v>
      </c>
      <c r="G38" s="24">
        <v>2.4123549999999997E-2</v>
      </c>
      <c r="H38" s="24">
        <v>1.5298247000000001E-2</v>
      </c>
      <c r="I38" s="24">
        <v>-2.8344989999999999E-3</v>
      </c>
      <c r="J38" s="24">
        <v>-7.3630214000000001E-3</v>
      </c>
      <c r="K38" s="24">
        <v>4.4835925000000006E-2</v>
      </c>
      <c r="L38" s="24">
        <v>5.5009839999999997E-2</v>
      </c>
      <c r="M38" s="24">
        <v>1.0003208999999999E-2</v>
      </c>
      <c r="N38" s="24">
        <v>6.3211083000000001E-2</v>
      </c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x14ac:dyDescent="0.35">
      <c r="A39" s="2">
        <v>42846</v>
      </c>
      <c r="B39" s="24">
        <v>2.5368452E-2</v>
      </c>
      <c r="C39" s="24">
        <v>4.9505234000000002E-3</v>
      </c>
      <c r="D39" s="24">
        <v>9.8822116999999991E-3</v>
      </c>
      <c r="E39" s="24">
        <v>4.2523146000000003E-3</v>
      </c>
      <c r="F39" s="24">
        <v>3.8886070000000001E-4</v>
      </c>
      <c r="G39" s="24">
        <v>1.0050297E-2</v>
      </c>
      <c r="H39" s="24">
        <v>-4.6125649999999999E-3</v>
      </c>
      <c r="I39" s="24">
        <v>2.1184801999999999E-2</v>
      </c>
      <c r="J39" s="24">
        <v>3.679514E-3</v>
      </c>
      <c r="K39" s="24">
        <v>1.1877417999999999E-2</v>
      </c>
      <c r="L39" s="24">
        <v>7.8212020000000011E-3</v>
      </c>
      <c r="M39" s="24">
        <v>6.3896180000000001E-4</v>
      </c>
      <c r="N39" s="24">
        <v>-9.9088549999999994E-3</v>
      </c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x14ac:dyDescent="0.35">
      <c r="A40" s="2">
        <v>42874</v>
      </c>
      <c r="B40" s="24">
        <v>1.8378973E-2</v>
      </c>
      <c r="C40" s="24">
        <v>-2.8660952999999999E-2</v>
      </c>
      <c r="D40" s="24">
        <v>-1.0914505000000001E-2</v>
      </c>
      <c r="E40" s="24">
        <v>9.2448829999999996E-2</v>
      </c>
      <c r="F40" s="24">
        <v>3.0897736999999998E-2</v>
      </c>
      <c r="G40" s="24">
        <v>8.302248000000001E-2</v>
      </c>
      <c r="H40" s="24">
        <v>7.5996400000000006E-2</v>
      </c>
      <c r="I40" s="24">
        <v>3.9831042000000004E-2</v>
      </c>
      <c r="J40" s="24">
        <v>1.5857458000000001E-2</v>
      </c>
      <c r="K40" s="24">
        <v>0.11170017</v>
      </c>
      <c r="L40" s="24">
        <v>8.4257240000000011E-2</v>
      </c>
      <c r="M40" s="24">
        <v>7.9821229999999993E-2</v>
      </c>
      <c r="N40" s="24">
        <v>0.14171338</v>
      </c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x14ac:dyDescent="0.35">
      <c r="A41" s="2">
        <v>42907</v>
      </c>
      <c r="B41" s="24">
        <v>6.4400553999999999E-2</v>
      </c>
      <c r="C41" s="24">
        <v>-2.9852985999999997E-3</v>
      </c>
      <c r="D41" s="24">
        <v>-3.2622813999999998E-3</v>
      </c>
      <c r="E41" s="24">
        <v>6.3034296000000004E-3</v>
      </c>
      <c r="F41" s="24">
        <v>2.4085521999999998E-2</v>
      </c>
      <c r="G41" s="24">
        <v>-1.1991262399999999E-3</v>
      </c>
      <c r="H41" s="24">
        <v>-3.2169759999999999E-2</v>
      </c>
      <c r="I41" s="24">
        <v>2.3835777999999998E-2</v>
      </c>
      <c r="J41" s="24">
        <v>2.4441361000000002E-2</v>
      </c>
      <c r="K41" s="24">
        <v>-2.4605989999999999E-3</v>
      </c>
      <c r="L41" s="24">
        <v>-2.5756360000000001E-3</v>
      </c>
      <c r="M41" s="24">
        <v>6.9869757000000001E-3</v>
      </c>
      <c r="N41" s="24">
        <v>-1.3573408E-2</v>
      </c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x14ac:dyDescent="0.35">
      <c r="A42" s="2">
        <v>42937</v>
      </c>
      <c r="B42" s="24">
        <v>4.5394180000000006E-2</v>
      </c>
      <c r="C42" s="24">
        <v>5.8128475999999998E-2</v>
      </c>
      <c r="D42" s="24">
        <v>7.0053934999999998E-2</v>
      </c>
      <c r="E42" s="24">
        <v>3.2722950000000002E-3</v>
      </c>
      <c r="F42" s="24">
        <v>7.039666E-3</v>
      </c>
      <c r="G42" s="24">
        <v>2.2019981999999997E-2</v>
      </c>
      <c r="H42" s="24">
        <v>2.9117345999999999E-2</v>
      </c>
      <c r="I42" s="24">
        <v>2.3944855000000001E-2</v>
      </c>
      <c r="J42" s="24">
        <v>1.6176223999999999E-2</v>
      </c>
      <c r="K42" s="24">
        <v>2.0840526000000002E-2</v>
      </c>
      <c r="L42" s="24">
        <v>4.9117923000000001E-2</v>
      </c>
      <c r="M42" s="24">
        <v>2.8828860000000001E-2</v>
      </c>
      <c r="N42" s="24">
        <v>5.3203106E-2</v>
      </c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x14ac:dyDescent="0.35">
      <c r="A43" s="2">
        <v>42968</v>
      </c>
      <c r="B43" s="24">
        <v>6.9900750000000001E-3</v>
      </c>
      <c r="C43" s="24">
        <v>8.9325905000000004E-3</v>
      </c>
      <c r="D43" s="24">
        <v>-1.7625867999999999E-2</v>
      </c>
      <c r="E43" s="24">
        <v>-3.9138793999999996E-3</v>
      </c>
      <c r="F43" s="24">
        <v>-5.5187939999999994E-4</v>
      </c>
      <c r="G43" s="24">
        <v>-2.1258295E-2</v>
      </c>
      <c r="H43" s="24">
        <v>-1.9451797E-2</v>
      </c>
      <c r="I43" s="24">
        <v>-2.1233737000000003E-2</v>
      </c>
      <c r="J43" s="24">
        <v>-1.6121209000000001E-2</v>
      </c>
      <c r="K43" s="24">
        <v>3.4022330000000006E-4</v>
      </c>
      <c r="L43" s="24">
        <v>1.9782782E-3</v>
      </c>
      <c r="M43" s="24">
        <v>-1.8388689E-2</v>
      </c>
      <c r="N43" s="24">
        <v>3.1615138000000001E-2</v>
      </c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x14ac:dyDescent="0.35">
      <c r="A44" s="2">
        <v>42999</v>
      </c>
      <c r="B44" s="24">
        <v>-9.6760389999999991E-3</v>
      </c>
      <c r="C44" s="24">
        <v>-1.7707348E-3</v>
      </c>
      <c r="D44" s="24">
        <v>5.5657268000000003E-2</v>
      </c>
      <c r="E44" s="24">
        <v>5.2062869999999997E-2</v>
      </c>
      <c r="F44" s="24">
        <v>1.9142269999999999E-2</v>
      </c>
      <c r="G44" s="24">
        <v>1.9371867000000001E-2</v>
      </c>
      <c r="H44" s="24">
        <v>4.3282149999999998E-2</v>
      </c>
      <c r="I44" s="24">
        <v>2.6423215999999999E-2</v>
      </c>
      <c r="J44" s="24">
        <v>3.1805633999999999E-2</v>
      </c>
      <c r="K44" s="24">
        <v>4.6938777000000001E-2</v>
      </c>
      <c r="L44" s="24">
        <v>2.7311562999999997E-2</v>
      </c>
      <c r="M44" s="24">
        <v>5.9173346000000002E-2</v>
      </c>
      <c r="N44" s="24">
        <v>4.6968699999999995E-2</v>
      </c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x14ac:dyDescent="0.35">
      <c r="A45" s="2">
        <v>43028</v>
      </c>
      <c r="B45" s="24">
        <v>-1.7204761999999998E-2</v>
      </c>
      <c r="C45" s="24">
        <v>2.4833797999999997E-2</v>
      </c>
      <c r="D45" s="24">
        <v>9.3652010000000001E-3</v>
      </c>
      <c r="E45" s="24">
        <v>1.5561818999999999E-2</v>
      </c>
      <c r="F45" s="24">
        <v>3.8829684000000003E-2</v>
      </c>
      <c r="G45" s="24">
        <v>3.4551619999999999E-3</v>
      </c>
      <c r="H45" s="24">
        <v>7.7787640000000005E-3</v>
      </c>
      <c r="I45" s="24">
        <v>2.9419900000000002E-2</v>
      </c>
      <c r="J45" s="24">
        <v>3.0955434E-2</v>
      </c>
      <c r="K45" s="24">
        <v>8.4470510000000006E-3</v>
      </c>
      <c r="L45" s="24">
        <v>1.2011528E-2</v>
      </c>
      <c r="M45" s="24">
        <v>1.8528937999999998E-2</v>
      </c>
      <c r="N45" s="24">
        <v>-2.1317243999999999E-2</v>
      </c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x14ac:dyDescent="0.35">
      <c r="A46" s="2">
        <v>43060</v>
      </c>
      <c r="B46" s="24">
        <v>-2.7447580999999999E-2</v>
      </c>
      <c r="C46" s="24">
        <v>-1.2548744999999998E-2</v>
      </c>
      <c r="D46" s="24">
        <v>2.7490853999999998E-3</v>
      </c>
      <c r="E46" s="24">
        <v>1.2565135999999999E-2</v>
      </c>
      <c r="F46" s="24">
        <v>3.4770489000000002E-2</v>
      </c>
      <c r="G46" s="24">
        <v>-8.6081030000000004E-4</v>
      </c>
      <c r="H46" s="24">
        <v>-1.0005653000000002E-2</v>
      </c>
      <c r="I46" s="24">
        <v>4.5659303999999998E-2</v>
      </c>
      <c r="J46" s="24">
        <v>1.1201501000000001E-2</v>
      </c>
      <c r="K46" s="24">
        <v>-5.4768324000000002E-3</v>
      </c>
      <c r="L46" s="24">
        <v>-6.8048835E-3</v>
      </c>
      <c r="M46" s="24">
        <v>-4.4928255E-2</v>
      </c>
      <c r="N46" s="24">
        <v>-5.8517456000000004E-3</v>
      </c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x14ac:dyDescent="0.35">
      <c r="A47" s="2">
        <v>43090</v>
      </c>
      <c r="B47" s="24">
        <v>6.4733863000000003E-2</v>
      </c>
      <c r="C47" s="24">
        <v>2.6419043999999999E-2</v>
      </c>
      <c r="D47" s="24">
        <v>1.1766195E-2</v>
      </c>
      <c r="E47" s="24">
        <v>6.4685345000000003E-3</v>
      </c>
      <c r="F47" s="24">
        <v>1.0252236999999999E-2</v>
      </c>
      <c r="G47" s="24">
        <v>1.0626078000000001E-2</v>
      </c>
      <c r="H47" s="24">
        <v>3.5960196999999999E-2</v>
      </c>
      <c r="I47" s="24">
        <v>1.5287161E-2</v>
      </c>
      <c r="J47" s="24">
        <v>3.4411906999999999E-2</v>
      </c>
      <c r="K47" s="24">
        <v>1.4087081E-2</v>
      </c>
      <c r="L47" s="24">
        <v>1.2709855999999999E-2</v>
      </c>
      <c r="M47" s="24">
        <v>-1.156044E-2</v>
      </c>
      <c r="N47" s="24">
        <v>7.8188179999999999E-3</v>
      </c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x14ac:dyDescent="0.35">
      <c r="A48" s="2">
        <v>43119</v>
      </c>
      <c r="B48" s="24">
        <v>2.7653812999999999E-2</v>
      </c>
      <c r="C48" s="24">
        <v>3.4995555999999997E-2</v>
      </c>
      <c r="D48" s="24">
        <v>3.3962249999999999E-2</v>
      </c>
      <c r="E48" s="24">
        <v>6.2405943999999998E-2</v>
      </c>
      <c r="F48" s="24">
        <v>6.864226000000001E-2</v>
      </c>
      <c r="G48" s="24">
        <v>4.5183299999999996E-2</v>
      </c>
      <c r="H48" s="24">
        <v>5.9074163000000006E-2</v>
      </c>
      <c r="I48" s="24">
        <v>5.5791736000000001E-2</v>
      </c>
      <c r="J48" s="24">
        <v>4.7948360000000002E-2</v>
      </c>
      <c r="K48" s="24">
        <v>6.1839222999999999E-2</v>
      </c>
      <c r="L48" s="24">
        <v>6.6139219999999999E-2</v>
      </c>
      <c r="M48" s="24">
        <v>6.6941977E-2</v>
      </c>
      <c r="N48" s="24">
        <v>9.9510669999999996E-2</v>
      </c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x14ac:dyDescent="0.35">
      <c r="A49" s="2">
        <v>43152</v>
      </c>
      <c r="B49" s="24">
        <v>2.0699501000000001E-3</v>
      </c>
      <c r="C49" s="24">
        <v>-3.3812283999999998E-2</v>
      </c>
      <c r="D49" s="24">
        <v>-6.5693435999999994E-2</v>
      </c>
      <c r="E49" s="24">
        <v>-7.1225940000000001E-2</v>
      </c>
      <c r="F49" s="24">
        <v>-5.2326499999999998E-2</v>
      </c>
      <c r="G49" s="24">
        <v>-3.9695441999999997E-2</v>
      </c>
      <c r="H49" s="24">
        <v>-5.7656229999999996E-2</v>
      </c>
      <c r="I49" s="24">
        <v>-9.1378689999999999E-3</v>
      </c>
      <c r="J49" s="24">
        <v>-3.6945939999999997E-2</v>
      </c>
      <c r="K49" s="24">
        <v>-4.1037980000000002E-2</v>
      </c>
      <c r="L49" s="24">
        <v>-4.8085449999999995E-2</v>
      </c>
      <c r="M49" s="24">
        <v>-4.6987294999999998E-2</v>
      </c>
      <c r="N49" s="24">
        <v>-5.0741854000000003E-2</v>
      </c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x14ac:dyDescent="0.35">
      <c r="A50" s="2">
        <v>43180</v>
      </c>
      <c r="B50" s="24">
        <v>3.5116673000000001E-2</v>
      </c>
      <c r="C50" s="24">
        <v>-5.249381E-3</v>
      </c>
      <c r="D50" s="24">
        <v>-4.9715638000000003E-3</v>
      </c>
      <c r="E50" s="24">
        <v>-8.5548159999999998E-3</v>
      </c>
      <c r="F50" s="24">
        <v>-6.778002E-3</v>
      </c>
      <c r="G50" s="24">
        <v>-2.1517515000000001E-2</v>
      </c>
      <c r="H50" s="24">
        <v>-1.3090490999999999E-2</v>
      </c>
      <c r="I50" s="24">
        <v>1.4417291E-2</v>
      </c>
      <c r="J50" s="24">
        <v>5.4126980000000005E-3</v>
      </c>
      <c r="K50" s="24">
        <v>-3.7760139999999998E-3</v>
      </c>
      <c r="L50" s="24">
        <v>8.1073046000000003E-3</v>
      </c>
      <c r="M50" s="24">
        <v>-1.5371203E-2</v>
      </c>
      <c r="N50" s="24">
        <v>1.3754367999999999E-2</v>
      </c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x14ac:dyDescent="0.35">
      <c r="A51" s="2">
        <v>43210</v>
      </c>
      <c r="B51" s="24">
        <v>-4.3703913999999996E-2</v>
      </c>
      <c r="C51" s="24">
        <v>-2.5065957999999999E-2</v>
      </c>
      <c r="D51" s="24">
        <v>7.1382520000000003E-4</v>
      </c>
      <c r="E51" s="24">
        <v>1.5716433999999998E-2</v>
      </c>
      <c r="F51" s="24">
        <v>1.0153054999999999E-2</v>
      </c>
      <c r="G51" s="24">
        <v>-5.7870745999999999E-3</v>
      </c>
      <c r="H51" s="24">
        <v>4.5847774000000001E-2</v>
      </c>
      <c r="I51" s="24">
        <v>-2.7677893999999998E-2</v>
      </c>
      <c r="J51" s="24">
        <v>-1.4125704999999999E-2</v>
      </c>
      <c r="K51" s="24">
        <v>3.3480762999999997E-2</v>
      </c>
      <c r="L51" s="24">
        <v>-3.0934810000000001E-4</v>
      </c>
      <c r="M51" s="24">
        <v>1.1782646E-3</v>
      </c>
      <c r="N51" s="24">
        <v>4.8103689999999998E-2</v>
      </c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x14ac:dyDescent="0.35">
      <c r="A52" s="2">
        <v>43241</v>
      </c>
      <c r="B52" s="24">
        <v>1.8781423999999999E-3</v>
      </c>
      <c r="C52" s="24">
        <v>3.6986946999999999E-2</v>
      </c>
      <c r="D52" s="24">
        <v>4.8858759999999994E-2</v>
      </c>
      <c r="E52" s="24">
        <v>5.4612159999999996E-3</v>
      </c>
      <c r="F52" s="24">
        <v>6.4260960000000001E-3</v>
      </c>
      <c r="G52" s="24">
        <v>5.5296420000000004E-3</v>
      </c>
      <c r="H52" s="24">
        <v>2.6468158000000002E-2</v>
      </c>
      <c r="I52" s="24">
        <v>3.7584661999999998E-2</v>
      </c>
      <c r="J52" s="24">
        <v>2.5355458000000001E-2</v>
      </c>
      <c r="K52" s="24">
        <v>6.7236422999999998E-3</v>
      </c>
      <c r="L52" s="24">
        <v>-3.0934810000000001E-4</v>
      </c>
      <c r="M52" s="24">
        <v>1.1473894E-2</v>
      </c>
      <c r="N52" s="24">
        <v>-6.0017705000000005E-2</v>
      </c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x14ac:dyDescent="0.35">
      <c r="A53" s="2">
        <v>43272</v>
      </c>
      <c r="B53" s="24">
        <v>4.7967196000000004E-2</v>
      </c>
      <c r="C53" s="24">
        <v>-7.9363585000000007E-3</v>
      </c>
      <c r="D53" s="24">
        <v>-3.2158672999999999E-2</v>
      </c>
      <c r="E53" s="24">
        <v>-6.2385500000000003E-2</v>
      </c>
      <c r="F53" s="24">
        <v>-3.3253849000000002E-2</v>
      </c>
      <c r="G53" s="24">
        <v>-4.6723485000000002E-2</v>
      </c>
      <c r="H53" s="24">
        <v>-5.1011266999999999E-2</v>
      </c>
      <c r="I53" s="24">
        <v>4.5645355999999998E-2</v>
      </c>
      <c r="J53" s="24">
        <v>7.6912639999999997E-3</v>
      </c>
      <c r="K53" s="24">
        <v>-5.5661080000000002E-2</v>
      </c>
      <c r="L53" s="24">
        <v>-3.3118903999999998E-2</v>
      </c>
      <c r="M53" s="24">
        <v>-6.8169173999999999E-2</v>
      </c>
      <c r="N53" s="24">
        <v>-7.4619530000000003E-2</v>
      </c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x14ac:dyDescent="0.35">
      <c r="A54" s="2">
        <v>43301</v>
      </c>
      <c r="B54" s="24">
        <v>-2.4454296E-2</v>
      </c>
      <c r="C54" s="24">
        <v>2.1010279999999999E-2</v>
      </c>
      <c r="D54" s="24">
        <v>2.3371099999999999E-2</v>
      </c>
      <c r="E54" s="24">
        <v>1.4172673E-2</v>
      </c>
      <c r="F54" s="24">
        <v>-6.8271159999999994E-3</v>
      </c>
      <c r="G54" s="24">
        <v>5.7267310000000002E-2</v>
      </c>
      <c r="H54" s="24">
        <v>8.1136226999999998E-3</v>
      </c>
      <c r="I54" s="24">
        <v>1.8667102000000001E-2</v>
      </c>
      <c r="J54" s="24">
        <v>1.9836664E-2</v>
      </c>
      <c r="K54" s="24">
        <v>2.6583552E-2</v>
      </c>
      <c r="L54" s="24">
        <v>3.5784006E-2</v>
      </c>
      <c r="M54" s="24">
        <v>2.5808572999999998E-2</v>
      </c>
      <c r="N54" s="24">
        <v>1.7385244000000001E-2</v>
      </c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x14ac:dyDescent="0.35">
      <c r="A55" s="2">
        <v>43333</v>
      </c>
      <c r="B55" s="24">
        <v>6.2149763000000002E-3</v>
      </c>
      <c r="C55" s="24">
        <v>-1.3135076000000002E-3</v>
      </c>
      <c r="D55" s="24">
        <v>-6.9206950000000008E-4</v>
      </c>
      <c r="E55" s="24">
        <v>-2.1124482000000003E-2</v>
      </c>
      <c r="F55" s="24">
        <v>-1.3404369000000001E-2</v>
      </c>
      <c r="G55" s="24">
        <v>1.6190766999999998E-2</v>
      </c>
      <c r="H55" s="24">
        <v>-2.6731848999999999E-2</v>
      </c>
      <c r="I55" s="24">
        <v>7.6540710000000001E-3</v>
      </c>
      <c r="J55" s="24">
        <v>2.3812890000000003E-2</v>
      </c>
      <c r="K55" s="24">
        <v>-1.214838E-2</v>
      </c>
      <c r="L55" s="24">
        <v>-3.2349288000000004E-2</v>
      </c>
      <c r="M55" s="24">
        <v>4.1401386E-3</v>
      </c>
      <c r="N55" s="24">
        <v>-5.3998650000000002E-2</v>
      </c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x14ac:dyDescent="0.35">
      <c r="A56" s="2">
        <v>43364</v>
      </c>
      <c r="B56" s="24">
        <v>1.6471028000000002E-2</v>
      </c>
      <c r="C56" s="24">
        <v>-2.2358595999999998E-2</v>
      </c>
      <c r="D56" s="24">
        <v>5.8864355000000004E-3</v>
      </c>
      <c r="E56" s="24">
        <v>1.5272259999999999E-2</v>
      </c>
      <c r="F56" s="24">
        <v>4.5810820000000002E-2</v>
      </c>
      <c r="G56" s="24">
        <v>2.1436810000000001E-2</v>
      </c>
      <c r="H56" s="24">
        <v>8.564710599999999E-3</v>
      </c>
      <c r="I56" s="24">
        <v>1.8574E-2</v>
      </c>
      <c r="J56" s="24">
        <v>2.4350762000000001E-2</v>
      </c>
      <c r="K56" s="24">
        <v>2.8802633000000001E-2</v>
      </c>
      <c r="L56" s="24">
        <v>6.4921379999999999E-4</v>
      </c>
      <c r="M56" s="24">
        <v>5.2965403000000001E-2</v>
      </c>
      <c r="N56" s="24">
        <v>5.0216794000000002E-2</v>
      </c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x14ac:dyDescent="0.35">
      <c r="A57" s="2">
        <v>43392</v>
      </c>
      <c r="B57" s="24">
        <v>-7.3121366999999993E-2</v>
      </c>
      <c r="C57" s="24">
        <v>-6.2331795999999995E-2</v>
      </c>
      <c r="D57" s="24">
        <v>-6.4027490000000006E-2</v>
      </c>
      <c r="E57" s="24">
        <v>-8.9601039999999993E-2</v>
      </c>
      <c r="F57" s="24">
        <v>-5.6462345000000004E-2</v>
      </c>
      <c r="G57" s="24">
        <v>-6.636417E-2</v>
      </c>
      <c r="H57" s="24">
        <v>-5.65154E-2</v>
      </c>
      <c r="I57" s="24">
        <v>-5.6500729999999999E-2</v>
      </c>
      <c r="J57" s="24">
        <v>-5.3905906999999996E-2</v>
      </c>
      <c r="K57" s="24">
        <v>-8.8707209999999995E-2</v>
      </c>
      <c r="L57" s="24">
        <v>-7.3953985999999999E-2</v>
      </c>
      <c r="M57" s="24">
        <v>-9.9698840000000011E-2</v>
      </c>
      <c r="N57" s="24">
        <v>-0.12246299000000001</v>
      </c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x14ac:dyDescent="0.35">
      <c r="A58" s="2">
        <v>43425</v>
      </c>
      <c r="B58" s="24">
        <v>2.5349617000000001E-2</v>
      </c>
      <c r="C58" s="24">
        <v>-1.4347196E-2</v>
      </c>
      <c r="D58" s="24">
        <v>-2.4641395E-2</v>
      </c>
      <c r="E58" s="24">
        <v>-3.5560309999999998E-2</v>
      </c>
      <c r="F58" s="24">
        <v>-4.1835904E-2</v>
      </c>
      <c r="G58" s="24">
        <v>-7.8979134999999992E-3</v>
      </c>
      <c r="H58" s="24">
        <v>-1.7070174E-2</v>
      </c>
      <c r="I58" s="24">
        <v>-7.3112965000000002E-2</v>
      </c>
      <c r="J58" s="24">
        <v>-4.0651617000000001E-2</v>
      </c>
      <c r="K58" s="24">
        <v>-3.6934732999999997E-2</v>
      </c>
      <c r="L58" s="24">
        <v>-1.6462325999999999E-2</v>
      </c>
      <c r="M58" s="24">
        <v>-4.5165540000000004E-2</v>
      </c>
      <c r="N58" s="24">
        <v>-2.7048230000000003E-2</v>
      </c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x14ac:dyDescent="0.35">
      <c r="A59" s="2">
        <v>43455</v>
      </c>
      <c r="B59" s="24">
        <v>-2.497226E-2</v>
      </c>
      <c r="C59" s="24">
        <v>-7.1262239999999991E-2</v>
      </c>
      <c r="D59" s="24">
        <v>-0.10172314</v>
      </c>
      <c r="E59" s="24">
        <v>-7.0763469999999995E-2</v>
      </c>
      <c r="F59" s="24">
        <v>-7.8018546000000008E-2</v>
      </c>
      <c r="G59" s="24">
        <v>-5.9399899999999999E-2</v>
      </c>
      <c r="H59" s="24">
        <v>-7.0096909999999998E-2</v>
      </c>
      <c r="I59" s="24">
        <v>-7.9815330000000004E-2</v>
      </c>
      <c r="J59" s="24">
        <v>-8.6350330000000003E-2</v>
      </c>
      <c r="K59" s="24">
        <v>-6.4894914999999997E-2</v>
      </c>
      <c r="L59" s="24">
        <v>-7.7129545000000008E-2</v>
      </c>
      <c r="M59" s="24">
        <v>-4.6732959999999997E-2</v>
      </c>
      <c r="N59" s="24">
        <v>-2.6802301000000001E-2</v>
      </c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x14ac:dyDescent="0.35">
      <c r="A60" s="2">
        <v>43483</v>
      </c>
      <c r="B60" s="24">
        <v>7.2318673E-2</v>
      </c>
      <c r="C60" s="24">
        <v>0.11665762</v>
      </c>
      <c r="D60" s="24">
        <v>0.12761414000000001</v>
      </c>
      <c r="E60" s="24">
        <v>6.9739460000000003E-2</v>
      </c>
      <c r="F60" s="24">
        <v>9.0414889999999998E-2</v>
      </c>
      <c r="G60" s="24">
        <v>8.6263070000000011E-2</v>
      </c>
      <c r="H60" s="24">
        <v>7.4253917000000003E-2</v>
      </c>
      <c r="I60" s="24">
        <v>0.12308968000000001</v>
      </c>
      <c r="J60" s="24">
        <v>0.10702121999999999</v>
      </c>
      <c r="K60" s="24">
        <v>5.0827980000000002E-2</v>
      </c>
      <c r="L60" s="24">
        <v>6.4753649999999996E-2</v>
      </c>
      <c r="M60" s="24">
        <v>8.7532159999999998E-2</v>
      </c>
      <c r="N60" s="24">
        <v>8.3018889999999998E-2</v>
      </c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x14ac:dyDescent="0.35">
      <c r="A61" s="2">
        <v>43517</v>
      </c>
      <c r="B61" s="24">
        <v>2.6049018E-2</v>
      </c>
      <c r="C61" s="24">
        <v>2.2837640000000003E-2</v>
      </c>
      <c r="D61" s="24">
        <v>5.0340652E-2</v>
      </c>
      <c r="E61" s="24">
        <v>9.7414255000000012E-3</v>
      </c>
      <c r="F61" s="24">
        <v>7.5715779999999998E-3</v>
      </c>
      <c r="G61" s="24">
        <v>2.8768419999999999E-2</v>
      </c>
      <c r="H61" s="24">
        <v>4.5219660000000002E-2</v>
      </c>
      <c r="I61" s="24">
        <v>3.8547634999999997E-2</v>
      </c>
      <c r="J61" s="24">
        <v>4.1131973000000002E-2</v>
      </c>
      <c r="K61" s="24">
        <v>6.009519E-2</v>
      </c>
      <c r="L61" s="24">
        <v>7.3197365E-2</v>
      </c>
      <c r="M61" s="24">
        <v>9.1308355000000001E-3</v>
      </c>
      <c r="N61" s="24">
        <v>2.5938869000000003E-2</v>
      </c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x14ac:dyDescent="0.35">
      <c r="A62" s="2">
        <v>43545</v>
      </c>
      <c r="B62" s="24">
        <v>2.4162053999999999E-2</v>
      </c>
      <c r="C62" s="24">
        <v>2.5178194000000001E-2</v>
      </c>
      <c r="D62" s="24">
        <v>3.9639472999999995E-3</v>
      </c>
      <c r="E62" s="24">
        <v>2.0408154000000001E-2</v>
      </c>
      <c r="F62" s="24">
        <v>5.6817530000000003E-3</v>
      </c>
      <c r="G62" s="24">
        <v>3.4663558000000004E-2</v>
      </c>
      <c r="H62" s="24">
        <v>3.4610629999999996E-2</v>
      </c>
      <c r="I62" s="24">
        <v>6.5736530000000001E-2</v>
      </c>
      <c r="J62" s="24">
        <v>3.0848859999999999E-2</v>
      </c>
      <c r="K62" s="24">
        <v>4.0788174000000003E-2</v>
      </c>
      <c r="L62" s="24">
        <v>3.0878901E-2</v>
      </c>
      <c r="M62" s="24">
        <v>4.8927546000000002E-2</v>
      </c>
      <c r="N62" s="24">
        <v>6.6037774000000007E-2</v>
      </c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x14ac:dyDescent="0.35">
      <c r="A63" s="2">
        <v>43573</v>
      </c>
      <c r="B63" s="24">
        <v>2.3104309999999999E-2</v>
      </c>
      <c r="C63" s="24">
        <v>1.5755296000000002E-2</v>
      </c>
      <c r="D63" s="24">
        <v>2.8715014000000001E-2</v>
      </c>
      <c r="E63" s="24">
        <v>3.8909078E-2</v>
      </c>
      <c r="F63" s="24">
        <v>8.7479350000000001E-3</v>
      </c>
      <c r="G63" s="24">
        <v>7.8828335000000003E-3</v>
      </c>
      <c r="H63" s="24">
        <v>9.8567010000000007E-3</v>
      </c>
      <c r="I63" s="24">
        <v>2.6400804999999999E-2</v>
      </c>
      <c r="J63" s="24">
        <v>1.8578886999999999E-2</v>
      </c>
      <c r="K63" s="24">
        <v>2.2251725000000003E-2</v>
      </c>
      <c r="L63" s="24">
        <v>3.0283093000000001E-2</v>
      </c>
      <c r="M63" s="24">
        <v>4.4408916999999999E-2</v>
      </c>
      <c r="N63" s="24">
        <v>3.8938521999999998E-3</v>
      </c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x14ac:dyDescent="0.35">
      <c r="A64" s="2">
        <v>43606</v>
      </c>
      <c r="B64" s="24">
        <v>-1.3510585E-3</v>
      </c>
      <c r="C64" s="24">
        <v>6.8430899999999996E-3</v>
      </c>
      <c r="D64" s="24">
        <v>-1.4305650999999999E-2</v>
      </c>
      <c r="E64" s="24">
        <v>-2.1001039999999999E-2</v>
      </c>
      <c r="F64" s="24">
        <v>-2.8545557999999999E-2</v>
      </c>
      <c r="G64" s="24">
        <v>8.9385509999999994E-3</v>
      </c>
      <c r="H64" s="24">
        <v>-3.2534838000000003E-2</v>
      </c>
      <c r="I64" s="24">
        <v>-2.9670715E-2</v>
      </c>
      <c r="J64" s="24">
        <v>-1.2102544E-2</v>
      </c>
      <c r="K64" s="24">
        <v>-3.1513989999999999E-2</v>
      </c>
      <c r="L64" s="24">
        <v>-2.7476013000000001E-2</v>
      </c>
      <c r="M64" s="24">
        <v>-6.9440125999999991E-2</v>
      </c>
      <c r="N64" s="24">
        <v>-4.1255292999999998E-2</v>
      </c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x14ac:dyDescent="0.35">
      <c r="A65" s="2">
        <v>43637</v>
      </c>
      <c r="B65" s="24">
        <v>1.2764096000000001E-2</v>
      </c>
      <c r="C65" s="24">
        <v>2.9675484000000002E-2</v>
      </c>
      <c r="D65" s="24">
        <v>2.1230817000000003E-2</v>
      </c>
      <c r="E65" s="24">
        <v>1.9693374999999999E-2</v>
      </c>
      <c r="F65" s="24">
        <v>2.2028327E-2</v>
      </c>
      <c r="G65" s="24">
        <v>6.010592E-2</v>
      </c>
      <c r="H65" s="24">
        <v>8.1032515000000003E-3</v>
      </c>
      <c r="I65" s="24">
        <v>3.7067652E-2</v>
      </c>
      <c r="J65" s="24">
        <v>3.1138897000000002E-2</v>
      </c>
      <c r="K65" s="24">
        <v>4.7484875000000003E-2</v>
      </c>
      <c r="L65" s="24">
        <v>3.2014727999999999E-2</v>
      </c>
      <c r="M65" s="24">
        <v>3.9818406000000001E-2</v>
      </c>
      <c r="N65" s="24">
        <v>5.1164149999999999E-2</v>
      </c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x14ac:dyDescent="0.35">
      <c r="A66" s="2">
        <v>43665</v>
      </c>
      <c r="B66" s="24">
        <v>7.2557090000000005E-2</v>
      </c>
      <c r="C66" s="24">
        <v>2.1553635999999998E-2</v>
      </c>
      <c r="D66" s="24">
        <v>8.3944799999999993E-3</v>
      </c>
      <c r="E66" s="24">
        <v>-1.7291068999999999E-2</v>
      </c>
      <c r="F66" s="24">
        <v>3.8560630000000003E-3</v>
      </c>
      <c r="G66" s="24">
        <v>0</v>
      </c>
      <c r="H66" s="24">
        <v>-1.24418736E-3</v>
      </c>
      <c r="I66" s="24">
        <v>1.5176654000000001E-2</v>
      </c>
      <c r="J66" s="24">
        <v>1.0782361000000001E-2</v>
      </c>
      <c r="K66" s="24">
        <v>-1.9691586000000001E-3</v>
      </c>
      <c r="L66" s="24">
        <v>1.4024854E-2</v>
      </c>
      <c r="M66" s="24">
        <v>-1.0766744999999999E-2</v>
      </c>
      <c r="N66" s="24">
        <v>-3.6203859999999995E-4</v>
      </c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x14ac:dyDescent="0.35">
      <c r="A67" s="2">
        <v>43698</v>
      </c>
      <c r="B67" s="24">
        <v>-5.7895364999999997E-2</v>
      </c>
      <c r="C67" s="24">
        <v>-5.8901130000000003E-2</v>
      </c>
      <c r="D67" s="24">
        <v>-3.0176938E-2</v>
      </c>
      <c r="E67" s="24">
        <v>-4.2888583999999993E-2</v>
      </c>
      <c r="F67" s="24">
        <v>-2.1949828000000001E-2</v>
      </c>
      <c r="G67" s="24">
        <v>-6.9296955999999998E-3</v>
      </c>
      <c r="H67" s="24">
        <v>-6.4154506E-2</v>
      </c>
      <c r="I67" s="24">
        <v>-1.2460053E-2</v>
      </c>
      <c r="J67" s="24">
        <v>-1.5883148E-2</v>
      </c>
      <c r="K67" s="24">
        <v>-3.5843492000000005E-2</v>
      </c>
      <c r="L67" s="24">
        <v>-2.6375055000000001E-2</v>
      </c>
      <c r="M67" s="24">
        <v>-6.9261255000000008E-2</v>
      </c>
      <c r="N67" s="24">
        <v>-4.8533144E-2</v>
      </c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x14ac:dyDescent="0.35">
      <c r="A68" s="2">
        <v>43728</v>
      </c>
      <c r="B68" s="24">
        <v>-9.5859170000000011E-3</v>
      </c>
      <c r="C68" s="24">
        <v>4.5305850000000002E-2</v>
      </c>
      <c r="D68" s="24">
        <v>4.2918443999999993E-2</v>
      </c>
      <c r="E68" s="24">
        <v>4.0980460000000003E-2</v>
      </c>
      <c r="F68" s="24">
        <v>6.5083265000000001E-2</v>
      </c>
      <c r="G68" s="24">
        <v>9.930253E-3</v>
      </c>
      <c r="H68" s="24">
        <v>5.0249576999999997E-2</v>
      </c>
      <c r="I68" s="24">
        <v>1.1503935E-2</v>
      </c>
      <c r="J68" s="24">
        <v>2.4666190000000001E-2</v>
      </c>
      <c r="K68" s="24">
        <v>3.7176013000000001E-2</v>
      </c>
      <c r="L68" s="24">
        <v>3.9973496999999997E-2</v>
      </c>
      <c r="M68" s="24">
        <v>6.5910697000000004E-2</v>
      </c>
      <c r="N68" s="24">
        <v>5.2150726000000001E-2</v>
      </c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x14ac:dyDescent="0.35">
      <c r="A69" s="2">
        <v>43759</v>
      </c>
      <c r="B69" s="24">
        <v>4.4134735999999994E-2</v>
      </c>
      <c r="C69" s="24">
        <v>5.8088300000000001E-3</v>
      </c>
      <c r="D69" s="24">
        <v>-1.2345672E-2</v>
      </c>
      <c r="E69" s="24">
        <v>4.2678475E-2</v>
      </c>
      <c r="F69" s="24">
        <v>1.4574169999999999E-2</v>
      </c>
      <c r="G69" s="24">
        <v>7.9715250000000004E-4</v>
      </c>
      <c r="H69" s="24">
        <v>1.8377661999999999E-2</v>
      </c>
      <c r="I69" s="24">
        <v>1.5618205000000001E-2</v>
      </c>
      <c r="J69" s="24">
        <v>5.7328939999999997E-3</v>
      </c>
      <c r="K69" s="24">
        <v>9.2074870000000003E-3</v>
      </c>
      <c r="L69" s="24">
        <v>2.0012736000000003E-2</v>
      </c>
      <c r="M69" s="24">
        <v>4.2553186E-2</v>
      </c>
      <c r="N69" s="24">
        <v>3.2923339999999995E-2</v>
      </c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x14ac:dyDescent="0.35">
      <c r="A70" s="2">
        <v>43790</v>
      </c>
      <c r="B70" s="24">
        <v>-2.0392536999999998E-3</v>
      </c>
      <c r="C70" s="24">
        <v>-4.4425130000000004E-3</v>
      </c>
      <c r="D70" s="24">
        <v>2.5347233E-2</v>
      </c>
      <c r="E70" s="24">
        <v>1.9054293999999999E-2</v>
      </c>
      <c r="F70" s="24">
        <v>3.0287266E-2</v>
      </c>
      <c r="G70" s="24">
        <v>2.5225759E-2</v>
      </c>
      <c r="H70" s="24">
        <v>8.400798000000001E-3</v>
      </c>
      <c r="I70" s="24">
        <v>4.2970179999999997E-2</v>
      </c>
      <c r="J70" s="24">
        <v>3.4267783000000003E-2</v>
      </c>
      <c r="K70" s="24">
        <v>3.1932235000000003E-2</v>
      </c>
      <c r="L70" s="24">
        <v>7.7856780000000007E-3</v>
      </c>
      <c r="M70" s="24">
        <v>1.9131898999999999E-3</v>
      </c>
      <c r="N70" s="24">
        <v>2.3817897000000001E-2</v>
      </c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x14ac:dyDescent="0.35">
      <c r="A71" s="2">
        <v>43819</v>
      </c>
      <c r="B71" s="24">
        <v>7.4055910000000003E-2</v>
      </c>
      <c r="C71" s="24">
        <v>2.9095411000000002E-2</v>
      </c>
      <c r="D71" s="24">
        <v>1.6780019E-2</v>
      </c>
      <c r="E71" s="24">
        <v>1.4542937000000001E-2</v>
      </c>
      <c r="F71" s="24">
        <v>1.6805053E-2</v>
      </c>
      <c r="G71" s="24">
        <v>4.3771030000000002E-2</v>
      </c>
      <c r="H71" s="24">
        <v>5.2356360000000005E-2</v>
      </c>
      <c r="I71" s="24">
        <v>4.962826E-2</v>
      </c>
      <c r="J71" s="24">
        <v>3.8772701999999999E-2</v>
      </c>
      <c r="K71" s="24">
        <v>2.3646593E-2</v>
      </c>
      <c r="L71" s="24">
        <v>3.9792059999999997E-2</v>
      </c>
      <c r="M71" s="24">
        <v>6.8608045999999992E-2</v>
      </c>
      <c r="N71" s="24">
        <v>2.4531602999999999E-2</v>
      </c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x14ac:dyDescent="0.35">
      <c r="A72" s="2">
        <v>43851</v>
      </c>
      <c r="B72" s="24">
        <v>2.9478908000000002E-2</v>
      </c>
      <c r="C72" s="24">
        <v>3.1844258E-2</v>
      </c>
      <c r="D72" s="24">
        <v>3.2399654E-2</v>
      </c>
      <c r="E72" s="24">
        <v>1.7747402000000002E-2</v>
      </c>
      <c r="F72" s="24">
        <v>-6.6867469999999998E-3</v>
      </c>
      <c r="G72" s="24">
        <v>3.2754301999999999E-2</v>
      </c>
      <c r="H72" s="24">
        <v>6.2649250000000002E-3</v>
      </c>
      <c r="I72" s="24">
        <v>5.6928989999999999E-2</v>
      </c>
      <c r="J72" s="24">
        <v>3.2956004000000004E-2</v>
      </c>
      <c r="K72" s="24">
        <v>7.1098804000000008E-3</v>
      </c>
      <c r="L72" s="24">
        <v>9.5494986000000011E-3</v>
      </c>
      <c r="M72" s="24">
        <v>7.8407526000000005E-3</v>
      </c>
      <c r="N72" s="24">
        <v>-8.0699324999999999E-3</v>
      </c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x14ac:dyDescent="0.35">
      <c r="A73" s="2">
        <v>43882</v>
      </c>
      <c r="B73" s="24">
        <v>-1.3524652E-2</v>
      </c>
      <c r="C73" s="24">
        <v>-2.5289356999999998E-2</v>
      </c>
      <c r="D73" s="24">
        <v>1.3076067E-3</v>
      </c>
      <c r="E73" s="24">
        <v>-2.2803485000000002E-2</v>
      </c>
      <c r="F73" s="24">
        <v>-4.695386E-2</v>
      </c>
      <c r="G73" s="24">
        <v>7.4484349999999998E-3</v>
      </c>
      <c r="H73" s="24">
        <v>-3.0536591999999998E-2</v>
      </c>
      <c r="I73" s="24">
        <v>3.1306028E-2</v>
      </c>
      <c r="J73" s="24">
        <v>6.5802335999999998E-3</v>
      </c>
      <c r="K73" s="24">
        <v>-1.503998E-2</v>
      </c>
      <c r="L73" s="24">
        <v>2.9559134999999999E-3</v>
      </c>
      <c r="M73" s="24">
        <v>5.0867795999999998E-3</v>
      </c>
      <c r="N73" s="24">
        <v>7.4576140000000004E-3</v>
      </c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x14ac:dyDescent="0.35">
      <c r="A74" s="2">
        <v>43910</v>
      </c>
      <c r="B74" s="24">
        <v>-0.31648652999999999</v>
      </c>
      <c r="C74" s="24">
        <v>-0.41160946000000004</v>
      </c>
      <c r="D74" s="24">
        <v>-0.38752853000000004</v>
      </c>
      <c r="E74" s="24">
        <v>-0.37371307000000004</v>
      </c>
      <c r="F74" s="24">
        <v>-0.20342576999999998</v>
      </c>
      <c r="G74" s="24">
        <v>-0.25447171999999996</v>
      </c>
      <c r="H74" s="24">
        <v>-0.38654434000000004</v>
      </c>
      <c r="I74" s="24">
        <v>-0.25869633000000003</v>
      </c>
      <c r="J74" s="24">
        <v>-0.30968708</v>
      </c>
      <c r="K74" s="24">
        <v>-0.36210662999999998</v>
      </c>
      <c r="L74" s="24">
        <v>-0.33451225000000001</v>
      </c>
      <c r="M74" s="24">
        <v>-0.34772255000000002</v>
      </c>
      <c r="N74" s="24">
        <v>-0.37584119999999999</v>
      </c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x14ac:dyDescent="0.35">
      <c r="A75" s="2">
        <v>43942</v>
      </c>
      <c r="B75" s="24">
        <v>0.19733501000000001</v>
      </c>
      <c r="C75" s="24">
        <v>0.15844547</v>
      </c>
      <c r="D75" s="24">
        <v>0.19882727</v>
      </c>
      <c r="E75" s="24">
        <v>0.21479451999999999</v>
      </c>
      <c r="F75" s="24">
        <v>9.8869440000000003E-2</v>
      </c>
      <c r="G75" s="24">
        <v>0.16410744000000002</v>
      </c>
      <c r="H75" s="24">
        <v>0.17996013999999999</v>
      </c>
      <c r="I75" s="24">
        <v>0.20284689</v>
      </c>
      <c r="J75" s="24">
        <v>0.19335663</v>
      </c>
      <c r="K75" s="24">
        <v>0.13727415000000001</v>
      </c>
      <c r="L75" s="24">
        <v>0.19884850000000001</v>
      </c>
      <c r="M75" s="24">
        <v>0.16339577</v>
      </c>
      <c r="N75" s="24">
        <v>6.6307305999999996E-2</v>
      </c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x14ac:dyDescent="0.35">
      <c r="A76" s="2">
        <v>43972</v>
      </c>
      <c r="B76" s="24">
        <v>6.3855529999999994E-2</v>
      </c>
      <c r="C76" s="24">
        <v>0.12064515999999999</v>
      </c>
      <c r="D76" s="24">
        <v>8.448195E-2</v>
      </c>
      <c r="E76" s="24">
        <v>8.9309809999999989E-2</v>
      </c>
      <c r="F76" s="24">
        <v>6.1125635999999997E-2</v>
      </c>
      <c r="G76" s="24">
        <v>3.2426476000000003E-2</v>
      </c>
      <c r="H76" s="24">
        <v>6.3371300000000005E-2</v>
      </c>
      <c r="I76" s="24">
        <v>0.11703836000000001</v>
      </c>
      <c r="J76" s="24">
        <v>7.9988240000000002E-2</v>
      </c>
      <c r="K76" s="24">
        <v>3.5223365E-2</v>
      </c>
      <c r="L76" s="24">
        <v>8.7920189999999995E-2</v>
      </c>
      <c r="M76" s="24">
        <v>0.10513926</v>
      </c>
      <c r="N76" s="24">
        <v>4.5500516999999997E-2</v>
      </c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x14ac:dyDescent="0.35">
      <c r="A77" s="2">
        <v>44001</v>
      </c>
      <c r="B77" s="24">
        <v>9.2643020000000006E-2</v>
      </c>
      <c r="C77" s="24">
        <v>0.11122429</v>
      </c>
      <c r="D77" s="24">
        <v>6.3902736000000002E-2</v>
      </c>
      <c r="E77" s="24">
        <v>0.11921191</v>
      </c>
      <c r="F77" s="24">
        <v>7.3749304000000002E-2</v>
      </c>
      <c r="G77" s="24">
        <v>5.9540032999999999E-2</v>
      </c>
      <c r="H77" s="24">
        <v>4.4197199999999999E-2</v>
      </c>
      <c r="I77" s="24">
        <v>6.7156076000000009E-2</v>
      </c>
      <c r="J77" s="24">
        <v>5.1296233999999996E-2</v>
      </c>
      <c r="K77" s="24">
        <v>0.12723409999999999</v>
      </c>
      <c r="L77" s="24">
        <v>0.10506905</v>
      </c>
      <c r="M77" s="24">
        <v>8.5760229999999993E-2</v>
      </c>
      <c r="N77" s="24">
        <v>0.16730833000000001</v>
      </c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x14ac:dyDescent="0.35">
      <c r="A78" s="2">
        <v>44033</v>
      </c>
      <c r="B78" s="24">
        <v>8.8119029999999987E-2</v>
      </c>
      <c r="C78" s="24">
        <v>7.6761245999999991E-2</v>
      </c>
      <c r="D78" s="24">
        <v>5.7999253000000001E-2</v>
      </c>
      <c r="E78" s="24">
        <v>9.8317739999999987E-2</v>
      </c>
      <c r="F78" s="24">
        <v>3.5694838000000003E-3</v>
      </c>
      <c r="G78" s="24">
        <v>4.8506500000000001E-2</v>
      </c>
      <c r="H78" s="24">
        <v>3.0900001999999999E-2</v>
      </c>
      <c r="I78" s="24">
        <v>8.2762480000000013E-2</v>
      </c>
      <c r="J78" s="24">
        <v>5.3039073999999999E-2</v>
      </c>
      <c r="K78" s="24">
        <v>7.2619557000000001E-2</v>
      </c>
      <c r="L78" s="24">
        <v>7.3261260000000009E-2</v>
      </c>
      <c r="M78" s="24">
        <v>0.13643826000000001</v>
      </c>
      <c r="N78" s="24">
        <v>9.292591E-2</v>
      </c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x14ac:dyDescent="0.35">
      <c r="A79" s="2">
        <v>44064</v>
      </c>
      <c r="B79" s="24">
        <v>-6.2595009999999998E-3</v>
      </c>
      <c r="C79" s="24">
        <v>5.859375E-3</v>
      </c>
      <c r="D79" s="24">
        <v>4.5621753000000001E-2</v>
      </c>
      <c r="E79" s="24">
        <v>3.0633209999999999E-3</v>
      </c>
      <c r="F79" s="24">
        <v>2.4542093000000001E-2</v>
      </c>
      <c r="G79" s="24">
        <v>1.5583158E-2</v>
      </c>
      <c r="H79" s="24">
        <v>-6.7440869999999993E-3</v>
      </c>
      <c r="I79" s="24">
        <v>6.768942E-2</v>
      </c>
      <c r="J79" s="24">
        <v>4.4521689999999996E-2</v>
      </c>
      <c r="K79" s="24">
        <v>-5.8721900000000002E-3</v>
      </c>
      <c r="L79" s="24">
        <v>4.6082735000000001E-3</v>
      </c>
      <c r="M79" s="24">
        <v>7.5035095E-3</v>
      </c>
      <c r="N79" s="24">
        <v>-1.8766761E-2</v>
      </c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x14ac:dyDescent="0.35">
      <c r="A80" s="2">
        <v>44095</v>
      </c>
      <c r="B80" s="24">
        <v>-3.0643581999999999E-2</v>
      </c>
      <c r="C80" s="24">
        <v>-4.6116533000000001E-2</v>
      </c>
      <c r="D80" s="24">
        <v>-4.2575655000000004E-2</v>
      </c>
      <c r="E80" s="24">
        <v>-1.5609086000000001E-2</v>
      </c>
      <c r="F80" s="24">
        <v>1.3365746000000001E-2</v>
      </c>
      <c r="G80" s="24">
        <v>5.0346849999999997E-3</v>
      </c>
      <c r="H80" s="24">
        <v>-4.9038115E-2</v>
      </c>
      <c r="I80" s="24">
        <v>-4.9568057000000006E-2</v>
      </c>
      <c r="J80" s="24">
        <v>-3.2949447999999999E-2</v>
      </c>
      <c r="K80" s="24">
        <v>-2.3627519999999999E-2</v>
      </c>
      <c r="L80" s="24">
        <v>-1.2327969000000001E-2</v>
      </c>
      <c r="M80" s="24">
        <v>2.86448E-3</v>
      </c>
      <c r="N80" s="24">
        <v>-4.4106189999999997E-2</v>
      </c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x14ac:dyDescent="0.35">
      <c r="A81" s="2">
        <v>44125</v>
      </c>
      <c r="B81" s="24">
        <v>7.6412079999999993E-2</v>
      </c>
      <c r="C81" s="24">
        <v>4.5801519999999998E-2</v>
      </c>
      <c r="D81" s="24">
        <v>2.6093364000000001E-2</v>
      </c>
      <c r="E81" s="24">
        <v>4.1364430000000001E-3</v>
      </c>
      <c r="F81" s="24">
        <v>1.8156886000000001E-2</v>
      </c>
      <c r="G81" s="24">
        <v>-1.8845378999999999E-2</v>
      </c>
      <c r="H81" s="24">
        <v>9.520054E-3</v>
      </c>
      <c r="I81" s="24">
        <v>6.2352776999999998E-2</v>
      </c>
      <c r="J81" s="24">
        <v>4.8200130000000001E-2</v>
      </c>
      <c r="K81" s="24">
        <v>1.7081856999999999E-2</v>
      </c>
      <c r="L81" s="24">
        <v>4.7895430000000003E-2</v>
      </c>
      <c r="M81" s="24">
        <v>3.541851E-2</v>
      </c>
      <c r="N81" s="24">
        <v>5.7165619999999997E-3</v>
      </c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x14ac:dyDescent="0.35">
      <c r="A82" s="2">
        <v>44155</v>
      </c>
      <c r="B82" s="24">
        <v>5.4153203999999996E-2</v>
      </c>
      <c r="C82" s="24">
        <v>0.10948907999999999</v>
      </c>
      <c r="D82" s="24">
        <v>6.0888289999999998E-2</v>
      </c>
      <c r="E82" s="24">
        <v>3.2955765999999997E-2</v>
      </c>
      <c r="F82" s="24">
        <v>8.9165569999999986E-2</v>
      </c>
      <c r="G82" s="24">
        <v>4.2061687E-2</v>
      </c>
      <c r="H82" s="24">
        <v>0.12298619999999999</v>
      </c>
      <c r="I82" s="24">
        <v>2.1781206000000001E-2</v>
      </c>
      <c r="J82" s="24">
        <v>3.6763549999999999E-2</v>
      </c>
      <c r="K82" s="24">
        <v>0.13086069</v>
      </c>
      <c r="L82" s="24">
        <v>6.7036032999999995E-2</v>
      </c>
      <c r="M82" s="24">
        <v>7.8068970000000001E-2</v>
      </c>
      <c r="N82" s="24">
        <v>0.14088511000000001</v>
      </c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x14ac:dyDescent="0.35">
      <c r="A83" s="2">
        <v>44186</v>
      </c>
      <c r="B83" s="24">
        <v>1.6558409E-2</v>
      </c>
      <c r="C83" s="24">
        <v>5.2717923999999999E-2</v>
      </c>
      <c r="D83" s="24">
        <v>5.1142693000000003E-2</v>
      </c>
      <c r="E83" s="24">
        <v>5.6346774000000002E-2</v>
      </c>
      <c r="F83" s="24">
        <v>2.1131277E-2</v>
      </c>
      <c r="G83" s="24">
        <v>1.9897938E-2</v>
      </c>
      <c r="H83" s="24">
        <v>2.207458E-2</v>
      </c>
      <c r="I83" s="24">
        <v>6.5780519999999995E-2</v>
      </c>
      <c r="J83" s="24">
        <v>3.9693712999999999E-2</v>
      </c>
      <c r="K83" s="24">
        <v>2.0496845E-2</v>
      </c>
      <c r="L83" s="24">
        <v>6.317389000000001E-2</v>
      </c>
      <c r="M83" s="24">
        <v>2.0889639999999998E-2</v>
      </c>
      <c r="N83" s="24">
        <v>3.5170317E-2</v>
      </c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x14ac:dyDescent="0.35">
      <c r="A84" s="2">
        <v>44217</v>
      </c>
      <c r="B84" s="24">
        <v>4.6280621999999993E-2</v>
      </c>
      <c r="C84" s="24">
        <v>5.2941203000000006E-2</v>
      </c>
      <c r="D84" s="24">
        <v>4.2601705000000004E-2</v>
      </c>
      <c r="E84" s="24">
        <v>4.1095970000000002E-2</v>
      </c>
      <c r="F84" s="24">
        <v>5.0873160000000001E-2</v>
      </c>
      <c r="G84" s="24">
        <v>4.6234846000000003E-2</v>
      </c>
      <c r="H84" s="24">
        <v>7.0637106999999991E-2</v>
      </c>
      <c r="I84" s="24">
        <v>5.6454659999999997E-2</v>
      </c>
      <c r="J84" s="24">
        <v>4.4527770000000001E-2</v>
      </c>
      <c r="K84" s="24">
        <v>2.6812909999999999E-2</v>
      </c>
      <c r="L84" s="24">
        <v>8.9416980000000007E-2</v>
      </c>
      <c r="M84" s="24">
        <v>6.7171693000000005E-2</v>
      </c>
      <c r="N84" s="24">
        <v>3.2235741999999998E-2</v>
      </c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x14ac:dyDescent="0.35">
      <c r="A85" s="2">
        <v>44246</v>
      </c>
      <c r="B85" s="24">
        <v>-4.3350277000000006E-2</v>
      </c>
      <c r="C85" s="24">
        <v>9.178042400000001E-3</v>
      </c>
      <c r="D85" s="24">
        <v>3.0567646E-2</v>
      </c>
      <c r="E85" s="24">
        <v>3.0589103999999998E-4</v>
      </c>
      <c r="F85" s="24">
        <v>3.0924797E-2</v>
      </c>
      <c r="G85" s="24">
        <v>-2.4939835E-2</v>
      </c>
      <c r="H85" s="24">
        <v>1.617074E-3</v>
      </c>
      <c r="I85" s="24">
        <v>1.4278770000000001E-2</v>
      </c>
      <c r="J85" s="24">
        <v>1.506877E-2</v>
      </c>
      <c r="K85" s="24">
        <v>1.9881248000000001E-2</v>
      </c>
      <c r="L85" s="24">
        <v>3.2156467000000001E-2</v>
      </c>
      <c r="M85" s="24">
        <v>2.1770000000000001E-2</v>
      </c>
      <c r="N85" s="24">
        <v>1.6453980999999999E-2</v>
      </c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x14ac:dyDescent="0.35">
      <c r="A86" s="2">
        <v>44274</v>
      </c>
      <c r="B86" s="24">
        <v>-1.3386607E-2</v>
      </c>
      <c r="C86" s="24">
        <v>-2.4120211999999999E-2</v>
      </c>
      <c r="D86" s="24">
        <v>4.1162251999999996E-2</v>
      </c>
      <c r="E86" s="24">
        <v>1.6824841E-2</v>
      </c>
      <c r="F86" s="24">
        <v>-9.1112255999999999E-3</v>
      </c>
      <c r="G86" s="24">
        <v>-4.7116876000000002E-3</v>
      </c>
      <c r="H86" s="24">
        <v>1.3561487000000001E-2</v>
      </c>
      <c r="I86" s="24">
        <v>-5.4014800000000002E-2</v>
      </c>
      <c r="J86" s="24">
        <v>1.8659829999999999E-3</v>
      </c>
      <c r="K86" s="24">
        <v>1.8620848999999998E-2</v>
      </c>
      <c r="L86" s="24">
        <v>-2.1132946E-2</v>
      </c>
      <c r="M86" s="24">
        <v>3.3117174999999999E-2</v>
      </c>
      <c r="N86" s="24">
        <v>3.4027099999999998E-2</v>
      </c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x14ac:dyDescent="0.35">
      <c r="A87" s="2">
        <v>44307</v>
      </c>
      <c r="B87" s="24">
        <v>0</v>
      </c>
      <c r="C87" s="24">
        <v>5.7131290000000001E-2</v>
      </c>
      <c r="D87" s="24">
        <v>1.8895268E-2</v>
      </c>
      <c r="E87" s="24">
        <v>4.9939869999999997E-2</v>
      </c>
      <c r="F87" s="24">
        <v>-3.2819330000000001E-2</v>
      </c>
      <c r="G87" s="24">
        <v>5.4328203000000005E-2</v>
      </c>
      <c r="H87" s="24">
        <v>4.0140269999999999E-2</v>
      </c>
      <c r="I87" s="24">
        <v>8.485115E-2</v>
      </c>
      <c r="J87" s="24">
        <v>6.8270444999999999E-2</v>
      </c>
      <c r="K87" s="24">
        <v>5.2556396000000005E-2</v>
      </c>
      <c r="L87" s="24">
        <v>7.7676296000000006E-2</v>
      </c>
      <c r="M87" s="24">
        <v>6.3886999999999999E-2</v>
      </c>
      <c r="N87" s="24">
        <v>2.0127773000000002E-2</v>
      </c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x14ac:dyDescent="0.35">
      <c r="A88" s="2">
        <v>44337</v>
      </c>
      <c r="B88" s="24">
        <v>-2.2925794000000003E-2</v>
      </c>
      <c r="C88" s="24">
        <v>8.049011E-3</v>
      </c>
      <c r="D88" s="24">
        <v>6.3908696000000001E-2</v>
      </c>
      <c r="E88" s="24">
        <v>1.9197702000000001E-2</v>
      </c>
      <c r="F88" s="24">
        <v>-6.4356329999999996E-3</v>
      </c>
      <c r="G88" s="24">
        <v>2.6726483999999998E-2</v>
      </c>
      <c r="H88" s="24">
        <v>3.5221933999999996E-2</v>
      </c>
      <c r="I88" s="24">
        <v>-3.6193252000000002E-2</v>
      </c>
      <c r="J88" s="24">
        <v>-2.7158855999999997E-3</v>
      </c>
      <c r="K88" s="24">
        <v>4.2333839999999998E-2</v>
      </c>
      <c r="L88" s="24">
        <v>4.9567222999999999E-3</v>
      </c>
      <c r="M88" s="24">
        <v>1.3063669E-2</v>
      </c>
      <c r="N88" s="24">
        <v>3.7582277999999997E-2</v>
      </c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x14ac:dyDescent="0.35">
      <c r="A89" s="2">
        <v>44368</v>
      </c>
      <c r="B89" s="24">
        <v>-2.1551669000000002E-2</v>
      </c>
      <c r="C89" s="24">
        <v>1.6251206000000001E-2</v>
      </c>
      <c r="D89" s="24">
        <v>8.5836650000000007E-3</v>
      </c>
      <c r="E89" s="24">
        <v>-1.5932321999999998E-3</v>
      </c>
      <c r="F89" s="24">
        <v>7.7849627000000001E-3</v>
      </c>
      <c r="G89" s="24">
        <v>4.304695E-2</v>
      </c>
      <c r="H89" s="24">
        <v>-7.4725750000000004E-3</v>
      </c>
      <c r="I89" s="24">
        <v>5.4269790000000005E-2</v>
      </c>
      <c r="J89" s="24">
        <v>1.7630458000000002E-2</v>
      </c>
      <c r="K89" s="24">
        <v>1.1960149E-2</v>
      </c>
      <c r="L89" s="24">
        <v>-1.2385249000000001E-3</v>
      </c>
      <c r="M89" s="24">
        <v>-9.9143979999999996E-3</v>
      </c>
      <c r="N89" s="24">
        <v>6.6932440000000001E-3</v>
      </c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x14ac:dyDescent="0.35">
      <c r="A90" s="2">
        <v>44398</v>
      </c>
      <c r="B90" s="24">
        <v>1.3909458999999999E-2</v>
      </c>
      <c r="C90" s="24">
        <v>-2.3141145999999998E-2</v>
      </c>
      <c r="D90" s="24">
        <v>-1.6853988E-2</v>
      </c>
      <c r="E90" s="24">
        <v>-1.9759416999999998E-2</v>
      </c>
      <c r="F90" s="24">
        <v>-6.3272715000000004E-3</v>
      </c>
      <c r="G90" s="24">
        <v>4.2699575000000002E-3</v>
      </c>
      <c r="H90" s="24">
        <v>-2.2734165000000001E-2</v>
      </c>
      <c r="I90" s="24">
        <v>4.9947739999999997E-2</v>
      </c>
      <c r="J90" s="24">
        <v>3.2528640000000004E-2</v>
      </c>
      <c r="K90" s="24">
        <v>-2.7315260000000001E-2</v>
      </c>
      <c r="L90" s="24">
        <v>2.0712613999999997E-3</v>
      </c>
      <c r="M90" s="24">
        <v>1.4832258000000001E-2</v>
      </c>
      <c r="N90" s="24">
        <v>-3.9453744999999998E-2</v>
      </c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x14ac:dyDescent="0.35">
      <c r="A91" s="2">
        <v>44428</v>
      </c>
      <c r="B91" s="24">
        <v>-6.169379E-3</v>
      </c>
      <c r="C91" s="24">
        <v>-1.6310692000000002E-2</v>
      </c>
      <c r="D91" s="24">
        <v>-7.346928E-3</v>
      </c>
      <c r="E91" s="24">
        <v>1.1101365E-2</v>
      </c>
      <c r="F91" s="24">
        <v>-1.2883067E-2</v>
      </c>
      <c r="G91" s="24">
        <v>2.8953194999999998E-2</v>
      </c>
      <c r="H91" s="24">
        <v>1.4267920999999999E-2</v>
      </c>
      <c r="I91" s="24">
        <v>1.7064929E-2</v>
      </c>
      <c r="J91" s="24">
        <v>2.0273804999999999E-2</v>
      </c>
      <c r="K91" s="24">
        <v>1.5512227999999999E-2</v>
      </c>
      <c r="L91" s="24">
        <v>4.9813986000000005E-2</v>
      </c>
      <c r="M91" s="24">
        <v>-6.3544510000000003E-4</v>
      </c>
      <c r="N91" s="24">
        <v>3.3491253999999998E-2</v>
      </c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x14ac:dyDescent="0.35">
      <c r="A92" s="2">
        <v>44460</v>
      </c>
      <c r="B92" s="24">
        <v>3.3406854E-2</v>
      </c>
      <c r="C92" s="24">
        <v>-1.0264516E-2</v>
      </c>
      <c r="D92" s="24">
        <v>-8.7718963999999996E-3</v>
      </c>
      <c r="E92" s="24">
        <v>-3.0627011999999999E-2</v>
      </c>
      <c r="F92" s="24">
        <v>9.5409389999999997E-2</v>
      </c>
      <c r="G92" s="24">
        <v>-5.0964174000000001E-2</v>
      </c>
      <c r="H92" s="24">
        <v>-1.8042803E-2</v>
      </c>
      <c r="I92" s="24">
        <v>-3.1697154000000002E-3</v>
      </c>
      <c r="J92" s="24">
        <v>-1.8781543000000001E-2</v>
      </c>
      <c r="K92" s="24">
        <v>-4.7405957999999996E-3</v>
      </c>
      <c r="L92" s="24">
        <v>2.2051573000000001E-2</v>
      </c>
      <c r="M92" s="24">
        <v>-3.3276796000000004E-2</v>
      </c>
      <c r="N92" s="24">
        <v>-3.0265987000000001E-2</v>
      </c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x14ac:dyDescent="0.35">
      <c r="A93" s="2">
        <v>44490</v>
      </c>
      <c r="B93" s="24">
        <v>8.3781480000000002E-3</v>
      </c>
      <c r="C93" s="24">
        <v>5.2253723000000002E-2</v>
      </c>
      <c r="D93" s="24">
        <v>9.2367290000000005E-2</v>
      </c>
      <c r="E93" s="24">
        <v>-2.9802322E-4</v>
      </c>
      <c r="F93" s="24">
        <v>-7.0665539999999999E-2</v>
      </c>
      <c r="G93" s="24">
        <v>2.1355987E-2</v>
      </c>
      <c r="H93" s="24">
        <v>5.0140141999999999E-2</v>
      </c>
      <c r="I93" s="24">
        <v>3.0369996999999999E-2</v>
      </c>
      <c r="J93" s="24">
        <v>4.6030044999999999E-2</v>
      </c>
      <c r="K93" s="24">
        <v>2.3021936E-2</v>
      </c>
      <c r="L93" s="24">
        <v>2.1190643E-3</v>
      </c>
      <c r="M93" s="24">
        <v>5.3496956999999998E-2</v>
      </c>
      <c r="N93" s="24">
        <v>5.0441383999999999E-2</v>
      </c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x14ac:dyDescent="0.35">
      <c r="A94" s="2">
        <v>44519</v>
      </c>
      <c r="B94" s="24">
        <v>-5.6748750000000001E-2</v>
      </c>
      <c r="C94" s="24">
        <v>-3.9802850000000001E-2</v>
      </c>
      <c r="D94" s="24">
        <v>-6.3291189999999994E-3</v>
      </c>
      <c r="E94" s="24">
        <v>7.4537989999999997E-3</v>
      </c>
      <c r="F94" s="24">
        <v>3.0209303E-2</v>
      </c>
      <c r="G94" s="24">
        <v>2.801466E-2</v>
      </c>
      <c r="H94" s="24">
        <v>-2.1352350000000003E-2</v>
      </c>
      <c r="I94" s="24">
        <v>7.0824623000000003E-2</v>
      </c>
      <c r="J94" s="24">
        <v>3.3730983999999999E-2</v>
      </c>
      <c r="K94" s="24">
        <v>2.3021219999999998E-2</v>
      </c>
      <c r="L94" s="24">
        <v>2.691269E-3</v>
      </c>
      <c r="M94" s="24">
        <v>-6.6597459999999994E-3</v>
      </c>
      <c r="N94" s="24">
        <v>-1.2304902E-2</v>
      </c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x14ac:dyDescent="0.35">
      <c r="A95" s="2">
        <v>44551</v>
      </c>
      <c r="B95" s="24">
        <v>-2.2819102000000001E-2</v>
      </c>
      <c r="C95" s="24">
        <v>-7.048309E-3</v>
      </c>
      <c r="D95" s="24">
        <v>-4.2542099999999999E-2</v>
      </c>
      <c r="E95" s="24">
        <v>-4.3340500000000004E-2</v>
      </c>
      <c r="F95" s="24">
        <v>-2.846539E-2</v>
      </c>
      <c r="G95" s="24">
        <v>1.8364906E-2</v>
      </c>
      <c r="H95" s="24">
        <v>3.8648844E-3</v>
      </c>
      <c r="I95" s="24">
        <v>-3.5341442000000001E-2</v>
      </c>
      <c r="J95" s="24">
        <v>-8.9194180000000001E-3</v>
      </c>
      <c r="K95" s="24">
        <v>-1.6768873E-2</v>
      </c>
      <c r="L95" s="24">
        <v>-6.5552529999999998E-2</v>
      </c>
      <c r="M95" s="24">
        <v>-4.1907015000000006E-2</v>
      </c>
      <c r="N95" s="24">
        <v>-1.2572943999999999E-2</v>
      </c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x14ac:dyDescent="0.35">
      <c r="A96" s="2">
        <v>44582</v>
      </c>
      <c r="B96" s="24">
        <v>-5.4049435E-2</v>
      </c>
      <c r="C96" s="24">
        <v>-3.4081578000000001E-2</v>
      </c>
      <c r="D96" s="24">
        <v>1.3477087E-2</v>
      </c>
      <c r="E96" s="24">
        <v>1.9267797E-3</v>
      </c>
      <c r="F96" s="24">
        <v>-3.3119499999999996E-2</v>
      </c>
      <c r="G96" s="24">
        <v>-3.3546627000000002E-2</v>
      </c>
      <c r="H96" s="24">
        <v>4.5285343999999998E-2</v>
      </c>
      <c r="I96" s="24">
        <v>-9.6400380000000008E-2</v>
      </c>
      <c r="J96" s="24">
        <v>-5.4161429999999997E-2</v>
      </c>
      <c r="K96" s="24">
        <v>5.2853819999999999E-3</v>
      </c>
      <c r="L96" s="24">
        <v>-3.3772706999999999E-2</v>
      </c>
      <c r="M96" s="24">
        <v>-4.4113340000000001E-2</v>
      </c>
      <c r="N96" s="24">
        <v>1.1548042000000001E-2</v>
      </c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x14ac:dyDescent="0.35">
      <c r="A97" s="2">
        <v>44610</v>
      </c>
      <c r="B97" s="24">
        <v>-2.208835E-2</v>
      </c>
      <c r="C97" s="24">
        <v>2.3037553000000002E-2</v>
      </c>
      <c r="D97" s="24">
        <v>3.9894580000000004E-3</v>
      </c>
      <c r="E97" s="24">
        <v>-2.8340100999999999E-2</v>
      </c>
      <c r="F97" s="24">
        <v>-1.8207014000000001E-2</v>
      </c>
      <c r="G97" s="24">
        <v>-3.0898870000000002E-2</v>
      </c>
      <c r="H97" s="24">
        <v>1.6913891E-2</v>
      </c>
      <c r="I97" s="24">
        <v>-2.8945922999999998E-2</v>
      </c>
      <c r="J97" s="24">
        <v>-8.5620283999999994E-3</v>
      </c>
      <c r="K97" s="24">
        <v>-1.3932765E-2</v>
      </c>
      <c r="L97" s="24">
        <v>-4.1133759999999998E-2</v>
      </c>
      <c r="M97" s="24">
        <v>-6.6068889999999991E-2</v>
      </c>
      <c r="N97" s="24">
        <v>-8.6392759999999996E-3</v>
      </c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x14ac:dyDescent="0.35">
      <c r="A98" s="2">
        <v>44641</v>
      </c>
      <c r="B98" s="24">
        <v>5.1148056999999997E-2</v>
      </c>
      <c r="C98" s="24">
        <v>7.1309446999999998E-2</v>
      </c>
      <c r="D98" s="24">
        <v>6.5165520000000005E-2</v>
      </c>
      <c r="E98" s="24">
        <v>-8.8461510000000007E-2</v>
      </c>
      <c r="F98" s="24">
        <v>-2.1687925E-2</v>
      </c>
      <c r="G98" s="24">
        <v>5.7971479999999994E-3</v>
      </c>
      <c r="H98" s="24">
        <v>-2.6845694E-2</v>
      </c>
      <c r="I98" s="24">
        <v>2.6364326E-2</v>
      </c>
      <c r="J98" s="24">
        <v>2.6542544000000001E-2</v>
      </c>
      <c r="K98" s="24">
        <v>-7.4913320000000005E-2</v>
      </c>
      <c r="L98" s="24">
        <v>-5.8790864999999998E-2</v>
      </c>
      <c r="M98" s="24">
        <v>-2.7791858000000003E-3</v>
      </c>
      <c r="N98" s="24">
        <v>-0.10831004</v>
      </c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x14ac:dyDescent="0.35">
      <c r="A99" s="2">
        <v>44672</v>
      </c>
      <c r="B99" s="24">
        <v>-6.7661165999999995E-2</v>
      </c>
      <c r="C99" s="24">
        <v>2.2966146E-2</v>
      </c>
      <c r="D99" s="24">
        <v>-1.8900752E-2</v>
      </c>
      <c r="E99" s="24">
        <v>-2.8129458E-2</v>
      </c>
      <c r="F99" s="24">
        <v>-7.1967840000000005E-2</v>
      </c>
      <c r="G99" s="24">
        <v>-1.2556612E-2</v>
      </c>
      <c r="H99" s="24">
        <v>1.1394382000000002E-2</v>
      </c>
      <c r="I99" s="24">
        <v>-4.5503855000000003E-2</v>
      </c>
      <c r="J99" s="24">
        <v>-1.4244258000000001E-2</v>
      </c>
      <c r="K99" s="24">
        <v>-1.4408826999999999E-3</v>
      </c>
      <c r="L99" s="24">
        <v>-3.4360647000000001E-2</v>
      </c>
      <c r="M99" s="24">
        <v>-2.5335670000000001E-2</v>
      </c>
      <c r="N99" s="24">
        <v>8.3769559999999996E-3</v>
      </c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x14ac:dyDescent="0.35">
      <c r="A100" s="2">
        <v>44701</v>
      </c>
      <c r="B100" s="24">
        <v>-9.6571450000000003E-2</v>
      </c>
      <c r="C100" s="24">
        <v>-8.5235889999999995E-2</v>
      </c>
      <c r="D100" s="24">
        <v>-8.2129300000000002E-2</v>
      </c>
      <c r="E100" s="24">
        <v>-5.6078140000000005E-2</v>
      </c>
      <c r="F100" s="24">
        <v>-1.1770844000000001E-2</v>
      </c>
      <c r="G100" s="24">
        <v>-8.9639430000000006E-2</v>
      </c>
      <c r="H100" s="24">
        <v>-4.8917827999999997E-2</v>
      </c>
      <c r="I100" s="24">
        <v>-0.13607663</v>
      </c>
      <c r="J100" s="24">
        <v>-0.11055559000000001</v>
      </c>
      <c r="K100" s="24">
        <v>-5.6854305000000001E-2</v>
      </c>
      <c r="L100" s="24">
        <v>-9.1953989999999999E-2</v>
      </c>
      <c r="M100" s="24">
        <v>-9.3319470000000002E-2</v>
      </c>
      <c r="N100" s="24">
        <v>-4.6036663000000005E-2</v>
      </c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x14ac:dyDescent="0.35">
      <c r="A101" s="2">
        <v>44733</v>
      </c>
      <c r="B101" s="24">
        <v>-5.4179725999999997E-2</v>
      </c>
      <c r="C101" s="24">
        <v>-8.4922730000000002E-2</v>
      </c>
      <c r="D101" s="24">
        <v>-4.7634363000000006E-2</v>
      </c>
      <c r="E101" s="24">
        <v>-5.5220184000000005E-2</v>
      </c>
      <c r="F101" s="24">
        <v>-6.9634020000000005E-2</v>
      </c>
      <c r="G101" s="24">
        <v>-6.9557133000000007E-2</v>
      </c>
      <c r="H101" s="24">
        <v>-4.9255966999999998E-2</v>
      </c>
      <c r="I101" s="24">
        <v>-2.4499833999999998E-2</v>
      </c>
      <c r="J101" s="24">
        <v>-3.3219814E-2</v>
      </c>
      <c r="K101" s="24">
        <v>-5.0519524000000003E-2</v>
      </c>
      <c r="L101" s="24">
        <v>-5.0209703000000001E-2</v>
      </c>
      <c r="M101" s="24">
        <v>-7.2238090000000005E-2</v>
      </c>
      <c r="N101" s="24">
        <v>-7.4394463999999993E-2</v>
      </c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x14ac:dyDescent="0.35">
      <c r="A102" s="2">
        <v>44763</v>
      </c>
      <c r="B102" s="24">
        <v>5.1308154999999994E-2</v>
      </c>
      <c r="C102" s="24">
        <v>2.0647644999999999E-2</v>
      </c>
      <c r="D102" s="24">
        <v>-7.8878400000000001E-3</v>
      </c>
      <c r="E102" s="24">
        <v>-3.6804676000000001E-2</v>
      </c>
      <c r="F102" s="24">
        <v>3.6692022999999997E-2</v>
      </c>
      <c r="G102" s="24">
        <v>6.529378999999999E-2</v>
      </c>
      <c r="H102" s="24">
        <v>-8.0134270000000001E-3</v>
      </c>
      <c r="I102" s="24">
        <v>9.3567730000000002E-2</v>
      </c>
      <c r="J102" s="24">
        <v>6.3241480000000003E-2</v>
      </c>
      <c r="K102" s="24">
        <v>1.5262127E-2</v>
      </c>
      <c r="L102" s="24">
        <v>6.6647529999999996E-2</v>
      </c>
      <c r="M102" s="24">
        <v>3.6565899999999998E-2</v>
      </c>
      <c r="N102" s="24">
        <v>-6.4242419999999995E-2</v>
      </c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x14ac:dyDescent="0.35">
      <c r="A103" s="2">
        <v>44792</v>
      </c>
      <c r="B103" s="24">
        <v>2.6922583999999999E-2</v>
      </c>
      <c r="C103" s="24">
        <v>3.9080499999999997E-2</v>
      </c>
      <c r="D103" s="24">
        <v>4.6230792999999999E-2</v>
      </c>
      <c r="E103" s="24">
        <v>-1.7368792999999999E-3</v>
      </c>
      <c r="F103" s="24">
        <v>2.0172477000000001E-2</v>
      </c>
      <c r="G103" s="24">
        <v>9.6653699999999995E-3</v>
      </c>
      <c r="H103" s="24">
        <v>2.8273343999999999E-2</v>
      </c>
      <c r="I103" s="24">
        <v>5.0361036999999997E-2</v>
      </c>
      <c r="J103" s="24">
        <v>5.8552145999999999E-2</v>
      </c>
      <c r="K103" s="24">
        <v>2.908492E-2</v>
      </c>
      <c r="L103" s="24">
        <v>-1.1850297000000001E-2</v>
      </c>
      <c r="M103" s="24">
        <v>-1.0736167000000001E-2</v>
      </c>
      <c r="N103" s="24">
        <v>4.7927499999999998E-2</v>
      </c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x14ac:dyDescent="0.35">
      <c r="A104" s="2">
        <v>44825</v>
      </c>
      <c r="B104" s="24">
        <v>-7.3741380000000009E-2</v>
      </c>
      <c r="C104" s="24">
        <v>-8.0973439999999994E-2</v>
      </c>
      <c r="D104" s="24">
        <v>-7.7962279999999995E-2</v>
      </c>
      <c r="E104" s="24">
        <v>-8.9169140000000008E-2</v>
      </c>
      <c r="F104" s="24">
        <v>-8.916056E-2</v>
      </c>
      <c r="G104" s="24">
        <v>-9.1991660000000003E-2</v>
      </c>
      <c r="H104" s="24">
        <v>-8.9689019999999994E-2</v>
      </c>
      <c r="I104" s="24">
        <v>-0.12015974</v>
      </c>
      <c r="J104" s="24">
        <v>-0.10230594999999999</v>
      </c>
      <c r="K104" s="24">
        <v>-0.1025722</v>
      </c>
      <c r="L104" s="24">
        <v>-0.11638051000000001</v>
      </c>
      <c r="M104" s="24">
        <v>-0.12961239000000002</v>
      </c>
      <c r="N104" s="24">
        <v>-5.4800152999999997E-2</v>
      </c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x14ac:dyDescent="0.35">
      <c r="A105" s="2">
        <v>44855</v>
      </c>
      <c r="B105" s="24">
        <v>-6.3502492999999993E-2</v>
      </c>
      <c r="C105" s="24">
        <v>-1.7814218999999999E-2</v>
      </c>
      <c r="D105" s="24">
        <v>-2.4420022999999999E-2</v>
      </c>
      <c r="E105" s="24">
        <v>1.193893E-2</v>
      </c>
      <c r="F105" s="24">
        <v>-2.7234972000000003E-2</v>
      </c>
      <c r="G105" s="24">
        <v>-1.8256604999999999E-2</v>
      </c>
      <c r="H105" s="24">
        <v>-2.2294103999999999E-2</v>
      </c>
      <c r="I105" s="24">
        <v>-2.8706372000000001E-2</v>
      </c>
      <c r="J105" s="24">
        <v>-8.2143544999999998E-3</v>
      </c>
      <c r="K105" s="24">
        <v>1.9815922E-2</v>
      </c>
      <c r="L105" s="24">
        <v>-8.0196859999999998E-3</v>
      </c>
      <c r="M105" s="24">
        <v>8.9063644000000001E-3</v>
      </c>
      <c r="N105" s="24">
        <v>3.4873485999999997E-3</v>
      </c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x14ac:dyDescent="0.35">
      <c r="A106" s="2">
        <v>44886</v>
      </c>
      <c r="B106" s="24">
        <v>0.11886287</v>
      </c>
      <c r="C106" s="24">
        <v>0.10343146</v>
      </c>
      <c r="D106" s="24">
        <v>7.5093864999999996E-2</v>
      </c>
      <c r="E106" s="24">
        <v>0.16422844</v>
      </c>
      <c r="F106" s="24">
        <v>9.1499210000000011E-2</v>
      </c>
      <c r="G106" s="24">
        <v>0.1016239</v>
      </c>
      <c r="H106" s="24">
        <v>0.10812796000000001</v>
      </c>
      <c r="I106" s="24">
        <v>2.3491382999999998E-2</v>
      </c>
      <c r="J106" s="24">
        <v>5.4235934999999999E-2</v>
      </c>
      <c r="K106" s="24">
        <v>0.13150597</v>
      </c>
      <c r="L106" s="24">
        <v>0.16511202</v>
      </c>
      <c r="M106" s="24">
        <v>0.14194918000000001</v>
      </c>
      <c r="N106" s="24">
        <v>0.16941786</v>
      </c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x14ac:dyDescent="0.35">
      <c r="A107" s="2">
        <v>44916</v>
      </c>
      <c r="B107" s="24">
        <v>4.1400433E-2</v>
      </c>
      <c r="C107" s="24">
        <v>1.3643742E-2</v>
      </c>
      <c r="D107" s="24">
        <v>-2.8834342999999998E-2</v>
      </c>
      <c r="E107" s="24">
        <v>1.0473250999999999E-2</v>
      </c>
      <c r="F107" s="24">
        <v>2.2527814E-2</v>
      </c>
      <c r="G107" s="24">
        <v>5.9438944000000001E-3</v>
      </c>
      <c r="H107" s="24">
        <v>4.0901065E-2</v>
      </c>
      <c r="I107" s="24">
        <v>-2.7583837999999999E-2</v>
      </c>
      <c r="J107" s="24">
        <v>-1.6637026999999999E-2</v>
      </c>
      <c r="K107" s="24">
        <v>2.5150060000000002E-2</v>
      </c>
      <c r="L107" s="24">
        <v>2.2859335000000001E-2</v>
      </c>
      <c r="M107" s="24">
        <v>1.7845272999999998E-2</v>
      </c>
      <c r="N107" s="24">
        <v>2.0692824999999998E-2</v>
      </c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x14ac:dyDescent="0.35">
      <c r="A108" s="2">
        <v>44946</v>
      </c>
      <c r="B108" s="24">
        <v>7.9542994000000006E-2</v>
      </c>
      <c r="C108" s="24">
        <v>8.8392850000000009E-2</v>
      </c>
      <c r="D108" s="24">
        <v>6.7193626999999992E-2</v>
      </c>
      <c r="E108" s="24">
        <v>0.11436594</v>
      </c>
      <c r="F108" s="24">
        <v>5.392599E-2</v>
      </c>
      <c r="G108" s="24">
        <v>6.1923859999999997E-2</v>
      </c>
      <c r="H108" s="24">
        <v>6.0194134999999996E-2</v>
      </c>
      <c r="I108" s="24">
        <v>3.3753871999999997E-2</v>
      </c>
      <c r="J108" s="24">
        <v>2.4985075000000002E-2</v>
      </c>
      <c r="K108" s="24">
        <v>9.5466850000000006E-2</v>
      </c>
      <c r="L108" s="24">
        <v>9.7138404999999997E-2</v>
      </c>
      <c r="M108" s="24">
        <v>8.4020730000000002E-2</v>
      </c>
      <c r="N108" s="24">
        <v>9.0875509999999993E-2</v>
      </c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x14ac:dyDescent="0.35">
      <c r="A109" s="2">
        <v>44978</v>
      </c>
      <c r="B109" s="24">
        <v>-5.1750660000000004E-2</v>
      </c>
      <c r="C109" s="24">
        <v>-3.7735879999999999E-2</v>
      </c>
      <c r="D109" s="24">
        <v>-2.1082580000000004E-2</v>
      </c>
      <c r="E109" s="24">
        <v>-3.2408833999999997E-3</v>
      </c>
      <c r="F109" s="24">
        <v>-2.6447712999999998E-2</v>
      </c>
      <c r="G109" s="24">
        <v>-8.902788E-3</v>
      </c>
      <c r="H109" s="24">
        <v>9.1588500000000007E-4</v>
      </c>
      <c r="I109" s="24">
        <v>4.0151476999999998E-2</v>
      </c>
      <c r="J109" s="24">
        <v>8.1084967000000004E-3</v>
      </c>
      <c r="K109" s="24">
        <v>1.2332081999999999E-2</v>
      </c>
      <c r="L109" s="24">
        <v>-1.4357567E-2</v>
      </c>
      <c r="M109" s="24">
        <v>0</v>
      </c>
      <c r="N109" s="24">
        <v>2.2350192000000001E-2</v>
      </c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x14ac:dyDescent="0.35">
      <c r="A110" s="2">
        <v>45006</v>
      </c>
      <c r="B110" s="24">
        <v>-2.8200447999999999E-2</v>
      </c>
      <c r="C110" s="24">
        <v>-5.1150855999999995E-2</v>
      </c>
      <c r="D110" s="24">
        <v>-4.1618165999999998E-2</v>
      </c>
      <c r="E110" s="24">
        <v>-7.2254540000000001E-3</v>
      </c>
      <c r="F110" s="24">
        <v>9.765625E-3</v>
      </c>
      <c r="G110" s="24">
        <v>-1.9312859000000002E-2</v>
      </c>
      <c r="H110" s="24">
        <v>-3.8426339999999996E-2</v>
      </c>
      <c r="I110" s="24">
        <v>5.7099580000000004E-2</v>
      </c>
      <c r="J110" s="24">
        <v>3.4095049999999997E-3</v>
      </c>
      <c r="K110" s="24">
        <v>-9.4747543000000007E-3</v>
      </c>
      <c r="L110" s="24">
        <v>-1.1410475E-2</v>
      </c>
      <c r="M110" s="24">
        <v>-3.0721544999999999E-2</v>
      </c>
      <c r="N110" s="24">
        <v>-1.9542873000000002E-2</v>
      </c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x14ac:dyDescent="0.35">
      <c r="A111" s="2">
        <v>45037</v>
      </c>
      <c r="B111" s="24">
        <v>2.2964478E-2</v>
      </c>
      <c r="C111" s="24">
        <v>4.4474362999999996E-2</v>
      </c>
      <c r="D111" s="24">
        <v>6.9541454000000003E-2</v>
      </c>
      <c r="E111" s="24">
        <v>6.4774393999999999E-2</v>
      </c>
      <c r="F111" s="24">
        <v>3.7629724000000003E-2</v>
      </c>
      <c r="G111" s="24">
        <v>0.10144270000000001</v>
      </c>
      <c r="H111" s="24">
        <v>7.1677803999999998E-2</v>
      </c>
      <c r="I111" s="24">
        <v>2.020359E-2</v>
      </c>
      <c r="J111" s="24">
        <v>3.3315777999999997E-2</v>
      </c>
      <c r="K111" s="24">
        <v>8.5269209999999998E-2</v>
      </c>
      <c r="L111" s="24">
        <v>3.6100150000000004E-2</v>
      </c>
      <c r="M111" s="24">
        <v>6.2227370000000004E-2</v>
      </c>
      <c r="N111" s="24">
        <v>7.060814E-2</v>
      </c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x14ac:dyDescent="0.35">
      <c r="A112" s="2">
        <v>45065</v>
      </c>
      <c r="B112" s="24">
        <v>3.8979529999999998E-2</v>
      </c>
      <c r="C112" s="24">
        <v>-1.0752678E-2</v>
      </c>
      <c r="D112" s="24">
        <v>-1.2492954999999998E-2</v>
      </c>
      <c r="E112" s="24">
        <v>2.0505190000000002E-3</v>
      </c>
      <c r="F112" s="24">
        <v>3.3045292000000004E-2</v>
      </c>
      <c r="G112" s="24">
        <v>3.1185150000000001E-3</v>
      </c>
      <c r="H112" s="24">
        <v>-1.3909458999999999E-2</v>
      </c>
      <c r="I112" s="24">
        <v>6.2853456000000002E-2</v>
      </c>
      <c r="J112" s="24">
        <v>1.5574932E-2</v>
      </c>
      <c r="K112" s="24">
        <v>-1.6368628E-2</v>
      </c>
      <c r="L112" s="24">
        <v>1.5643476999999999E-2</v>
      </c>
      <c r="M112" s="24">
        <v>-6.5698624000000002E-3</v>
      </c>
      <c r="N112" s="24">
        <v>-1.4515637999999999E-2</v>
      </c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x14ac:dyDescent="0.35">
      <c r="A113" s="2">
        <v>45098</v>
      </c>
      <c r="B113" s="24">
        <v>-3.9091647E-2</v>
      </c>
      <c r="C113" s="24">
        <v>2.820456E-2</v>
      </c>
      <c r="D113" s="24">
        <v>-2.3568273000000002E-3</v>
      </c>
      <c r="E113" s="24">
        <v>-5.1310660000000001E-3</v>
      </c>
      <c r="F113" s="24">
        <v>4.0264964E-2</v>
      </c>
      <c r="G113" s="24">
        <v>-3.3281921999999999E-2</v>
      </c>
      <c r="H113" s="24">
        <v>-5.9682727E-3</v>
      </c>
      <c r="I113" s="24">
        <v>7.692802E-2</v>
      </c>
      <c r="J113" s="24">
        <v>4.2858720000000003E-2</v>
      </c>
      <c r="K113" s="24">
        <v>-1.0099351000000001E-2</v>
      </c>
      <c r="L113" s="24">
        <v>-3.4276247E-3</v>
      </c>
      <c r="M113" s="24">
        <v>-3.5271466000000001E-2</v>
      </c>
      <c r="N113" s="24">
        <v>2.6833653000000002E-2</v>
      </c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x14ac:dyDescent="0.35">
      <c r="A114" s="2">
        <v>45128</v>
      </c>
      <c r="B114" s="24">
        <v>1.3936162E-2</v>
      </c>
      <c r="C114" s="24">
        <v>-3.0159354000000001E-3</v>
      </c>
      <c r="D114" s="24">
        <v>4.2212486E-2</v>
      </c>
      <c r="E114" s="24">
        <v>2.5008797999999999E-2</v>
      </c>
      <c r="F114" s="24">
        <v>-8.8931319999999998E-3</v>
      </c>
      <c r="G114" s="24">
        <v>3.9456366999999999E-2</v>
      </c>
      <c r="H114" s="24">
        <v>2.4315119E-2</v>
      </c>
      <c r="I114" s="24">
        <v>3.7938713999999998E-2</v>
      </c>
      <c r="J114" s="24">
        <v>3.9637684999999999E-2</v>
      </c>
      <c r="K114" s="24">
        <v>4.2570113999999999E-2</v>
      </c>
      <c r="L114" s="24">
        <v>4.4991730000000001E-2</v>
      </c>
      <c r="M114" s="24">
        <v>2.2279382E-2</v>
      </c>
      <c r="N114" s="24">
        <v>5.3035140000000001E-2</v>
      </c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x14ac:dyDescent="0.35">
      <c r="A115" s="2">
        <v>45159</v>
      </c>
      <c r="B115" s="24">
        <v>-8.4300520000000004E-2</v>
      </c>
      <c r="C115" s="24">
        <v>-7.044077E-2</v>
      </c>
      <c r="D115" s="24">
        <v>-5.9217873000000004E-2</v>
      </c>
      <c r="E115" s="24">
        <v>-5.1890016000000004E-2</v>
      </c>
      <c r="F115" s="24">
        <v>-4.8710165E-2</v>
      </c>
      <c r="G115" s="24">
        <v>-4.2598010000000006E-2</v>
      </c>
      <c r="H115" s="24">
        <v>-5.1983175E-2</v>
      </c>
      <c r="I115" s="24">
        <v>-3.1227589E-2</v>
      </c>
      <c r="J115" s="24">
        <v>-2.8395772E-2</v>
      </c>
      <c r="K115" s="24">
        <v>-5.2498099999999999E-2</v>
      </c>
      <c r="L115" s="24">
        <v>-6.6847982E-2</v>
      </c>
      <c r="M115" s="24">
        <v>-8.563852000000001E-2</v>
      </c>
      <c r="N115" s="24">
        <v>-4.7026690000000003E-2</v>
      </c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x14ac:dyDescent="0.35">
      <c r="A116" s="2">
        <v>45190</v>
      </c>
      <c r="B116" s="24">
        <v>-1.7344952E-2</v>
      </c>
      <c r="C116" s="24">
        <v>-7.4384209999999997E-3</v>
      </c>
      <c r="D116" s="24">
        <v>9.7980500000000009E-3</v>
      </c>
      <c r="E116" s="24">
        <v>-3.2982945E-2</v>
      </c>
      <c r="F116" s="24">
        <v>3.8066387E-2</v>
      </c>
      <c r="G116" s="24">
        <v>-1.5638828E-2</v>
      </c>
      <c r="H116" s="24">
        <v>1.5847802000000001E-2</v>
      </c>
      <c r="I116" s="24">
        <v>-1.5177131E-2</v>
      </c>
      <c r="J116" s="24">
        <v>-1.458919E-2</v>
      </c>
      <c r="K116" s="24">
        <v>-3.2387554999999998E-2</v>
      </c>
      <c r="L116" s="24">
        <v>-6.7022860000000004E-2</v>
      </c>
      <c r="M116" s="24">
        <v>-7.180929E-3</v>
      </c>
      <c r="N116" s="24">
        <v>-6.6857339999999996E-3</v>
      </c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x14ac:dyDescent="0.35">
      <c r="A117" s="2">
        <v>45219</v>
      </c>
      <c r="B117" s="24">
        <v>-5.1595329999999995E-2</v>
      </c>
      <c r="C117" s="24">
        <v>-3.3723711999999996E-2</v>
      </c>
      <c r="D117" s="24">
        <v>-4.4986724999999998E-2</v>
      </c>
      <c r="E117" s="24">
        <v>-5.5847049999999995E-2</v>
      </c>
      <c r="F117" s="24">
        <v>-5.6790532999999997E-2</v>
      </c>
      <c r="G117" s="24">
        <v>-5.2584410000000005E-2</v>
      </c>
      <c r="H117" s="24">
        <v>-3.8689554000000001E-2</v>
      </c>
      <c r="I117" s="24">
        <v>-9.1096760000000006E-3</v>
      </c>
      <c r="J117" s="24">
        <v>-2.3644506999999999E-2</v>
      </c>
      <c r="K117" s="24">
        <v>-5.7814655000000006E-2</v>
      </c>
      <c r="L117" s="24">
        <v>-4.8151970000000002E-2</v>
      </c>
      <c r="M117" s="24">
        <v>-2.2468506999999999E-2</v>
      </c>
      <c r="N117" s="24">
        <v>-5.1602599999999998E-2</v>
      </c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x14ac:dyDescent="0.35">
      <c r="A118" s="2">
        <v>45251</v>
      </c>
      <c r="B118" s="24">
        <v>6.6809773000000003E-2</v>
      </c>
      <c r="C118" s="24">
        <v>8.2404249999999998E-2</v>
      </c>
      <c r="D118" s="24">
        <v>5.9113382999999999E-2</v>
      </c>
      <c r="E118" s="24">
        <v>0.10758233</v>
      </c>
      <c r="F118" s="24">
        <v>6.8295120000000001E-2</v>
      </c>
      <c r="G118" s="24">
        <v>5.6920169999999999E-2</v>
      </c>
      <c r="H118" s="24">
        <v>4.5115231999999998E-2</v>
      </c>
      <c r="I118" s="24">
        <v>9.5516089999999998E-2</v>
      </c>
      <c r="J118" s="24">
        <v>7.6165079999999996E-2</v>
      </c>
      <c r="K118" s="24">
        <v>9.4538930000000007E-2</v>
      </c>
      <c r="L118" s="24">
        <v>0.14246643000000001</v>
      </c>
      <c r="M118" s="24">
        <v>0.12027717</v>
      </c>
      <c r="N118" s="24">
        <v>9.7330210000000014E-2</v>
      </c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x14ac:dyDescent="0.35">
      <c r="A119" s="2">
        <v>45281</v>
      </c>
      <c r="B119" s="24">
        <v>8.9762210000000009E-2</v>
      </c>
      <c r="C119" s="24">
        <v>0.10515857000000001</v>
      </c>
      <c r="D119" s="24">
        <v>6.5485000000000002E-2</v>
      </c>
      <c r="E119" s="24">
        <v>5.8836820000000005E-2</v>
      </c>
      <c r="F119" s="24">
        <v>3.0915022E-2</v>
      </c>
      <c r="G119" s="24">
        <v>5.8994412000000003E-2</v>
      </c>
      <c r="H119" s="24">
        <v>4.2401790000000002E-2</v>
      </c>
      <c r="I119" s="24">
        <v>5.1766157E-2</v>
      </c>
      <c r="J119" s="24">
        <v>4.7101616999999998E-2</v>
      </c>
      <c r="K119" s="24">
        <v>5.7810664000000005E-2</v>
      </c>
      <c r="L119" s="24">
        <v>7.6756119999999997E-2</v>
      </c>
      <c r="M119" s="24">
        <v>0.12434136999999999</v>
      </c>
      <c r="N119" s="24">
        <v>5.1286935999999998E-2</v>
      </c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x14ac:dyDescent="0.35">
      <c r="A120" s="2">
        <v>45310</v>
      </c>
      <c r="B120" s="24">
        <v>-3.2474340000000004E-2</v>
      </c>
      <c r="C120" s="24">
        <v>-3.7220836E-2</v>
      </c>
      <c r="D120" s="24">
        <v>-1.9358397E-3</v>
      </c>
      <c r="E120" s="24">
        <v>-2.2004128000000001E-2</v>
      </c>
      <c r="F120" s="24">
        <v>4.3877720000000002E-2</v>
      </c>
      <c r="G120" s="24">
        <v>-1.3293981999999999E-2</v>
      </c>
      <c r="H120" s="24">
        <v>-2.5906801E-2</v>
      </c>
      <c r="I120" s="24">
        <v>3.3427954000000003E-2</v>
      </c>
      <c r="J120" s="24">
        <v>2.0583868000000002E-2</v>
      </c>
      <c r="K120" s="24">
        <v>-3.2159328000000001E-2</v>
      </c>
      <c r="L120" s="24">
        <v>-1.8141149999999998E-2</v>
      </c>
      <c r="M120" s="24">
        <v>-6.7366839999999997E-2</v>
      </c>
      <c r="N120" s="24">
        <v>-6.8228840000000004E-3</v>
      </c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x14ac:dyDescent="0.35">
      <c r="A121" s="2">
        <v>45343</v>
      </c>
      <c r="B121" s="24">
        <v>-3.3131182000000002E-2</v>
      </c>
      <c r="C121" s="24">
        <v>1.5034318E-2</v>
      </c>
      <c r="D121" s="24">
        <v>1.1083483999999999E-2</v>
      </c>
      <c r="E121" s="24">
        <v>2.8383492999999999E-2</v>
      </c>
      <c r="F121" s="24">
        <v>2.8679847999999997E-2</v>
      </c>
      <c r="G121" s="24">
        <v>1.2189984000000001E-2</v>
      </c>
      <c r="H121" s="24">
        <v>2.1589518000000002E-2</v>
      </c>
      <c r="I121" s="24">
        <v>1.0518073999999999E-2</v>
      </c>
      <c r="J121" s="24">
        <v>3.0636549999999999E-2</v>
      </c>
      <c r="K121" s="24">
        <v>4.7204613999999999E-2</v>
      </c>
      <c r="L121" s="24">
        <v>7.0939779999999994E-2</v>
      </c>
      <c r="M121" s="24">
        <v>6.8937062999999993E-2</v>
      </c>
      <c r="N121" s="24">
        <v>4.8685790000000007E-2</v>
      </c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x14ac:dyDescent="0.35">
      <c r="A122" s="2">
        <v>45372</v>
      </c>
      <c r="B122" s="24">
        <v>1.0078311E-2</v>
      </c>
      <c r="C122" s="24">
        <v>3.3432126E-2</v>
      </c>
      <c r="D122" s="24">
        <v>4.6862124999999998E-2</v>
      </c>
      <c r="E122" s="24">
        <v>5.3853989999999997E-2</v>
      </c>
      <c r="F122" s="24">
        <v>5.9595822999999999E-2</v>
      </c>
      <c r="G122" s="24">
        <v>5.0706863000000001E-3</v>
      </c>
      <c r="H122" s="24">
        <v>3.7672281000000002E-2</v>
      </c>
      <c r="I122" s="24">
        <v>4.8975587000000001E-2</v>
      </c>
      <c r="J122" s="24">
        <v>5.3546069999999994E-2</v>
      </c>
      <c r="K122" s="24">
        <v>4.1551229999999995E-2</v>
      </c>
      <c r="L122" s="24">
        <v>5.1118135000000002E-2</v>
      </c>
      <c r="M122" s="24">
        <v>5.5498599999999995E-2</v>
      </c>
      <c r="N122" s="50">
        <v>6.7217349999999995E-2</v>
      </c>
    </row>
    <row r="123" spans="1:26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</row>
    <row r="124" spans="1:26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 spans="1:26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</row>
    <row r="126" spans="1:26" x14ac:dyDescent="0.35">
      <c r="A126" t="s">
        <v>782</v>
      </c>
      <c r="B126" s="24" cm="1">
        <f t="array" ref="B126">MAX(_xlfn._xlws.FILTER(B1:B122, ISNUMBER(B1:B122)))</f>
        <v>0.19733501000000001</v>
      </c>
      <c r="C126" s="24" cm="1">
        <f t="array" ref="C126">MAX(_xlfn._xlws.FILTER(C1:C122, ISNUMBER(C1:C122)))</f>
        <v>0.15844547</v>
      </c>
      <c r="D126" s="24" cm="1">
        <f t="array" ref="D126">MAX(_xlfn._xlws.FILTER(D1:D122, ISNUMBER(D1:D122)))</f>
        <v>0.19882727</v>
      </c>
      <c r="E126" s="24" cm="1">
        <f t="array" ref="E126">MAX(_xlfn._xlws.FILTER(E1:E122, ISNUMBER(E1:E122)))</f>
        <v>0.21479451999999999</v>
      </c>
      <c r="F126" s="24" cm="1">
        <f t="array" ref="F126">MAX(_xlfn._xlws.FILTER(F1:F122, ISNUMBER(F1:F122)))</f>
        <v>9.8869440000000003E-2</v>
      </c>
      <c r="G126" s="24" cm="1">
        <f t="array" ref="G126">MAX(_xlfn._xlws.FILTER(G1:G122, ISNUMBER(G1:G122)))</f>
        <v>0.16410744000000002</v>
      </c>
      <c r="H126" s="24" cm="1">
        <f t="array" ref="H126">MAX(_xlfn._xlws.FILTER(H1:H122, ISNUMBER(H1:H122)))</f>
        <v>0.17996013999999999</v>
      </c>
      <c r="I126" s="24" cm="1">
        <f t="array" ref="I126">MAX(_xlfn._xlws.FILTER(I1:I122, ISNUMBER(I1:I122)))</f>
        <v>0.20284689</v>
      </c>
      <c r="J126" s="24" cm="1">
        <f t="array" ref="J126">MAX(_xlfn._xlws.FILTER(J1:J122, ISNUMBER(J1:J122)))</f>
        <v>0.19335663</v>
      </c>
      <c r="K126" s="24" cm="1">
        <f t="array" ref="K126">MAX(_xlfn._xlws.FILTER(K1:K122, ISNUMBER(K1:K122)))</f>
        <v>0.13727415000000001</v>
      </c>
      <c r="L126" s="24" cm="1">
        <f t="array" ref="L126">MAX(_xlfn._xlws.FILTER(L1:L122, ISNUMBER(L1:L122)))</f>
        <v>0.19884850000000001</v>
      </c>
      <c r="M126" s="24" cm="1">
        <f t="array" ref="M126">MAX(_xlfn._xlws.FILTER(M1:M122, ISNUMBER(M1:M122)))</f>
        <v>0.16339577</v>
      </c>
      <c r="N126" s="24" cm="1">
        <f t="array" ref="N126">MAX(_xlfn._xlws.FILTER(N1:N122, ISNUMBER(N1:N122)))</f>
        <v>0.16941786</v>
      </c>
    </row>
    <row r="127" spans="1:26" x14ac:dyDescent="0.35">
      <c r="A127" t="s">
        <v>85</v>
      </c>
      <c r="B127" s="24" cm="1">
        <f t="array" ref="B127">MIN(_xlfn._xlws.FILTER(B2:B122, ISNUMBER(B2:B122)))</f>
        <v>-0.31648652999999999</v>
      </c>
      <c r="C127" s="24" cm="1">
        <f t="array" ref="C127">MIN(_xlfn._xlws.FILTER(C2:C122, ISNUMBER(C2:C122)))</f>
        <v>-0.41160946000000004</v>
      </c>
      <c r="D127" s="24" cm="1">
        <f t="array" ref="D127">MIN(_xlfn._xlws.FILTER(D2:D122, ISNUMBER(D2:D122)))</f>
        <v>-0.38752853000000004</v>
      </c>
      <c r="E127" s="24" cm="1">
        <f t="array" ref="E127">MIN(_xlfn._xlws.FILTER(E2:E122, ISNUMBER(E2:E122)))</f>
        <v>-0.37371307000000004</v>
      </c>
      <c r="F127" s="24" cm="1">
        <f t="array" ref="F127">MIN(_xlfn._xlws.FILTER(F2:F122, ISNUMBER(F2:F122)))</f>
        <v>-0.20342576999999998</v>
      </c>
      <c r="G127" s="24" cm="1">
        <f t="array" ref="G127">MIN(_xlfn._xlws.FILTER(G2:G122, ISNUMBER(G2:G122)))</f>
        <v>-0.25447171999999996</v>
      </c>
      <c r="H127" s="24" cm="1">
        <f t="array" ref="H127">MIN(_xlfn._xlws.FILTER(H2:H122, ISNUMBER(H2:H122)))</f>
        <v>-0.38654434000000004</v>
      </c>
      <c r="I127" s="24" cm="1">
        <f t="array" ref="I127">MIN(_xlfn._xlws.FILTER(I2:I122, ISNUMBER(I2:I122)))</f>
        <v>-0.25869633000000003</v>
      </c>
      <c r="J127" s="24" cm="1">
        <f t="array" ref="J127">MIN(_xlfn._xlws.FILTER(J2:J122, ISNUMBER(J2:J122)))</f>
        <v>-0.30968708</v>
      </c>
      <c r="K127" s="24" cm="1">
        <f t="array" ref="K127">MIN(_xlfn._xlws.FILTER(K2:K122, ISNUMBER(K2:K122)))</f>
        <v>-0.36210662999999998</v>
      </c>
      <c r="L127" s="24" cm="1">
        <f t="array" ref="L127">MIN(_xlfn._xlws.FILTER(L2:L122, ISNUMBER(L2:L122)))</f>
        <v>-0.33451225000000001</v>
      </c>
      <c r="M127" s="24" cm="1">
        <f t="array" ref="M127">MIN(_xlfn._xlws.FILTER(M2:M122, ISNUMBER(M2:M122)))</f>
        <v>-0.34772255000000002</v>
      </c>
      <c r="N127" s="24" cm="1">
        <f t="array" ref="N127">MIN(_xlfn._xlws.FILTER(N2:N122, ISNUMBER(N2:N122)))</f>
        <v>-0.37584119999999999</v>
      </c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9" spans="1:17" x14ac:dyDescent="0.35">
      <c r="A129" t="s">
        <v>87</v>
      </c>
      <c r="B129">
        <f>COUNTIF(B2:B122, "&lt;"&amp;Assumption!$E$50)</f>
        <v>16</v>
      </c>
      <c r="C129">
        <f>COUNTIF(C2:C122, "&lt;"&amp;Assumption!$E$50)</f>
        <v>13</v>
      </c>
      <c r="D129">
        <f>COUNTIF(D2:D122, "&lt;"&amp;Assumption!$E$50)</f>
        <v>15</v>
      </c>
      <c r="E129">
        <f>COUNTIF(E2:E122, "&lt;"&amp;Assumption!$E$50)</f>
        <v>16</v>
      </c>
      <c r="F129">
        <f>COUNTIF(F2:F122, "&lt;"&amp;Assumption!$E$50)</f>
        <v>13</v>
      </c>
      <c r="G129">
        <f>COUNTIF(G2:G122, "&lt;"&amp;Assumption!$E$50)</f>
        <v>11</v>
      </c>
      <c r="H129">
        <f>COUNTIF(H2:H122, "&lt;"&amp;Assumption!$E$50)</f>
        <v>12</v>
      </c>
      <c r="I129">
        <f>COUNTIF(I2:I122, "&lt;"&amp;Assumption!$E$50)</f>
        <v>10</v>
      </c>
      <c r="J129">
        <f>COUNTIF(J2:J122, "&lt;"&amp;Assumption!$E$50)</f>
        <v>8</v>
      </c>
      <c r="K129">
        <f>COUNTIF(K2:K122, "&lt;"&amp;Assumption!$E$50)</f>
        <v>14</v>
      </c>
      <c r="L129">
        <f>COUNTIF(L2:L122, "&lt;"&amp;Assumption!$E$50)</f>
        <v>13</v>
      </c>
      <c r="M129">
        <f>COUNTIF(M2:M122, "&lt;"&amp;Assumption!$E$50)</f>
        <v>15</v>
      </c>
      <c r="N129">
        <f>COUNTIF(N2:N122, "&lt;"&amp;Assumption!$E$50)</f>
        <v>22</v>
      </c>
    </row>
    <row r="130" spans="1:17" x14ac:dyDescent="0.35">
      <c r="A130" t="s">
        <v>86</v>
      </c>
      <c r="B130">
        <f t="shared" ref="B130:J130" si="0">COUNT(B1:B122)</f>
        <v>121</v>
      </c>
      <c r="C130">
        <f t="shared" si="0"/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ref="K130:N130" si="1">COUNT(K1:K122)</f>
        <v>121</v>
      </c>
      <c r="L130">
        <f t="shared" si="1"/>
        <v>121</v>
      </c>
      <c r="M130">
        <f t="shared" si="1"/>
        <v>121</v>
      </c>
      <c r="N130">
        <f t="shared" si="1"/>
        <v>121</v>
      </c>
    </row>
    <row r="132" spans="1:17" x14ac:dyDescent="0.35">
      <c r="A132" t="s">
        <v>88</v>
      </c>
      <c r="B132" s="9">
        <f t="shared" ref="B132:J132" si="2">B129/B130</f>
        <v>0.13223140495867769</v>
      </c>
      <c r="C132" s="9">
        <f t="shared" si="2"/>
        <v>0.10743801652892562</v>
      </c>
      <c r="D132" s="9">
        <f t="shared" si="2"/>
        <v>0.12396694214876033</v>
      </c>
      <c r="E132" s="9">
        <f t="shared" si="2"/>
        <v>0.13223140495867769</v>
      </c>
      <c r="F132" s="9">
        <f t="shared" si="2"/>
        <v>0.10743801652892562</v>
      </c>
      <c r="G132" s="9">
        <f t="shared" si="2"/>
        <v>9.0909090909090912E-2</v>
      </c>
      <c r="H132" s="9">
        <f t="shared" si="2"/>
        <v>9.9173553719008267E-2</v>
      </c>
      <c r="I132" s="9">
        <f t="shared" si="2"/>
        <v>8.2644628099173556E-2</v>
      </c>
      <c r="J132" s="9">
        <f t="shared" si="2"/>
        <v>6.6115702479338845E-2</v>
      </c>
      <c r="K132" s="9">
        <f t="shared" ref="K132:N132" si="3">K129/K130</f>
        <v>0.11570247933884298</v>
      </c>
      <c r="L132" s="9">
        <f t="shared" si="3"/>
        <v>0.10743801652892562</v>
      </c>
      <c r="M132" s="9">
        <f t="shared" si="3"/>
        <v>0.12396694214876033</v>
      </c>
      <c r="N132" s="9">
        <f t="shared" si="3"/>
        <v>0.18181818181818182</v>
      </c>
      <c r="O132" s="9"/>
      <c r="P132" s="9"/>
      <c r="Q132" s="9"/>
    </row>
    <row r="134" spans="1:17" x14ac:dyDescent="0.35">
      <c r="A134" t="s">
        <v>95</v>
      </c>
      <c r="B134" s="9" cm="1">
        <f t="array" ref="B134">_xlfn.PERCENTRANK.EXC(_xlfn._xlws.FILTER(B2:B122, ISNUMBER(B2:B122)),B122)</f>
        <v>0.54900000000000004</v>
      </c>
      <c r="C134" s="9" cm="1">
        <f t="array" ref="C134">_xlfn.PERCENTRANK.EXC(_xlfn._xlws.FILTER(C2:C122, ISNUMBER(C2:C122)),C122)</f>
        <v>0.745</v>
      </c>
      <c r="D134" s="9" cm="1">
        <f t="array" ref="D134">_xlfn.PERCENTRANK.EXC(_xlfn._xlws.FILTER(D2:D122, ISNUMBER(D2:D122)),D122)</f>
        <v>0.79500000000000004</v>
      </c>
      <c r="E134" s="9" cm="1">
        <f t="array" ref="E134">_xlfn.PERCENTRANK.EXC(_xlfn._xlws.FILTER(E2:E122, ISNUMBER(E2:E122)),E122)</f>
        <v>0.85199999999999998</v>
      </c>
      <c r="F134" s="9" cm="1">
        <f t="array" ref="F134">_xlfn.PERCENTRANK.EXC(_xlfn._xlws.FILTER(F2:F122, ISNUMBER(F2:F122)),F122)</f>
        <v>0.88500000000000001</v>
      </c>
      <c r="G134" s="9" cm="1">
        <f t="array" ref="G134">_xlfn.PERCENTRANK.EXC(_xlfn._xlws.FILTER(G2:G122, ISNUMBER(G2:G122)),G122)</f>
        <v>0.45900000000000002</v>
      </c>
      <c r="H134" s="9" cm="1">
        <f t="array" ref="H134">_xlfn.PERCENTRANK.EXC(_xlfn._xlws.FILTER(H2:H122, ISNUMBER(H2:H122)),H122)</f>
        <v>0.76200000000000001</v>
      </c>
      <c r="I134" s="9" cm="1">
        <f t="array" ref="I134">_xlfn.PERCENTRANK.EXC(_xlfn._xlws.FILTER(I2:I122, ISNUMBER(I2:I122)),I122)</f>
        <v>0.745</v>
      </c>
      <c r="J134" s="9" cm="1">
        <f t="array" ref="J134">_xlfn.PERCENTRANK.EXC(_xlfn._xlws.FILTER(J2:J122, ISNUMBER(J2:J122)),J122)</f>
        <v>0.90900000000000003</v>
      </c>
      <c r="K134" s="9" cm="1">
        <f t="array" ref="K134">_xlfn.PERCENTRANK.EXC(_xlfn._xlws.FILTER(K2:K122, ISNUMBER(K2:K122)),K122)</f>
        <v>0.80300000000000005</v>
      </c>
      <c r="L134" s="9" cm="1">
        <f t="array" ref="L134">_xlfn.PERCENTRANK.EXC(_xlfn._xlws.FILTER(L2:L122, ISNUMBER(L2:L122)),L122)</f>
        <v>0.81899999999999995</v>
      </c>
      <c r="M134" s="9" cm="1">
        <f t="array" ref="M134">_xlfn.PERCENTRANK.EXC(_xlfn._xlws.FILTER(M2:M122, ISNUMBER(M2:M122)),M122)</f>
        <v>0.81899999999999995</v>
      </c>
      <c r="N134" s="9" cm="1">
        <f t="array" ref="N134">_xlfn.PERCENTRANK.EXC(_xlfn._xlws.FILTER(N2:N122, ISNUMBER(N2:N122)),N122)</f>
        <v>0.86799999999999999</v>
      </c>
      <c r="O134" s="9"/>
      <c r="P134" s="9"/>
      <c r="Q134" s="9"/>
    </row>
    <row r="136" spans="1:17" x14ac:dyDescent="0.35">
      <c r="A136" s="9"/>
      <c r="B136" s="9" cm="1">
        <f t="array" ref="B136">_xlfn.PERCENTRANK.EXC(_xlfn._xlws.FILTER(B4:B125, ISNUMBER(B4:B125)),B113)</f>
        <v>0.17499999999999999</v>
      </c>
      <c r="C136" s="9" cm="1">
        <f t="array" ref="C136">_xlfn.PERCENTRANK.EXC(_xlfn._xlws.FILTER(C4:C125, ISNUMBER(C4:C125)),C113)</f>
        <v>0.70799999999999996</v>
      </c>
      <c r="D136" s="9" cm="1">
        <f t="array" ref="D136">_xlfn.PERCENTRANK.EXC(_xlfn._xlws.FILTER(D4:D125, ISNUMBER(D4:D125)),D113)</f>
        <v>0.39100000000000001</v>
      </c>
      <c r="E136" s="9" cm="1">
        <f t="array" ref="E136">_xlfn.PERCENTRANK.EXC(_xlfn._xlws.FILTER(E4:E125, ISNUMBER(E4:E125)),E113)</f>
        <v>0.36599999999999999</v>
      </c>
      <c r="F136" s="9" cm="1">
        <f t="array" ref="F136">_xlfn.PERCENTRANK.EXC(_xlfn._xlws.FILTER(F4:F125, ISNUMBER(F4:F125)),F113)</f>
        <v>0.81599999999999995</v>
      </c>
      <c r="G136" s="9" cm="1">
        <f t="array" ref="G136">_xlfn.PERCENTRANK.EXC(_xlfn._xlws.FILTER(G4:G125, ISNUMBER(G4:G125)),G113)</f>
        <v>0.158</v>
      </c>
      <c r="H136" s="9" cm="1">
        <f t="array" ref="H136">_xlfn.PERCENTRANK.EXC(_xlfn._xlws.FILTER(H4:H125, ISNUMBER(H4:H125)),H113)</f>
        <v>0.40799999999999997</v>
      </c>
      <c r="I136" s="9" cm="1">
        <f t="array" ref="I136">_xlfn.PERCENTRANK.EXC(_xlfn._xlws.FILTER(I4:I125, ISNUMBER(I4:I125)),I113)</f>
        <v>0.93300000000000005</v>
      </c>
      <c r="J136" s="9" cm="1">
        <f t="array" ref="J136">_xlfn.PERCENTRANK.EXC(_xlfn._xlws.FILTER(J4:J125, ISNUMBER(J4:J125)),J113)</f>
        <v>0.82499999999999996</v>
      </c>
      <c r="K136" s="9" cm="1">
        <f t="array" ref="K136">_xlfn.PERCENTRANK.EXC(_xlfn._xlws.FILTER(K4:K125, ISNUMBER(K4:K125)),K113)</f>
        <v>0.308</v>
      </c>
      <c r="L136" s="9" cm="1">
        <f t="array" ref="L136">_xlfn.PERCENTRANK.EXC(_xlfn._xlws.FILTER(L4:L125, ISNUMBER(L4:L125)),L113)</f>
        <v>0.35799999999999998</v>
      </c>
      <c r="M136" s="9" cm="1">
        <f t="array" ref="M136">_xlfn.PERCENTRANK.EXC(_xlfn._xlws.FILTER(M4:M125, ISNUMBER(M4:M125)),M113)</f>
        <v>0.191</v>
      </c>
      <c r="N136" s="9" cm="1">
        <f t="array" ref="N136">_xlfn.PERCENTRANK.EXC(_xlfn._xlws.FILTER(N4:N125, ISNUMBER(N4:N125)),N113)</f>
        <v>0.65800000000000003</v>
      </c>
    </row>
    <row r="138" spans="1:17" x14ac:dyDescent="0.35">
      <c r="A138" t="s">
        <v>829</v>
      </c>
      <c r="B138">
        <f t="shared" ref="B138:J138" si="4">STDEV(B40:B122)</f>
        <v>6.2243373709839296E-2</v>
      </c>
      <c r="C138">
        <f t="shared" si="4"/>
        <v>6.8243078032242249E-2</v>
      </c>
      <c r="D138">
        <f t="shared" si="4"/>
        <v>6.4920378768626566E-2</v>
      </c>
      <c r="E138">
        <f t="shared" si="4"/>
        <v>6.7960105485763159E-2</v>
      </c>
      <c r="F138">
        <f t="shared" si="4"/>
        <v>4.8166844865713175E-2</v>
      </c>
      <c r="G138">
        <f t="shared" si="4"/>
        <v>5.1930680082952839E-2</v>
      </c>
      <c r="H138">
        <f t="shared" si="4"/>
        <v>6.2695691916997157E-2</v>
      </c>
      <c r="I138">
        <f t="shared" si="4"/>
        <v>6.1456424493246731E-2</v>
      </c>
      <c r="J138">
        <f t="shared" si="4"/>
        <v>5.5554766669057544E-2</v>
      </c>
      <c r="K138">
        <f t="shared" ref="K138:N138" si="5">STDEV(K40:K122)</f>
        <v>6.3706972893461958E-2</v>
      </c>
      <c r="L138">
        <f t="shared" si="5"/>
        <v>6.7399866578101028E-2</v>
      </c>
      <c r="M138">
        <f t="shared" si="5"/>
        <v>7.0123761032635692E-2</v>
      </c>
      <c r="N138">
        <f t="shared" si="5"/>
        <v>7.0407012222969481E-2</v>
      </c>
    </row>
    <row r="139" spans="1:17" x14ac:dyDescent="0.35">
      <c r="A139" t="s">
        <v>830</v>
      </c>
      <c r="B139" s="74">
        <f t="shared" ref="B139:J139" si="6">B138*SQRT(12)</f>
        <v>0.21561737139987713</v>
      </c>
      <c r="C139" s="74">
        <f t="shared" si="6"/>
        <v>0.23640095683346218</v>
      </c>
      <c r="D139" s="74">
        <f t="shared" si="6"/>
        <v>0.22489078894775408</v>
      </c>
      <c r="E139" s="74">
        <f t="shared" si="6"/>
        <v>0.23542071117816432</v>
      </c>
      <c r="F139" s="74">
        <f t="shared" si="6"/>
        <v>0.16685484509540666</v>
      </c>
      <c r="G139" s="74">
        <f t="shared" si="6"/>
        <v>0.17989315275055895</v>
      </c>
      <c r="H139" s="74">
        <f t="shared" si="6"/>
        <v>0.2171842476318489</v>
      </c>
      <c r="I139" s="74">
        <f t="shared" si="6"/>
        <v>0.21289129934764744</v>
      </c>
      <c r="J139" s="74">
        <f t="shared" si="6"/>
        <v>0.19244735694688331</v>
      </c>
      <c r="K139" s="74">
        <f t="shared" ref="K139:N139" si="7">K138*SQRT(12)</f>
        <v>0.2206874276957787</v>
      </c>
      <c r="L139" s="74">
        <f t="shared" si="7"/>
        <v>0.23347998667326891</v>
      </c>
      <c r="M139" s="74">
        <f t="shared" si="7"/>
        <v>0.24291583385268722</v>
      </c>
      <c r="N139" s="74">
        <f t="shared" si="7"/>
        <v>0.24389704475861221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13"/>
  <sheetViews>
    <sheetView zoomScaleNormal="100" workbookViewId="0">
      <pane ySplit="1" topLeftCell="A110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11" max="11" width="8.81640625" customWidth="1"/>
  </cols>
  <sheetData>
    <row r="1" spans="1:14" x14ac:dyDescent="0.35">
      <c r="A1" s="2" t="s">
        <v>388</v>
      </c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s="47" t="s">
        <v>865</v>
      </c>
      <c r="L1" s="47" t="s">
        <v>867</v>
      </c>
      <c r="M1" s="47" t="s">
        <v>864</v>
      </c>
      <c r="N1" s="47" t="s">
        <v>866</v>
      </c>
    </row>
    <row r="2" spans="1:14" x14ac:dyDescent="0.35">
      <c r="A2" s="2" cm="1">
        <f t="array" ref="A2:A122">_xll.FDS(B1,"JULIAN(P_PRICE_RETURNS_PR('52W',2,-10AY,0,AM).dates)")</f>
        <v>41719</v>
      </c>
      <c r="B2" s="7" cm="1">
        <f t="array" ref="B2:B122">_xll.FDS(B1,"P_PRICE_RETURNS_PR('52W',2,-10AY,0,AM)")</f>
        <v>21.658467999999999</v>
      </c>
      <c r="C2" s="7" cm="1">
        <f t="array" ref="C2:C122">_xll.FDS(C1,"P_PRICE_RETURNS_PR('52W',2,-10AY,0,AM)")</f>
        <v>-2.4652243</v>
      </c>
      <c r="D2" s="7" cm="1">
        <f t="array" ref="D2:D122">_xll.FDS(D1,"P_PRICE_RETURNS_PR('52W',2,-10AY,0,AM)")</f>
        <v>5.4124829999999999</v>
      </c>
      <c r="E2" s="7" cm="1">
        <f t="array" ref="E2:E122">_xll.FDS(E1,"P_PRICE_RETURNS_PR('52W',2,-10AY,0,AM)")</f>
        <v>24.792397000000001</v>
      </c>
      <c r="F2" s="7" cm="1">
        <f t="array" ref="F2:F122">_xll.FDS(F1,"P_PRICE_RETURNS_PR('52W',2,-10AY,0,AM)")</f>
        <v>2.5809764999999998</v>
      </c>
      <c r="G2" s="7" cm="1">
        <f t="array" ref="G2:G122">_xll.FDS(G1,"P_PRICE_RETURNS_PR('52W',2,-10AY,0,AM)")</f>
        <v>17.43102</v>
      </c>
      <c r="H2" s="7" cm="1">
        <f t="array" ref="H2:H122">_xll.FDS(H1,"P_PRICE_RETURNS_PR('52W',2,-10AY,0,AM)")</f>
        <v>14.3556595</v>
      </c>
      <c r="I2" s="7" cm="1">
        <f t="array" ref="I2:I122">_xll.FDS(I1,"P_PRICE_RETURNS_PR('52W',2,-10AY,0,AM)")</f>
        <v>33.096969999999999</v>
      </c>
      <c r="J2" s="7" cm="1">
        <f t="array" ref="J2:J122">_xll.FDS(J1,"P_PRICE_RETURNS_PR('52W',2,-10AY,0,AM)")</f>
        <v>23.059940000000001</v>
      </c>
      <c r="K2" s="158" cm="1">
        <f t="array" ref="K2:K122">_xll.FDS(K1,"P_PRICE_RETURNS_PR('52W',2,-10AY,0,AM)")</f>
        <v>24.86037</v>
      </c>
      <c r="L2" s="158" cm="1">
        <f t="array" ref="L2:L122">_xll.FDS(L1,"P_PRICE_RETURNS_PR('52W',2,-10AY,0,AM)")</f>
        <v>22.659455999999999</v>
      </c>
      <c r="M2" s="158" cm="1">
        <f t="array" ref="M2:M122">_xll.FDS(M1,"P_PRICE_RETURNS_PR('52W',2,-10AY,0,AM)")</f>
        <v>16.925632</v>
      </c>
      <c r="N2" s="158" cm="1">
        <f t="array" ref="N2:N122">_xll.FDS(N1,"P_PRICE_RETURNS_PR('52W',2,-10AY,0,AM)")</f>
        <v>41.124557000000003</v>
      </c>
    </row>
    <row r="3" spans="1:14" x14ac:dyDescent="0.35">
      <c r="A3" s="2">
        <v>41750</v>
      </c>
      <c r="B3" s="40">
        <v>16.568076999999999</v>
      </c>
      <c r="C3" s="40">
        <v>4.8701644000000002</v>
      </c>
      <c r="D3" s="40">
        <v>14.998697999999999</v>
      </c>
      <c r="E3" s="40">
        <v>32.859673000000001</v>
      </c>
      <c r="F3" s="40">
        <v>-0.26069282999999999</v>
      </c>
      <c r="G3" s="40">
        <v>20.526122999999998</v>
      </c>
      <c r="H3" s="40">
        <v>19.855618</v>
      </c>
      <c r="I3" s="40">
        <v>29.561578999999998</v>
      </c>
      <c r="J3" s="40">
        <v>22.72383</v>
      </c>
      <c r="K3" s="47">
        <v>32.328679999999999</v>
      </c>
      <c r="L3" s="47">
        <v>26.015532</v>
      </c>
      <c r="M3" s="47">
        <v>20.049403999999999</v>
      </c>
      <c r="N3" s="47">
        <v>50.447760000000002</v>
      </c>
    </row>
    <row r="4" spans="1:14" x14ac:dyDescent="0.35">
      <c r="A4" s="2">
        <v>41780</v>
      </c>
      <c r="B4" s="40">
        <v>18.299389000000001</v>
      </c>
      <c r="C4" s="40">
        <v>3.4097789999999999</v>
      </c>
      <c r="D4" s="40">
        <v>11.001897</v>
      </c>
      <c r="E4" s="40">
        <v>20.923470999999999</v>
      </c>
      <c r="F4" s="40">
        <v>-7.8277229999999998</v>
      </c>
      <c r="G4" s="40">
        <v>16.709364000000001</v>
      </c>
      <c r="H4" s="40">
        <v>15.471209</v>
      </c>
      <c r="I4" s="40">
        <v>21.516396</v>
      </c>
      <c r="J4" s="40">
        <v>15.417337</v>
      </c>
      <c r="K4" s="47">
        <v>20.495296</v>
      </c>
      <c r="L4" s="47">
        <v>17.985212000000001</v>
      </c>
      <c r="M4" s="47">
        <v>14.180183</v>
      </c>
      <c r="N4" s="47">
        <v>27.671410000000002</v>
      </c>
    </row>
    <row r="5" spans="1:14" x14ac:dyDescent="0.35">
      <c r="A5" s="2">
        <v>41810</v>
      </c>
      <c r="B5" s="40">
        <v>33.006</v>
      </c>
      <c r="C5" s="40">
        <v>24.018727999999999</v>
      </c>
      <c r="D5" s="40">
        <v>24.363947</v>
      </c>
      <c r="E5" s="40">
        <v>29.050944999999999</v>
      </c>
      <c r="F5" s="40">
        <v>14.878643</v>
      </c>
      <c r="G5" s="40">
        <v>24.023724000000001</v>
      </c>
      <c r="H5" s="40">
        <v>25.829947000000001</v>
      </c>
      <c r="I5" s="40">
        <v>33.045623999999997</v>
      </c>
      <c r="J5" s="40">
        <v>26.001286</v>
      </c>
      <c r="K5" s="47">
        <v>29.582917999999999</v>
      </c>
      <c r="L5" s="47">
        <v>26.862919000000002</v>
      </c>
      <c r="M5" s="47">
        <v>21.263276999999999</v>
      </c>
      <c r="N5" s="47">
        <v>50.805926999999997</v>
      </c>
    </row>
    <row r="6" spans="1:14" x14ac:dyDescent="0.35">
      <c r="A6" s="2">
        <v>41841</v>
      </c>
      <c r="B6" s="40">
        <v>22.785996999999998</v>
      </c>
      <c r="C6" s="40">
        <v>17.697657</v>
      </c>
      <c r="D6" s="40">
        <v>18.624984999999999</v>
      </c>
      <c r="E6" s="40">
        <v>17.961157</v>
      </c>
      <c r="F6" s="40">
        <v>2.7017117000000002</v>
      </c>
      <c r="G6" s="40">
        <v>15.903627</v>
      </c>
      <c r="H6" s="40">
        <v>16.84581</v>
      </c>
      <c r="I6" s="40">
        <v>30.682755</v>
      </c>
      <c r="J6" s="40">
        <v>18.945229000000001</v>
      </c>
      <c r="K6" s="47">
        <v>16.269386000000001</v>
      </c>
      <c r="L6" s="47">
        <v>11.724209999999999</v>
      </c>
      <c r="M6" s="47">
        <v>9.7902660000000008</v>
      </c>
      <c r="N6" s="47">
        <v>34.154736</v>
      </c>
    </row>
    <row r="7" spans="1:14" x14ac:dyDescent="0.35">
      <c r="A7" s="2">
        <v>41872</v>
      </c>
      <c r="B7" s="40">
        <v>22.056460999999999</v>
      </c>
      <c r="C7" s="40">
        <v>20.057677999999999</v>
      </c>
      <c r="D7" s="40">
        <v>21.619392000000001</v>
      </c>
      <c r="E7" s="40">
        <v>11.438416999999999</v>
      </c>
      <c r="F7" s="40">
        <v>10.140753</v>
      </c>
      <c r="G7" s="40">
        <v>13.1197815</v>
      </c>
      <c r="H7" s="40">
        <v>14.838982</v>
      </c>
      <c r="I7" s="40">
        <v>33.148837999999998</v>
      </c>
      <c r="J7" s="40">
        <v>23.615753000000002</v>
      </c>
      <c r="K7" s="47">
        <v>8.4738849999999992</v>
      </c>
      <c r="L7" s="47">
        <v>7.7700256999999997</v>
      </c>
      <c r="M7" s="47">
        <v>9.0433479999999999</v>
      </c>
      <c r="N7" s="47">
        <v>20.108986000000002</v>
      </c>
    </row>
    <row r="8" spans="1:14" x14ac:dyDescent="0.35">
      <c r="A8" s="2">
        <v>41901</v>
      </c>
      <c r="B8" s="40">
        <v>5.6457043000000002</v>
      </c>
      <c r="C8" s="40">
        <v>0.90777874000000003</v>
      </c>
      <c r="D8" s="40">
        <v>14.145899</v>
      </c>
      <c r="E8" s="40">
        <v>5.7217359999999999</v>
      </c>
      <c r="F8" s="40">
        <v>-0.17740726000000001</v>
      </c>
      <c r="G8" s="40">
        <v>7.7557799999999997</v>
      </c>
      <c r="H8" s="40">
        <v>7.4839472999999996</v>
      </c>
      <c r="I8" s="40">
        <v>27.998650000000001</v>
      </c>
      <c r="J8" s="40">
        <v>19.010947999999999</v>
      </c>
      <c r="K8" s="47">
        <v>3.0389547000000001</v>
      </c>
      <c r="L8" s="47">
        <v>3.9856315000000002</v>
      </c>
      <c r="M8" s="47">
        <v>-1.2363314999999999</v>
      </c>
      <c r="N8" s="47">
        <v>12.902058</v>
      </c>
    </row>
    <row r="9" spans="1:14" x14ac:dyDescent="0.35">
      <c r="A9" s="2">
        <v>41933</v>
      </c>
      <c r="B9" s="40">
        <v>3.3824920000000001</v>
      </c>
      <c r="C9" s="40">
        <v>-4.6337723999999998</v>
      </c>
      <c r="D9" s="40">
        <v>4.0787100000000001</v>
      </c>
      <c r="E9" s="40">
        <v>-6.9883639999999998</v>
      </c>
      <c r="F9" s="40">
        <v>-6.5414430000000001</v>
      </c>
      <c r="G9" s="40">
        <v>0.34503937000000001</v>
      </c>
      <c r="H9" s="40">
        <v>-1.9281566000000001</v>
      </c>
      <c r="I9" s="40">
        <v>19.394815000000001</v>
      </c>
      <c r="J9" s="40">
        <v>13.440537000000001</v>
      </c>
      <c r="K9" s="47">
        <v>-7.8963279999999996</v>
      </c>
      <c r="L9" s="47">
        <v>-4.6877440000000004</v>
      </c>
      <c r="M9" s="47">
        <v>-6.4300420000000003</v>
      </c>
      <c r="N9" s="47">
        <v>-5.3664326999999998</v>
      </c>
    </row>
    <row r="10" spans="1:14" x14ac:dyDescent="0.35">
      <c r="A10" s="2">
        <v>41964</v>
      </c>
      <c r="B10" s="40">
        <v>9.4085579999999993</v>
      </c>
      <c r="C10" s="40">
        <v>-1.9034266</v>
      </c>
      <c r="D10" s="40">
        <v>7.6383349999999997</v>
      </c>
      <c r="E10" s="40">
        <v>-3.9726138</v>
      </c>
      <c r="F10" s="40">
        <v>-3.0303119999999999</v>
      </c>
      <c r="G10" s="40">
        <v>4.8165560000000003</v>
      </c>
      <c r="H10" s="40">
        <v>-0.43564439999999999</v>
      </c>
      <c r="I10" s="40">
        <v>26.168215</v>
      </c>
      <c r="J10" s="40">
        <v>17.111470000000001</v>
      </c>
      <c r="K10" s="47">
        <v>-3.5247742999999998</v>
      </c>
      <c r="L10" s="47">
        <v>-0.44095516000000001</v>
      </c>
      <c r="M10" s="47">
        <v>2.0288110000000001</v>
      </c>
      <c r="N10" s="47">
        <v>-0.62915087000000003</v>
      </c>
    </row>
    <row r="11" spans="1:14" x14ac:dyDescent="0.35">
      <c r="A11" s="2">
        <v>41992</v>
      </c>
      <c r="B11" s="40">
        <v>12.553716</v>
      </c>
      <c r="C11" s="40">
        <v>-1.6638577000000001</v>
      </c>
      <c r="D11" s="40">
        <v>2.3839115999999998</v>
      </c>
      <c r="E11" s="40">
        <v>-7.0657490000000003</v>
      </c>
      <c r="F11" s="40">
        <v>-0.96029640000000005</v>
      </c>
      <c r="G11" s="40">
        <v>3.0988574</v>
      </c>
      <c r="H11" s="40">
        <v>-2.4322092999999998</v>
      </c>
      <c r="I11" s="40">
        <v>23.690414000000001</v>
      </c>
      <c r="J11" s="40">
        <v>16.639541999999999</v>
      </c>
      <c r="K11" s="47">
        <v>-5.8400689999999997</v>
      </c>
      <c r="L11" s="47">
        <v>-0.91034174000000001</v>
      </c>
      <c r="M11" s="47">
        <v>-2.0955682000000002</v>
      </c>
      <c r="N11" s="47">
        <v>-5.080247</v>
      </c>
    </row>
    <row r="12" spans="1:14" x14ac:dyDescent="0.35">
      <c r="A12" s="2">
        <v>42025</v>
      </c>
      <c r="B12" s="40">
        <v>6.3838600000000003</v>
      </c>
      <c r="C12" s="40">
        <v>-2.3963928000000001</v>
      </c>
      <c r="D12" s="40">
        <v>-4.4779179999999998</v>
      </c>
      <c r="E12" s="40">
        <v>-10.003738999999999</v>
      </c>
      <c r="F12" s="40">
        <v>-3.9253711999999998</v>
      </c>
      <c r="G12" s="40">
        <v>0.81512929999999995</v>
      </c>
      <c r="H12" s="40">
        <v>-7.8957853</v>
      </c>
      <c r="I12" s="40">
        <v>17.112518000000001</v>
      </c>
      <c r="J12" s="40">
        <v>12.414586999999999</v>
      </c>
      <c r="K12" s="47">
        <v>-8.8618459999999999</v>
      </c>
      <c r="L12" s="47">
        <v>-4.9430550000000002</v>
      </c>
      <c r="M12" s="47">
        <v>-9.6517680000000006</v>
      </c>
      <c r="N12" s="47">
        <v>-12.688762000000001</v>
      </c>
    </row>
    <row r="13" spans="1:14" x14ac:dyDescent="0.35">
      <c r="A13" s="2">
        <v>42055</v>
      </c>
      <c r="B13" s="40">
        <v>7.1242213000000003</v>
      </c>
      <c r="C13" s="40">
        <v>-1.9102334999999999</v>
      </c>
      <c r="D13" s="40">
        <v>-2.6116907999999999</v>
      </c>
      <c r="E13" s="40">
        <v>-4.4296502999999996</v>
      </c>
      <c r="F13" s="40">
        <v>9.3471410000000006</v>
      </c>
      <c r="G13" s="40">
        <v>2.2064328</v>
      </c>
      <c r="H13" s="40">
        <v>-3.7953614999999998</v>
      </c>
      <c r="I13" s="40">
        <v>22.231102</v>
      </c>
      <c r="J13" s="40">
        <v>16.981770000000001</v>
      </c>
      <c r="K13" s="47">
        <v>-4.1514515999999997</v>
      </c>
      <c r="L13" s="47">
        <v>1.6265035000000001</v>
      </c>
      <c r="M13" s="47">
        <v>0.68985224000000001</v>
      </c>
      <c r="N13" s="47">
        <v>-7.7618720000000003</v>
      </c>
    </row>
    <row r="14" spans="1:14" x14ac:dyDescent="0.35">
      <c r="A14" s="2">
        <v>42083</v>
      </c>
      <c r="B14" s="40">
        <v>1.8846512</v>
      </c>
      <c r="C14" s="40">
        <v>1.1684418000000001</v>
      </c>
      <c r="D14" s="40">
        <v>-3.4257710000000001</v>
      </c>
      <c r="E14" s="40">
        <v>1.3474584000000001</v>
      </c>
      <c r="F14" s="40">
        <v>18.696928</v>
      </c>
      <c r="G14" s="40">
        <v>3.7940024999999999</v>
      </c>
      <c r="H14" s="40">
        <v>-0.3199458</v>
      </c>
      <c r="I14" s="40">
        <v>21.817505000000001</v>
      </c>
      <c r="J14" s="40">
        <v>14.76469</v>
      </c>
      <c r="K14" s="47">
        <v>-5.1161345999999996</v>
      </c>
      <c r="L14" s="47">
        <v>4.9414160000000003</v>
      </c>
      <c r="M14" s="47">
        <v>-2.8844237000000001</v>
      </c>
      <c r="N14" s="47">
        <v>-11.552345000000001</v>
      </c>
    </row>
    <row r="15" spans="1:14" x14ac:dyDescent="0.35">
      <c r="A15" s="2">
        <v>42115</v>
      </c>
      <c r="B15" s="40">
        <v>2.0045042</v>
      </c>
      <c r="C15" s="40">
        <v>-8.1575509999999998</v>
      </c>
      <c r="D15" s="40">
        <v>-1.4500499</v>
      </c>
      <c r="E15" s="40">
        <v>-1.9203246</v>
      </c>
      <c r="F15" s="40">
        <v>19.303858000000002</v>
      </c>
      <c r="G15" s="40">
        <v>3.0677438000000001</v>
      </c>
      <c r="H15" s="40">
        <v>-3.3530652999999999</v>
      </c>
      <c r="I15" s="40">
        <v>25.817298999999998</v>
      </c>
      <c r="J15" s="40">
        <v>14.24905</v>
      </c>
      <c r="K15" s="47">
        <v>-6.4265610000000004</v>
      </c>
      <c r="L15" s="47">
        <v>4.1051983999999999</v>
      </c>
      <c r="M15" s="47">
        <v>-1.3994157</v>
      </c>
      <c r="N15" s="47">
        <v>-14.807373</v>
      </c>
    </row>
    <row r="16" spans="1:14" x14ac:dyDescent="0.35">
      <c r="A16" s="2">
        <v>42145</v>
      </c>
      <c r="B16" s="40">
        <v>-2.4548410999999999</v>
      </c>
      <c r="C16" s="40">
        <v>-8.2412659999999995</v>
      </c>
      <c r="D16" s="40">
        <v>-4.2419969999999996</v>
      </c>
      <c r="E16" s="40">
        <v>-0.86784360000000005</v>
      </c>
      <c r="F16" s="40">
        <v>20.634687</v>
      </c>
      <c r="G16" s="40">
        <v>4.4208765000000003</v>
      </c>
      <c r="H16" s="40">
        <v>-2.5144039999999999</v>
      </c>
      <c r="I16" s="40">
        <v>25.852906999999998</v>
      </c>
      <c r="J16" s="40">
        <v>15.088844</v>
      </c>
      <c r="K16" s="47">
        <v>-3.9768696000000001</v>
      </c>
      <c r="L16" s="47">
        <v>8.3732605000000007</v>
      </c>
      <c r="M16" s="47">
        <v>-3.7152826999999999</v>
      </c>
      <c r="N16" s="47">
        <v>-3.7014841999999999</v>
      </c>
    </row>
    <row r="17" spans="1:14" x14ac:dyDescent="0.35">
      <c r="A17" s="2">
        <v>42174</v>
      </c>
      <c r="B17" s="40">
        <v>-11.038542</v>
      </c>
      <c r="C17" s="40">
        <v>-12.244118</v>
      </c>
      <c r="D17" s="40">
        <v>-11.88466</v>
      </c>
      <c r="E17" s="40">
        <v>-8.3267799999999994</v>
      </c>
      <c r="F17" s="40">
        <v>6.8479896</v>
      </c>
      <c r="G17" s="40">
        <v>0.25738477999999998</v>
      </c>
      <c r="H17" s="40">
        <v>-6.5180420000000003</v>
      </c>
      <c r="I17" s="40">
        <v>19.865500999999998</v>
      </c>
      <c r="J17" s="40">
        <v>9.9222420000000007</v>
      </c>
      <c r="K17" s="47">
        <v>-9.6077860000000008</v>
      </c>
      <c r="L17" s="47">
        <v>2.3410440000000001</v>
      </c>
      <c r="M17" s="47">
        <v>-3.3328354</v>
      </c>
      <c r="N17" s="47">
        <v>-13.03373</v>
      </c>
    </row>
    <row r="18" spans="1:14" x14ac:dyDescent="0.35">
      <c r="A18" s="2">
        <v>42206</v>
      </c>
      <c r="B18" s="40">
        <v>-11.490429000000001</v>
      </c>
      <c r="C18" s="40">
        <v>-15.660924</v>
      </c>
      <c r="D18" s="40">
        <v>-19.64481</v>
      </c>
      <c r="E18" s="40">
        <v>-2.8705478000000002</v>
      </c>
      <c r="F18" s="40">
        <v>8.1141950000000005</v>
      </c>
      <c r="G18" s="40">
        <v>3.4479975999999999</v>
      </c>
      <c r="H18" s="40">
        <v>-6.6659569999999997</v>
      </c>
      <c r="I18" s="40">
        <v>19.929099999999998</v>
      </c>
      <c r="J18" s="40">
        <v>9.4081880000000009</v>
      </c>
      <c r="K18" s="47">
        <v>-2.0499586999999999</v>
      </c>
      <c r="L18" s="47">
        <v>9.7434519999999996</v>
      </c>
      <c r="M18" s="47">
        <v>-1.0875762</v>
      </c>
      <c r="N18" s="47">
        <v>-3.6754072</v>
      </c>
    </row>
    <row r="19" spans="1:14" x14ac:dyDescent="0.35">
      <c r="A19" s="2">
        <v>42237</v>
      </c>
      <c r="B19" s="40">
        <v>-11.553668999999999</v>
      </c>
      <c r="C19" s="40">
        <v>-26.423470999999999</v>
      </c>
      <c r="D19" s="40">
        <v>-26.098030000000001</v>
      </c>
      <c r="E19" s="40">
        <v>-8.6908455</v>
      </c>
      <c r="F19" s="40">
        <v>0.33838750000000001</v>
      </c>
      <c r="G19" s="40">
        <v>-2.0193636000000001</v>
      </c>
      <c r="H19" s="40">
        <v>-12.428183000000001</v>
      </c>
      <c r="I19" s="40">
        <v>4.6496034000000002</v>
      </c>
      <c r="J19" s="40">
        <v>1.0070086</v>
      </c>
      <c r="K19" s="47">
        <v>-5.4529905000000003</v>
      </c>
      <c r="L19" s="47">
        <v>1.1093259</v>
      </c>
      <c r="M19" s="47">
        <v>-8.5519680000000005</v>
      </c>
      <c r="N19" s="47">
        <v>-5.0033750000000001</v>
      </c>
    </row>
    <row r="20" spans="1:14" x14ac:dyDescent="0.35">
      <c r="A20" s="2">
        <v>42268</v>
      </c>
      <c r="B20" s="40">
        <v>-13.301492</v>
      </c>
      <c r="C20" s="40">
        <v>-22.266255999999998</v>
      </c>
      <c r="D20" s="40">
        <v>-23.697430000000001</v>
      </c>
      <c r="E20" s="40">
        <v>-10.636359000000001</v>
      </c>
      <c r="F20" s="40">
        <v>-0.87288019999999999</v>
      </c>
      <c r="G20" s="40">
        <v>-2.7047873</v>
      </c>
      <c r="H20" s="40">
        <v>-13.396215</v>
      </c>
      <c r="I20" s="40">
        <v>6.8445682999999997</v>
      </c>
      <c r="J20" s="40">
        <v>-0.13093352</v>
      </c>
      <c r="K20" s="47">
        <v>-7.6080855999999999</v>
      </c>
      <c r="L20" s="47">
        <v>-1.921618</v>
      </c>
      <c r="M20" s="47">
        <v>-8.2299179999999996</v>
      </c>
      <c r="N20" s="47">
        <v>-6.1504899999999996</v>
      </c>
    </row>
    <row r="21" spans="1:14" x14ac:dyDescent="0.35">
      <c r="A21" s="2">
        <v>42298</v>
      </c>
      <c r="B21" s="40">
        <v>-4.9930152999999997</v>
      </c>
      <c r="C21" s="40">
        <v>-17.753536</v>
      </c>
      <c r="D21" s="40">
        <v>-17.619526</v>
      </c>
      <c r="E21" s="40">
        <v>1.3121963000000001</v>
      </c>
      <c r="F21" s="40">
        <v>11.078500999999999</v>
      </c>
      <c r="G21" s="40">
        <v>3.1071304999999998</v>
      </c>
      <c r="H21" s="40">
        <v>-3.1158446999999998</v>
      </c>
      <c r="I21" s="40">
        <v>12.194788000000001</v>
      </c>
      <c r="J21" s="40">
        <v>6.114471</v>
      </c>
      <c r="K21" s="47">
        <v>4.2690276999999996</v>
      </c>
      <c r="L21" s="47">
        <v>8.7726349999999993</v>
      </c>
      <c r="M21" s="47">
        <v>-2.0313620000000001</v>
      </c>
      <c r="N21" s="47">
        <v>6.2772154999999996</v>
      </c>
    </row>
    <row r="22" spans="1:14" x14ac:dyDescent="0.35">
      <c r="A22" s="2">
        <v>42328</v>
      </c>
      <c r="B22" s="40">
        <v>-9.4034669999999991</v>
      </c>
      <c r="C22" s="40">
        <v>-14.702235999999999</v>
      </c>
      <c r="D22" s="40">
        <v>-22.738997999999999</v>
      </c>
      <c r="E22" s="40">
        <v>-1.2427032</v>
      </c>
      <c r="F22" s="40">
        <v>10.461569000000001</v>
      </c>
      <c r="G22" s="40">
        <v>-3.1788945000000002</v>
      </c>
      <c r="H22" s="40">
        <v>-6.3602030000000003</v>
      </c>
      <c r="I22" s="40">
        <v>11.621881</v>
      </c>
      <c r="J22" s="40">
        <v>3.875947</v>
      </c>
      <c r="K22" s="47">
        <v>1.0698915</v>
      </c>
      <c r="L22" s="47">
        <v>3.1931639000000001</v>
      </c>
      <c r="M22" s="47">
        <v>-5.1868796000000001</v>
      </c>
      <c r="N22" s="47">
        <v>-1.9830464999999999E-2</v>
      </c>
    </row>
    <row r="23" spans="1:14" x14ac:dyDescent="0.35">
      <c r="A23" s="2">
        <v>42359</v>
      </c>
      <c r="B23" s="40">
        <v>-4.2426944000000004</v>
      </c>
      <c r="C23" s="40">
        <v>-13.262218000000001</v>
      </c>
      <c r="D23" s="40">
        <v>-23.718039999999998</v>
      </c>
      <c r="E23" s="40">
        <v>-3.9672852000000001</v>
      </c>
      <c r="F23" s="40">
        <v>5.9857607000000002</v>
      </c>
      <c r="G23" s="40">
        <v>-2.7644217000000002</v>
      </c>
      <c r="H23" s="40">
        <v>-10.309023</v>
      </c>
      <c r="I23" s="40">
        <v>7.5394870000000003</v>
      </c>
      <c r="J23" s="40">
        <v>-0.31589866</v>
      </c>
      <c r="K23" s="47">
        <v>-1.6305208</v>
      </c>
      <c r="L23" s="47">
        <v>-0.40550232000000003</v>
      </c>
      <c r="M23" s="47">
        <v>-6.7701339999999997</v>
      </c>
      <c r="N23" s="47">
        <v>1.5541434000000001</v>
      </c>
    </row>
    <row r="24" spans="1:14" x14ac:dyDescent="0.35">
      <c r="A24" s="2">
        <v>42390</v>
      </c>
      <c r="B24" s="40">
        <v>-9.1713909999999998</v>
      </c>
      <c r="C24" s="40">
        <v>-19.959765999999998</v>
      </c>
      <c r="D24" s="40">
        <v>-27.232986</v>
      </c>
      <c r="E24" s="40">
        <v>-13.314814</v>
      </c>
      <c r="F24" s="40">
        <v>-4.5108319999999997</v>
      </c>
      <c r="G24" s="40">
        <v>-11.010270999999999</v>
      </c>
      <c r="H24" s="40">
        <v>-17.220188</v>
      </c>
      <c r="I24" s="40">
        <v>-0.25365353000000002</v>
      </c>
      <c r="J24" s="40">
        <v>-6.1572610000000001</v>
      </c>
      <c r="K24" s="47">
        <v>-9.7512360000000005</v>
      </c>
      <c r="L24" s="47">
        <v>-5.4530859999999999</v>
      </c>
      <c r="M24" s="47">
        <v>-12.602639</v>
      </c>
      <c r="N24" s="47">
        <v>-10.421467</v>
      </c>
    </row>
    <row r="25" spans="1:14" x14ac:dyDescent="0.35">
      <c r="A25" s="2">
        <v>42419</v>
      </c>
      <c r="B25" s="40">
        <v>-5.7164609999999998</v>
      </c>
      <c r="C25" s="40">
        <v>-20.688379999999999</v>
      </c>
      <c r="D25" s="40">
        <v>-21.827214999999999</v>
      </c>
      <c r="E25" s="40">
        <v>-16.479037999999999</v>
      </c>
      <c r="F25" s="40">
        <v>-10.279221</v>
      </c>
      <c r="G25" s="40">
        <v>-11.236495</v>
      </c>
      <c r="H25" s="40">
        <v>-17.386263</v>
      </c>
      <c r="I25" s="40">
        <v>-4.6625670000000001</v>
      </c>
      <c r="J25" s="40">
        <v>-6.6595078000000001</v>
      </c>
      <c r="K25" s="47">
        <v>-11.621893</v>
      </c>
      <c r="L25" s="47">
        <v>-8.5826340000000005</v>
      </c>
      <c r="M25" s="47">
        <v>-14.968318</v>
      </c>
      <c r="N25" s="47">
        <v>-22.405111000000002</v>
      </c>
    </row>
    <row r="26" spans="1:14" x14ac:dyDescent="0.35">
      <c r="A26" s="2">
        <v>42450</v>
      </c>
      <c r="B26" s="40">
        <v>0.95082520000000004</v>
      </c>
      <c r="C26" s="40">
        <v>-13.238859</v>
      </c>
      <c r="D26" s="40">
        <v>-11.777704999999999</v>
      </c>
      <c r="E26" s="40">
        <v>-14.200634000000001</v>
      </c>
      <c r="F26" s="40">
        <v>-9.1166129999999992</v>
      </c>
      <c r="G26" s="40">
        <v>-10.831761</v>
      </c>
      <c r="H26" s="40">
        <v>-12.809772000000001</v>
      </c>
      <c r="I26" s="40">
        <v>0.40092467999999998</v>
      </c>
      <c r="J26" s="40">
        <v>-0.63298940000000004</v>
      </c>
      <c r="K26" s="47">
        <v>-6.2829375000000001</v>
      </c>
      <c r="L26" s="47">
        <v>-3.5453139999999999</v>
      </c>
      <c r="M26" s="47">
        <v>-10.510039000000001</v>
      </c>
      <c r="N26" s="47">
        <v>-13.829583</v>
      </c>
    </row>
    <row r="27" spans="1:14" x14ac:dyDescent="0.35">
      <c r="A27" s="2">
        <v>42481</v>
      </c>
      <c r="B27" s="40">
        <v>7.2290063</v>
      </c>
      <c r="C27" s="40">
        <v>-7.6211690000000001</v>
      </c>
      <c r="D27" s="40">
        <v>-11.831331</v>
      </c>
      <c r="E27" s="40">
        <v>-9.2243379999999995</v>
      </c>
      <c r="F27" s="40">
        <v>-6.8350315000000004</v>
      </c>
      <c r="G27" s="40">
        <v>-9.63828</v>
      </c>
      <c r="H27" s="40">
        <v>-11.035567</v>
      </c>
      <c r="I27" s="40">
        <v>3.5131454</v>
      </c>
      <c r="J27" s="40">
        <v>1.8467188000000001</v>
      </c>
      <c r="K27" s="47">
        <v>-5.3752183999999996</v>
      </c>
      <c r="L27" s="47">
        <v>-2.8128921999999998</v>
      </c>
      <c r="M27" s="47">
        <v>-6.9961843000000004</v>
      </c>
      <c r="N27" s="47">
        <v>-14.22348</v>
      </c>
    </row>
    <row r="28" spans="1:14" x14ac:dyDescent="0.35">
      <c r="A28" s="2">
        <v>42510</v>
      </c>
      <c r="B28" s="40">
        <v>11.011170999999999</v>
      </c>
      <c r="C28" s="40">
        <v>-9.7502049999999993</v>
      </c>
      <c r="D28" s="40">
        <v>-13.293589000000001</v>
      </c>
      <c r="E28" s="40">
        <v>-15.576249000000001</v>
      </c>
      <c r="F28" s="40">
        <v>-11.284727</v>
      </c>
      <c r="G28" s="40">
        <v>-13.859641999999999</v>
      </c>
      <c r="H28" s="40">
        <v>-15.913791</v>
      </c>
      <c r="I28" s="40">
        <v>-2.1627903000000002</v>
      </c>
      <c r="J28" s="40">
        <v>-1.392442</v>
      </c>
      <c r="K28" s="47">
        <v>-11.382431</v>
      </c>
      <c r="L28" s="47">
        <v>-9.1981529999999996</v>
      </c>
      <c r="M28" s="47">
        <v>-12.860149</v>
      </c>
      <c r="N28" s="47">
        <v>-23.850017999999999</v>
      </c>
    </row>
    <row r="29" spans="1:14" x14ac:dyDescent="0.35">
      <c r="A29" s="2">
        <v>42542</v>
      </c>
      <c r="B29" s="40">
        <v>23.422623000000002</v>
      </c>
      <c r="C29" s="40">
        <v>-7.0166826000000002</v>
      </c>
      <c r="D29" s="40">
        <v>-7.2685599999999999</v>
      </c>
      <c r="E29" s="40">
        <v>-9.6386909999999997</v>
      </c>
      <c r="F29" s="40">
        <v>-7.2723746</v>
      </c>
      <c r="G29" s="40">
        <v>-9.5103559999999998</v>
      </c>
      <c r="H29" s="40">
        <v>-11.528337499999999</v>
      </c>
      <c r="I29" s="40">
        <v>-1.0710359</v>
      </c>
      <c r="J29" s="40">
        <v>1.0390638999999999</v>
      </c>
      <c r="K29" s="47">
        <v>-6.4343095000000003</v>
      </c>
      <c r="L29" s="47">
        <v>-6.6318393000000002</v>
      </c>
      <c r="M29" s="47">
        <v>-10.652464999999999</v>
      </c>
      <c r="N29" s="47">
        <v>-21.029572999999999</v>
      </c>
    </row>
    <row r="30" spans="1:14" x14ac:dyDescent="0.35">
      <c r="A30" s="2">
        <v>42572</v>
      </c>
      <c r="B30" s="40">
        <v>30.501926000000001</v>
      </c>
      <c r="C30" s="40">
        <v>-0.120300055</v>
      </c>
      <c r="D30" s="40">
        <v>0.72073936000000005</v>
      </c>
      <c r="E30" s="40">
        <v>-12.106646</v>
      </c>
      <c r="F30" s="40">
        <v>-7.1033119999999998</v>
      </c>
      <c r="G30" s="40">
        <v>-10.737723000000001</v>
      </c>
      <c r="H30" s="40">
        <v>-13.343769</v>
      </c>
      <c r="I30" s="40">
        <v>0.48030614999999999</v>
      </c>
      <c r="J30" s="40">
        <v>4.3667911999999998</v>
      </c>
      <c r="K30" s="47">
        <v>-10.850203</v>
      </c>
      <c r="L30" s="47">
        <v>-9.3011909999999993</v>
      </c>
      <c r="M30" s="47">
        <v>-12.059027</v>
      </c>
      <c r="N30" s="47">
        <v>-27.149933000000001</v>
      </c>
    </row>
    <row r="31" spans="1:14" x14ac:dyDescent="0.35">
      <c r="A31" s="2">
        <v>42601</v>
      </c>
      <c r="B31" s="40">
        <v>43.313969999999998</v>
      </c>
      <c r="C31" s="40">
        <v>9.2918760000000002</v>
      </c>
      <c r="D31" s="40">
        <v>7.1759224000000001</v>
      </c>
      <c r="E31" s="40">
        <v>-1.6909838E-2</v>
      </c>
      <c r="F31" s="40">
        <v>-1.8250346</v>
      </c>
      <c r="G31" s="40">
        <v>-5.931413</v>
      </c>
      <c r="H31" s="40">
        <v>-7.4940259999999999</v>
      </c>
      <c r="I31" s="40">
        <v>7.675624</v>
      </c>
      <c r="J31" s="40">
        <v>7.2011469999999997</v>
      </c>
      <c r="K31" s="47">
        <v>-5.1861104999999998</v>
      </c>
      <c r="L31" s="47">
        <v>-1.1699139999999999</v>
      </c>
      <c r="M31" s="47">
        <v>-3.9243698</v>
      </c>
      <c r="N31" s="47">
        <v>-25.767786000000001</v>
      </c>
    </row>
    <row r="32" spans="1:14" x14ac:dyDescent="0.35">
      <c r="A32" s="2">
        <v>42634</v>
      </c>
      <c r="B32" s="40">
        <v>50.490295000000003</v>
      </c>
      <c r="C32" s="40">
        <v>15.49437</v>
      </c>
      <c r="D32" s="40">
        <v>8.9000109999999992</v>
      </c>
      <c r="E32" s="40">
        <v>4.7133089999999997</v>
      </c>
      <c r="F32" s="40">
        <v>10.99614</v>
      </c>
      <c r="G32" s="40">
        <v>5.6481360000000001E-2</v>
      </c>
      <c r="H32" s="40">
        <v>-2.2311209999999999</v>
      </c>
      <c r="I32" s="40">
        <v>13.06554</v>
      </c>
      <c r="J32" s="40">
        <v>12.233817999999999</v>
      </c>
      <c r="K32" s="47">
        <v>0.40117501999999999</v>
      </c>
      <c r="L32" s="47">
        <v>5.6129693999999999</v>
      </c>
      <c r="M32" s="47">
        <v>0.70607660000000005</v>
      </c>
      <c r="N32" s="47">
        <v>-21.86994</v>
      </c>
    </row>
    <row r="33" spans="1:14" x14ac:dyDescent="0.35">
      <c r="A33" s="2">
        <v>42664</v>
      </c>
      <c r="B33" s="40">
        <v>25.208055000000002</v>
      </c>
      <c r="C33" s="40">
        <v>12.910318</v>
      </c>
      <c r="D33" s="40">
        <v>9.2630020000000002</v>
      </c>
      <c r="E33" s="40">
        <v>0.52375793000000004</v>
      </c>
      <c r="F33" s="40">
        <v>4.2645334999999998</v>
      </c>
      <c r="G33" s="40">
        <v>-3.7461161999999999</v>
      </c>
      <c r="H33" s="40">
        <v>-8.7978729999999992</v>
      </c>
      <c r="I33" s="40">
        <v>11.130630500000001</v>
      </c>
      <c r="J33" s="40">
        <v>8.3055020000000006</v>
      </c>
      <c r="K33" s="47">
        <v>-3.5389482999999999</v>
      </c>
      <c r="L33" s="47">
        <v>0.73405503999999999</v>
      </c>
      <c r="M33" s="47">
        <v>-1.0098636000000001</v>
      </c>
      <c r="N33" s="47">
        <v>-23.263227000000001</v>
      </c>
    </row>
    <row r="34" spans="1:14" x14ac:dyDescent="0.35">
      <c r="A34" s="2">
        <v>42695</v>
      </c>
      <c r="B34" s="40">
        <v>22.487175000000001</v>
      </c>
      <c r="C34" s="40">
        <v>8.8295220000000008</v>
      </c>
      <c r="D34" s="40">
        <v>14.208078</v>
      </c>
      <c r="E34" s="40">
        <v>-4.5868278</v>
      </c>
      <c r="F34" s="40">
        <v>0.13953446999999999</v>
      </c>
      <c r="G34" s="40">
        <v>-5.8133483000000004</v>
      </c>
      <c r="H34" s="40">
        <v>-8.5049039999999998</v>
      </c>
      <c r="I34" s="40">
        <v>4.7187923999999999</v>
      </c>
      <c r="J34" s="40">
        <v>7.4566245000000002</v>
      </c>
      <c r="K34" s="47">
        <v>-4.245031</v>
      </c>
      <c r="L34" s="47">
        <v>-2.3877860000000002</v>
      </c>
      <c r="M34" s="47">
        <v>-4.1477019999999998</v>
      </c>
      <c r="N34" s="47">
        <v>-22.630034999999999</v>
      </c>
    </row>
    <row r="35" spans="1:14" x14ac:dyDescent="0.35">
      <c r="A35" s="2">
        <v>42725</v>
      </c>
      <c r="B35" s="40">
        <v>13.642310999999999</v>
      </c>
      <c r="C35" s="40">
        <v>15.204847000000001</v>
      </c>
      <c r="D35" s="40">
        <v>25.521421</v>
      </c>
      <c r="E35" s="40">
        <v>2.5431751999999999</v>
      </c>
      <c r="F35" s="40">
        <v>5.2549840000000003</v>
      </c>
      <c r="G35" s="40">
        <v>-1.9783199</v>
      </c>
      <c r="H35" s="40">
        <v>-1.822114E-2</v>
      </c>
      <c r="I35" s="40">
        <v>9.6854569999999995</v>
      </c>
      <c r="J35" s="40">
        <v>14.357746000000001</v>
      </c>
      <c r="K35" s="47">
        <v>3.8660644999999998</v>
      </c>
      <c r="L35" s="47">
        <v>4.9849389999999998</v>
      </c>
      <c r="M35" s="47">
        <v>2.6423692999999999</v>
      </c>
      <c r="N35" s="47">
        <v>-9.8911470000000001</v>
      </c>
    </row>
    <row r="36" spans="1:14" x14ac:dyDescent="0.35">
      <c r="A36" s="2">
        <v>42755</v>
      </c>
      <c r="B36" s="40">
        <v>28.968966000000002</v>
      </c>
      <c r="C36" s="40">
        <v>33.710514000000003</v>
      </c>
      <c r="D36" s="40">
        <v>46.451830000000001</v>
      </c>
      <c r="E36" s="40">
        <v>19.128299999999999</v>
      </c>
      <c r="F36" s="40">
        <v>18.744289999999999</v>
      </c>
      <c r="G36" s="40">
        <v>9.2616560000000003</v>
      </c>
      <c r="H36" s="40">
        <v>13.619065000000001</v>
      </c>
      <c r="I36" s="40">
        <v>23.69913</v>
      </c>
      <c r="J36" s="40">
        <v>24.759567000000001</v>
      </c>
      <c r="K36" s="47">
        <v>18.257534</v>
      </c>
      <c r="L36" s="47">
        <v>15.842651999999999</v>
      </c>
      <c r="M36" s="47">
        <v>18.392586000000001</v>
      </c>
      <c r="N36" s="47">
        <v>8.7766284999999993</v>
      </c>
    </row>
    <row r="37" spans="1:14" x14ac:dyDescent="0.35">
      <c r="A37" s="2">
        <v>42787</v>
      </c>
      <c r="B37" s="40">
        <v>25.015032000000001</v>
      </c>
      <c r="C37" s="40">
        <v>31.96454</v>
      </c>
      <c r="D37" s="40">
        <v>33.010696000000003</v>
      </c>
      <c r="E37" s="40">
        <v>19.149542</v>
      </c>
      <c r="F37" s="40">
        <v>21.513961999999999</v>
      </c>
      <c r="G37" s="40">
        <v>11.669826499999999</v>
      </c>
      <c r="H37" s="40">
        <v>10.254669</v>
      </c>
      <c r="I37" s="40">
        <v>29.791713999999999</v>
      </c>
      <c r="J37" s="40">
        <v>25.820732</v>
      </c>
      <c r="K37" s="47">
        <v>12.790155</v>
      </c>
      <c r="L37" s="47">
        <v>16.018903999999999</v>
      </c>
      <c r="M37" s="47">
        <v>16.368400000000001</v>
      </c>
      <c r="N37" s="47">
        <v>10.3553295</v>
      </c>
    </row>
    <row r="38" spans="1:14" x14ac:dyDescent="0.35">
      <c r="A38" s="2">
        <v>42815</v>
      </c>
      <c r="B38" s="40">
        <v>9.6206549999999993</v>
      </c>
      <c r="C38" s="40">
        <v>17.330683000000001</v>
      </c>
      <c r="D38" s="40">
        <v>12.964582</v>
      </c>
      <c r="E38" s="40">
        <v>13.3059025</v>
      </c>
      <c r="F38" s="40">
        <v>14.035427</v>
      </c>
      <c r="G38" s="40">
        <v>10.462725000000001</v>
      </c>
      <c r="H38" s="40">
        <v>6.9110990000000001</v>
      </c>
      <c r="I38" s="40">
        <v>21.667349000000002</v>
      </c>
      <c r="J38" s="40">
        <v>16.564142</v>
      </c>
      <c r="K38" s="47">
        <v>10.755013999999999</v>
      </c>
      <c r="L38" s="47">
        <v>12.425433999999999</v>
      </c>
      <c r="M38" s="47">
        <v>11.150062999999999</v>
      </c>
      <c r="N38" s="47">
        <v>4.5857786999999997</v>
      </c>
    </row>
    <row r="39" spans="1:14" x14ac:dyDescent="0.35">
      <c r="A39" s="2">
        <v>42846</v>
      </c>
      <c r="B39" s="40">
        <v>5.8463693000000001</v>
      </c>
      <c r="C39" s="40">
        <v>14.3736</v>
      </c>
      <c r="D39" s="40">
        <v>8.4981200000000001</v>
      </c>
      <c r="E39" s="40">
        <v>8.8812350000000002</v>
      </c>
      <c r="F39" s="40">
        <v>8.2439900000000002</v>
      </c>
      <c r="G39" s="40">
        <v>7.5064780000000004</v>
      </c>
      <c r="H39" s="40">
        <v>3.470993</v>
      </c>
      <c r="I39" s="40">
        <v>21.033455</v>
      </c>
      <c r="J39" s="40">
        <v>14.585661999999999</v>
      </c>
      <c r="K39" s="47">
        <v>9.0148329999999994</v>
      </c>
      <c r="L39" s="47">
        <v>11.846268</v>
      </c>
      <c r="M39" s="47">
        <v>6.1112165000000003</v>
      </c>
      <c r="N39" s="47">
        <v>3.4668326</v>
      </c>
    </row>
    <row r="40" spans="1:14" x14ac:dyDescent="0.35">
      <c r="A40" s="2">
        <v>42874</v>
      </c>
      <c r="B40" s="40">
        <v>10.393214</v>
      </c>
      <c r="C40" s="40">
        <v>16.601562999999999</v>
      </c>
      <c r="D40" s="40">
        <v>11.379517</v>
      </c>
      <c r="E40" s="40">
        <v>26.387309999999999</v>
      </c>
      <c r="F40" s="40">
        <v>17.196918</v>
      </c>
      <c r="G40" s="40">
        <v>19.985019999999999</v>
      </c>
      <c r="H40" s="40">
        <v>13.928485</v>
      </c>
      <c r="I40" s="40">
        <v>32.2361</v>
      </c>
      <c r="J40" s="40">
        <v>19.121815000000002</v>
      </c>
      <c r="K40" s="47">
        <v>27.103591999999999</v>
      </c>
      <c r="L40" s="47">
        <v>25.983084000000002</v>
      </c>
      <c r="M40" s="47">
        <v>23.299289999999999</v>
      </c>
      <c r="N40" s="47">
        <v>25.864124</v>
      </c>
    </row>
    <row r="41" spans="1:14" x14ac:dyDescent="0.35">
      <c r="A41" s="2">
        <v>42907</v>
      </c>
      <c r="B41" s="40">
        <v>11.676477999999999</v>
      </c>
      <c r="C41" s="40">
        <v>14.132273</v>
      </c>
      <c r="D41" s="40">
        <v>6.9209337</v>
      </c>
      <c r="E41" s="40">
        <v>24.021685000000002</v>
      </c>
      <c r="F41" s="40">
        <v>17.67435</v>
      </c>
      <c r="G41" s="40">
        <v>16.748201000000002</v>
      </c>
      <c r="H41" s="40">
        <v>6.8324210000000001</v>
      </c>
      <c r="I41" s="40">
        <v>32.273853000000003</v>
      </c>
      <c r="J41" s="40">
        <v>18.9299</v>
      </c>
      <c r="K41" s="47">
        <v>23.316406000000001</v>
      </c>
      <c r="L41" s="47">
        <v>24.000430999999999</v>
      </c>
      <c r="M41" s="47">
        <v>20.526385999999999</v>
      </c>
      <c r="N41" s="47">
        <v>21.672606999999999</v>
      </c>
    </row>
    <row r="42" spans="1:14" x14ac:dyDescent="0.35">
      <c r="A42" s="2">
        <v>42937</v>
      </c>
      <c r="B42" s="40">
        <v>12.84436</v>
      </c>
      <c r="C42" s="40">
        <v>15.507102</v>
      </c>
      <c r="D42" s="40">
        <v>12.606764</v>
      </c>
      <c r="E42" s="40">
        <v>26.130866999999999</v>
      </c>
      <c r="F42" s="40">
        <v>16.874718000000001</v>
      </c>
      <c r="G42" s="40">
        <v>19.745730999999999</v>
      </c>
      <c r="H42" s="40">
        <v>13.602865</v>
      </c>
      <c r="I42" s="40">
        <v>28.643941999999999</v>
      </c>
      <c r="J42" s="40">
        <v>16.480945999999999</v>
      </c>
      <c r="K42" s="47">
        <v>29.390191999999999</v>
      </c>
      <c r="L42" s="47">
        <v>31.713056999999999</v>
      </c>
      <c r="M42" s="47">
        <v>26.376045000000001</v>
      </c>
      <c r="N42" s="47">
        <v>36.418987000000001</v>
      </c>
    </row>
    <row r="43" spans="1:14" x14ac:dyDescent="0.35">
      <c r="A43" s="2">
        <v>42968</v>
      </c>
      <c r="B43" s="40">
        <v>6.5295576999999998</v>
      </c>
      <c r="C43" s="40">
        <v>13.906813</v>
      </c>
      <c r="D43" s="40">
        <v>7.5004220000000004</v>
      </c>
      <c r="E43" s="40">
        <v>17.264557</v>
      </c>
      <c r="F43" s="40">
        <v>12.441706999999999</v>
      </c>
      <c r="G43" s="40">
        <v>13.605738000000001</v>
      </c>
      <c r="H43" s="40">
        <v>8.6556320000000007</v>
      </c>
      <c r="I43" s="40">
        <v>21.531296000000001</v>
      </c>
      <c r="J43" s="40">
        <v>13.410128</v>
      </c>
      <c r="K43" s="47">
        <v>24.44359</v>
      </c>
      <c r="L43" s="47">
        <v>26.098633</v>
      </c>
      <c r="M43" s="47">
        <v>19.484746999999999</v>
      </c>
      <c r="N43" s="47">
        <v>39.459442000000003</v>
      </c>
    </row>
    <row r="44" spans="1:14" x14ac:dyDescent="0.35">
      <c r="A44" s="2">
        <v>42999</v>
      </c>
      <c r="B44" s="40">
        <v>5.6785464000000001</v>
      </c>
      <c r="C44" s="40">
        <v>15.763367000000001</v>
      </c>
      <c r="D44" s="40">
        <v>14.949918</v>
      </c>
      <c r="E44" s="40">
        <v>25.351906</v>
      </c>
      <c r="F44" s="40">
        <v>11.335492</v>
      </c>
      <c r="G44" s="40">
        <v>15.542614</v>
      </c>
      <c r="H44" s="40">
        <v>13.860714</v>
      </c>
      <c r="I44" s="40">
        <v>23.493444</v>
      </c>
      <c r="J44" s="40">
        <v>17.894089000000001</v>
      </c>
      <c r="K44" s="47">
        <v>30.827224999999999</v>
      </c>
      <c r="L44" s="47">
        <v>29.385508000000002</v>
      </c>
      <c r="M44" s="47">
        <v>26.073349</v>
      </c>
      <c r="N44" s="47">
        <v>46.141804</v>
      </c>
    </row>
    <row r="45" spans="1:14" x14ac:dyDescent="0.35">
      <c r="A45" s="2">
        <v>43028</v>
      </c>
      <c r="B45" s="40">
        <v>12.511396</v>
      </c>
      <c r="C45" s="40">
        <v>16.305278999999999</v>
      </c>
      <c r="D45" s="40">
        <v>15.124941</v>
      </c>
      <c r="E45" s="40">
        <v>28.284120000000001</v>
      </c>
      <c r="F45" s="40">
        <v>16.486729</v>
      </c>
      <c r="G45" s="40">
        <v>20.0045</v>
      </c>
      <c r="H45" s="40">
        <v>19.040918000000001</v>
      </c>
      <c r="I45" s="40">
        <v>27.601814000000001</v>
      </c>
      <c r="J45" s="40">
        <v>22.64601</v>
      </c>
      <c r="K45" s="47">
        <v>31.987273999999999</v>
      </c>
      <c r="L45" s="47">
        <v>31.791962000000002</v>
      </c>
      <c r="M45" s="47">
        <v>30.303038000000001</v>
      </c>
      <c r="N45" s="47">
        <v>40.859400000000001</v>
      </c>
    </row>
    <row r="46" spans="1:14" x14ac:dyDescent="0.35">
      <c r="A46" s="2">
        <v>43060</v>
      </c>
      <c r="B46" s="40">
        <v>13.075900000000001</v>
      </c>
      <c r="C46" s="40">
        <v>18.541325000000001</v>
      </c>
      <c r="D46" s="40">
        <v>14.374995</v>
      </c>
      <c r="E46" s="40">
        <v>34.672367000000001</v>
      </c>
      <c r="F46" s="40">
        <v>21.723269999999999</v>
      </c>
      <c r="G46" s="40">
        <v>24.603199</v>
      </c>
      <c r="H46" s="40">
        <v>19.338643999999999</v>
      </c>
      <c r="I46" s="40">
        <v>32.493782000000003</v>
      </c>
      <c r="J46" s="40">
        <v>20.487679</v>
      </c>
      <c r="K46" s="47">
        <v>34.571243000000003</v>
      </c>
      <c r="L46" s="47">
        <v>36.042380000000001</v>
      </c>
      <c r="M46" s="47">
        <v>28.46322</v>
      </c>
      <c r="N46" s="47">
        <v>48.998961999999999</v>
      </c>
    </row>
    <row r="47" spans="1:14" x14ac:dyDescent="0.35">
      <c r="A47" s="2">
        <v>43090</v>
      </c>
      <c r="B47" s="40">
        <v>24.066675</v>
      </c>
      <c r="C47" s="40">
        <v>18.621825999999999</v>
      </c>
      <c r="D47" s="40">
        <v>13.181853</v>
      </c>
      <c r="E47" s="40">
        <v>28.951453999999998</v>
      </c>
      <c r="F47" s="40">
        <v>21.643363999999998</v>
      </c>
      <c r="G47" s="40">
        <v>23.216988000000001</v>
      </c>
      <c r="H47" s="40">
        <v>20.380687999999999</v>
      </c>
      <c r="I47" s="40">
        <v>31.983447999999999</v>
      </c>
      <c r="J47" s="40">
        <v>20.817947</v>
      </c>
      <c r="K47" s="47">
        <v>30.838549</v>
      </c>
      <c r="L47" s="47">
        <v>34.091030000000003</v>
      </c>
      <c r="M47" s="47">
        <v>23.075533</v>
      </c>
      <c r="N47" s="47">
        <v>30.968416000000001</v>
      </c>
    </row>
    <row r="48" spans="1:14" x14ac:dyDescent="0.35">
      <c r="A48" s="2">
        <v>43119</v>
      </c>
      <c r="B48" s="40">
        <v>18.407799000000001</v>
      </c>
      <c r="C48" s="40">
        <v>16.372012999999999</v>
      </c>
      <c r="D48" s="40">
        <v>15.618980000000001</v>
      </c>
      <c r="E48" s="40">
        <v>32.805970000000002</v>
      </c>
      <c r="F48" s="40">
        <v>28.904999</v>
      </c>
      <c r="G48" s="40">
        <v>24.888266000000002</v>
      </c>
      <c r="H48" s="40">
        <v>24.749003999999999</v>
      </c>
      <c r="I48" s="40">
        <v>36.491656999999996</v>
      </c>
      <c r="J48" s="40">
        <v>26.532506999999999</v>
      </c>
      <c r="K48" s="47">
        <v>35.261749999999999</v>
      </c>
      <c r="L48" s="47">
        <v>39.414752999999997</v>
      </c>
      <c r="M48" s="47">
        <v>27.855253000000001</v>
      </c>
      <c r="N48" s="47">
        <v>40.540460000000003</v>
      </c>
    </row>
    <row r="49" spans="1:14" x14ac:dyDescent="0.35">
      <c r="A49" s="2">
        <v>43152</v>
      </c>
      <c r="B49" s="40">
        <v>17.597961000000002</v>
      </c>
      <c r="C49" s="40">
        <v>7.2005629999999998</v>
      </c>
      <c r="D49" s="40">
        <v>3.3269047999999999</v>
      </c>
      <c r="E49" s="40">
        <v>20.416248</v>
      </c>
      <c r="F49" s="40">
        <v>18.728387999999999</v>
      </c>
      <c r="G49" s="40">
        <v>16.034662000000001</v>
      </c>
      <c r="H49" s="40">
        <v>14.289963</v>
      </c>
      <c r="I49" s="40">
        <v>27.499890000000001</v>
      </c>
      <c r="J49" s="40">
        <v>16.406036</v>
      </c>
      <c r="K49" s="47">
        <v>29.814743</v>
      </c>
      <c r="L49" s="47">
        <v>28.278563999999999</v>
      </c>
      <c r="M49" s="47">
        <v>14.927649499999999</v>
      </c>
      <c r="N49" s="47">
        <v>38.019170000000003</v>
      </c>
    </row>
    <row r="50" spans="1:14" x14ac:dyDescent="0.35">
      <c r="A50" s="2">
        <v>43180</v>
      </c>
      <c r="B50" s="40">
        <v>25.697958</v>
      </c>
      <c r="C50" s="40">
        <v>7.1657299999999999</v>
      </c>
      <c r="D50" s="40">
        <v>8.7530020000000004</v>
      </c>
      <c r="E50" s="40">
        <v>17.524683</v>
      </c>
      <c r="F50" s="40">
        <v>18.336285</v>
      </c>
      <c r="G50" s="40">
        <v>10.863459000000001</v>
      </c>
      <c r="H50" s="40">
        <v>11.094308</v>
      </c>
      <c r="I50" s="40">
        <v>29.705727</v>
      </c>
      <c r="J50" s="40">
        <v>17.904222000000001</v>
      </c>
      <c r="K50" s="47">
        <v>23.774994</v>
      </c>
      <c r="L50" s="47">
        <v>22.575686999999999</v>
      </c>
      <c r="M50" s="47">
        <v>12.040305</v>
      </c>
      <c r="N50" s="47">
        <v>31.599022000000001</v>
      </c>
    </row>
    <row r="51" spans="1:14" x14ac:dyDescent="0.35">
      <c r="A51" s="2">
        <v>43210</v>
      </c>
      <c r="B51" s="40">
        <v>17.618501999999999</v>
      </c>
      <c r="C51" s="40">
        <v>4.2449474</v>
      </c>
      <c r="D51" s="40">
        <v>7.4421762999999999</v>
      </c>
      <c r="E51" s="40">
        <v>18.866289999999999</v>
      </c>
      <c r="F51" s="40">
        <v>19.934141</v>
      </c>
      <c r="G51" s="40">
        <v>9.1251610000000003</v>
      </c>
      <c r="H51" s="40">
        <v>16.61805</v>
      </c>
      <c r="I51" s="40">
        <v>23.471487</v>
      </c>
      <c r="J51" s="40">
        <v>15.44354</v>
      </c>
      <c r="K51" s="47">
        <v>26.321923999999999</v>
      </c>
      <c r="L51" s="47">
        <v>21.541893000000002</v>
      </c>
      <c r="M51" s="47">
        <v>12.279928</v>
      </c>
      <c r="N51" s="47">
        <v>38.865077999999997</v>
      </c>
    </row>
    <row r="52" spans="1:14" x14ac:dyDescent="0.35">
      <c r="A52" s="2">
        <v>43241</v>
      </c>
      <c r="B52" s="40">
        <v>15.33103</v>
      </c>
      <c r="C52" s="40">
        <v>10.991299</v>
      </c>
      <c r="D52" s="40">
        <v>14.278257</v>
      </c>
      <c r="E52" s="40">
        <v>9.4014050000000005</v>
      </c>
      <c r="F52" s="40">
        <v>16.654813999999998</v>
      </c>
      <c r="G52" s="40">
        <v>1.3169884999999999</v>
      </c>
      <c r="H52" s="40">
        <v>11.35323</v>
      </c>
      <c r="I52" s="40">
        <v>23.23264</v>
      </c>
      <c r="J52" s="40">
        <v>16.895448999999999</v>
      </c>
      <c r="K52" s="47">
        <v>14.480114</v>
      </c>
      <c r="L52" s="47">
        <v>12.103653</v>
      </c>
      <c r="M52" s="47">
        <v>5.0052760000000003</v>
      </c>
      <c r="N52" s="47">
        <v>14.694941</v>
      </c>
    </row>
    <row r="53" spans="1:14" x14ac:dyDescent="0.35">
      <c r="A53" s="2">
        <v>43272</v>
      </c>
      <c r="B53" s="40">
        <v>13.550425000000001</v>
      </c>
      <c r="C53" s="40">
        <v>10.440123</v>
      </c>
      <c r="D53" s="40">
        <v>10.965216</v>
      </c>
      <c r="E53" s="40">
        <v>1.9338249999999999</v>
      </c>
      <c r="F53" s="40">
        <v>10.123194</v>
      </c>
      <c r="G53" s="40">
        <v>-3.300935</v>
      </c>
      <c r="H53" s="40">
        <v>9.1854209999999998</v>
      </c>
      <c r="I53" s="40">
        <v>25.857723</v>
      </c>
      <c r="J53" s="40">
        <v>14.984154999999999</v>
      </c>
      <c r="K53" s="47">
        <v>8.3747019999999992</v>
      </c>
      <c r="L53" s="47">
        <v>8.670795</v>
      </c>
      <c r="M53" s="47">
        <v>-2.831763</v>
      </c>
      <c r="N53" s="47">
        <v>7.5968980000000004</v>
      </c>
    </row>
    <row r="54" spans="1:14" x14ac:dyDescent="0.35">
      <c r="A54" s="2">
        <v>43301</v>
      </c>
      <c r="B54" s="40">
        <v>6.8689704000000003</v>
      </c>
      <c r="C54" s="40">
        <v>5.0643919999999998</v>
      </c>
      <c r="D54" s="40">
        <v>5.8956384999999996</v>
      </c>
      <c r="E54" s="40">
        <v>1.8783212</v>
      </c>
      <c r="F54" s="40">
        <v>8.8069919999999993</v>
      </c>
      <c r="G54" s="40">
        <v>-0.22394657000000001</v>
      </c>
      <c r="H54" s="40">
        <v>6.6113710000000001</v>
      </c>
      <c r="I54" s="40">
        <v>25.156901999999999</v>
      </c>
      <c r="J54" s="40">
        <v>15.295601</v>
      </c>
      <c r="K54" s="47">
        <v>8.211195</v>
      </c>
      <c r="L54" s="47">
        <v>7.1130513999999998</v>
      </c>
      <c r="M54" s="47">
        <v>-3.9302169999999998</v>
      </c>
      <c r="N54" s="47">
        <v>3.3340334999999999</v>
      </c>
    </row>
    <row r="55" spans="1:14" x14ac:dyDescent="0.35">
      <c r="A55" s="2">
        <v>43333</v>
      </c>
      <c r="B55" s="40">
        <v>5.8819413000000003</v>
      </c>
      <c r="C55" s="40">
        <v>5.4837584000000001</v>
      </c>
      <c r="D55" s="40">
        <v>7.9535245999999997</v>
      </c>
      <c r="E55" s="40">
        <v>1.2609482000000001</v>
      </c>
      <c r="F55" s="40">
        <v>7.2101829999999998</v>
      </c>
      <c r="G55" s="40">
        <v>3.8615583999999998</v>
      </c>
      <c r="H55" s="40">
        <v>6.1629056999999996</v>
      </c>
      <c r="I55" s="40">
        <v>28.904496999999999</v>
      </c>
      <c r="J55" s="40">
        <v>20.0822</v>
      </c>
      <c r="K55" s="47">
        <v>7.6238035999999996</v>
      </c>
      <c r="L55" s="47">
        <v>3.6139130000000002</v>
      </c>
      <c r="M55" s="47">
        <v>-0.89345574000000005</v>
      </c>
      <c r="N55" s="47">
        <v>-4.6880902999999998</v>
      </c>
    </row>
    <row r="56" spans="1:14" x14ac:dyDescent="0.35">
      <c r="A56" s="2">
        <v>43364</v>
      </c>
      <c r="B56" s="40">
        <v>8.6775059999999993</v>
      </c>
      <c r="C56" s="40">
        <v>3.3082246999999998</v>
      </c>
      <c r="D56" s="40">
        <v>2.8638720000000002</v>
      </c>
      <c r="E56" s="40">
        <v>-2.2801518000000001</v>
      </c>
      <c r="F56" s="40">
        <v>10.015631000000001</v>
      </c>
      <c r="G56" s="40">
        <v>4.0719510000000003</v>
      </c>
      <c r="H56" s="40">
        <v>2.6301146000000002</v>
      </c>
      <c r="I56" s="40">
        <v>27.918742999999999</v>
      </c>
      <c r="J56" s="40">
        <v>19.214594000000002</v>
      </c>
      <c r="K56" s="47">
        <v>5.7594180000000001</v>
      </c>
      <c r="L56" s="47">
        <v>0.92476605999999995</v>
      </c>
      <c r="M56" s="47">
        <v>-1.4743268</v>
      </c>
      <c r="N56" s="47">
        <v>-4.3923974000000001</v>
      </c>
    </row>
    <row r="57" spans="1:14" x14ac:dyDescent="0.35">
      <c r="A57" s="2">
        <v>43392</v>
      </c>
      <c r="B57" s="40">
        <v>1.8558621</v>
      </c>
      <c r="C57" s="40">
        <v>-5.4784955999999996</v>
      </c>
      <c r="D57" s="40">
        <v>-5.3635359999999999</v>
      </c>
      <c r="E57" s="40">
        <v>-12.9063015</v>
      </c>
      <c r="F57" s="40">
        <v>0.15021562999999999</v>
      </c>
      <c r="G57" s="40">
        <v>-3.7492692000000001</v>
      </c>
      <c r="H57" s="40">
        <v>-3.8349986</v>
      </c>
      <c r="I57" s="40">
        <v>17.558192999999999</v>
      </c>
      <c r="J57" s="40">
        <v>9.9662070000000007</v>
      </c>
      <c r="K57" s="47">
        <v>-4.9195950000000002</v>
      </c>
      <c r="L57" s="47">
        <v>-7.9832314999999996</v>
      </c>
      <c r="M57" s="47">
        <v>-12.184744999999999</v>
      </c>
      <c r="N57" s="47">
        <v>-14.245462</v>
      </c>
    </row>
    <row r="58" spans="1:14" x14ac:dyDescent="0.35">
      <c r="A58" s="2">
        <v>43425</v>
      </c>
      <c r="B58" s="40">
        <v>8.0583810000000007</v>
      </c>
      <c r="C58" s="40">
        <v>-5.6506452999999999</v>
      </c>
      <c r="D58" s="40">
        <v>-7.2210193</v>
      </c>
      <c r="E58" s="40">
        <v>-16.562688999999999</v>
      </c>
      <c r="F58" s="40">
        <v>-7.4737252999999999</v>
      </c>
      <c r="G58" s="40">
        <v>-3.8512588000000001</v>
      </c>
      <c r="H58" s="40">
        <v>-4.6031000000000004</v>
      </c>
      <c r="I58" s="40">
        <v>3.9249420000000002</v>
      </c>
      <c r="J58" s="40">
        <v>3.7916660000000002</v>
      </c>
      <c r="K58" s="47">
        <v>-7.4524936999999998</v>
      </c>
      <c r="L58" s="47">
        <v>-8.5463050000000003</v>
      </c>
      <c r="M58" s="47">
        <v>-12.932532999999999</v>
      </c>
      <c r="N58" s="47">
        <v>-16.101140000000001</v>
      </c>
    </row>
    <row r="59" spans="1:14" x14ac:dyDescent="0.35">
      <c r="A59" s="2">
        <v>43455</v>
      </c>
      <c r="B59" s="40">
        <v>-1.0457753999999999</v>
      </c>
      <c r="C59" s="40">
        <v>-14.629591</v>
      </c>
      <c r="D59" s="40">
        <v>-17.627980000000001</v>
      </c>
      <c r="E59" s="40">
        <v>-22.965305000000001</v>
      </c>
      <c r="F59" s="40">
        <v>-15.558201</v>
      </c>
      <c r="G59" s="40">
        <v>-10.513370999999999</v>
      </c>
      <c r="H59" s="40">
        <v>-14.369422</v>
      </c>
      <c r="I59" s="40">
        <v>-5.8097659999999998</v>
      </c>
      <c r="J59" s="40">
        <v>-8.3254760000000001</v>
      </c>
      <c r="K59" s="47">
        <v>-14.660543000000001</v>
      </c>
      <c r="L59" s="47">
        <v>-16.659344000000001</v>
      </c>
      <c r="M59" s="47">
        <v>-16.030729999999998</v>
      </c>
      <c r="N59" s="47">
        <v>-18.983280000000001</v>
      </c>
    </row>
    <row r="60" spans="1:14" x14ac:dyDescent="0.35">
      <c r="A60" s="2">
        <v>43483</v>
      </c>
      <c r="B60" s="40">
        <v>3.3406376999999998</v>
      </c>
      <c r="C60" s="40">
        <v>-7.6987386000000004</v>
      </c>
      <c r="D60" s="40">
        <v>-10.434514</v>
      </c>
      <c r="E60" s="40">
        <v>-21.56551</v>
      </c>
      <c r="F60" s="40">
        <v>-13.294422000000001</v>
      </c>
      <c r="G60" s="40">
        <v>-6.6663265000000003</v>
      </c>
      <c r="H60" s="40">
        <v>-13.025451</v>
      </c>
      <c r="I60" s="40">
        <v>0.50828457000000005</v>
      </c>
      <c r="J60" s="40">
        <v>-2.7171789999999998</v>
      </c>
      <c r="K60" s="47">
        <v>-15.058522999999999</v>
      </c>
      <c r="L60" s="47">
        <v>-16.070097000000001</v>
      </c>
      <c r="M60" s="47">
        <v>-14.101611999999999</v>
      </c>
      <c r="N60" s="47">
        <v>-19.67408</v>
      </c>
    </row>
    <row r="61" spans="1:14" x14ac:dyDescent="0.35">
      <c r="A61" s="2">
        <v>43517</v>
      </c>
      <c r="B61" s="40">
        <v>5.7259200000000003</v>
      </c>
      <c r="C61" s="40">
        <v>-2.4933814999999999</v>
      </c>
      <c r="D61" s="40">
        <v>0.98950859999999996</v>
      </c>
      <c r="E61" s="40">
        <v>-15.671563000000001</v>
      </c>
      <c r="F61" s="40">
        <v>-8.3918569999999999</v>
      </c>
      <c r="G61" s="40">
        <v>-0.36559700000000001</v>
      </c>
      <c r="H61" s="40">
        <v>-3.6597729000000001</v>
      </c>
      <c r="I61" s="40">
        <v>5.0159573999999996</v>
      </c>
      <c r="J61" s="40">
        <v>4.6935320000000003</v>
      </c>
      <c r="K61" s="47">
        <v>-6.6388426000000003</v>
      </c>
      <c r="L61" s="47">
        <v>-6.1630669999999999</v>
      </c>
      <c r="M61" s="47">
        <v>-9.3703029999999998</v>
      </c>
      <c r="N61" s="47">
        <v>-13.752121000000001</v>
      </c>
    </row>
    <row r="62" spans="1:14" x14ac:dyDescent="0.35">
      <c r="A62" s="2">
        <v>43545</v>
      </c>
      <c r="B62" s="40">
        <v>4.6070099999999998</v>
      </c>
      <c r="C62" s="40">
        <v>0.48916340000000003</v>
      </c>
      <c r="D62" s="40">
        <v>1.8964291</v>
      </c>
      <c r="E62" s="40">
        <v>-13.208092000000001</v>
      </c>
      <c r="F62" s="40">
        <v>-7.2426500000000003</v>
      </c>
      <c r="G62" s="40">
        <v>5.3550719999999998</v>
      </c>
      <c r="H62" s="40">
        <v>0.99672079999999996</v>
      </c>
      <c r="I62" s="40">
        <v>10.328711</v>
      </c>
      <c r="J62" s="40">
        <v>7.3421954999999999</v>
      </c>
      <c r="K62" s="47">
        <v>-2.4625123000000002</v>
      </c>
      <c r="L62" s="47">
        <v>-4.0434302999999998</v>
      </c>
      <c r="M62" s="47">
        <v>-3.4519494000000002</v>
      </c>
      <c r="N62" s="47">
        <v>-9.3039690000000004</v>
      </c>
    </row>
    <row r="63" spans="1:14" x14ac:dyDescent="0.35">
      <c r="A63" s="2">
        <v>43573</v>
      </c>
      <c r="B63" s="40">
        <v>8.8264469999999999</v>
      </c>
      <c r="C63" s="40">
        <v>2.5232673000000001</v>
      </c>
      <c r="D63" s="40">
        <v>3.4927130000000002</v>
      </c>
      <c r="E63" s="40">
        <v>-12.290746</v>
      </c>
      <c r="F63" s="40">
        <v>-7.9028130000000001</v>
      </c>
      <c r="G63" s="40">
        <v>5.8181405000000002</v>
      </c>
      <c r="H63" s="40">
        <v>-3.1199574000000001</v>
      </c>
      <c r="I63" s="40">
        <v>13.568056</v>
      </c>
      <c r="J63" s="40">
        <v>9.3526600000000002</v>
      </c>
      <c r="K63" s="47">
        <v>-3.9040685000000002</v>
      </c>
      <c r="L63" s="47">
        <v>-3.2620369999999999</v>
      </c>
      <c r="M63" s="47">
        <v>1.3731122</v>
      </c>
      <c r="N63" s="47">
        <v>-13.536607999999999</v>
      </c>
    </row>
    <row r="64" spans="1:14" x14ac:dyDescent="0.35">
      <c r="A64" s="2">
        <v>43606</v>
      </c>
      <c r="B64" s="40">
        <v>11.5543</v>
      </c>
      <c r="C64" s="40">
        <v>1.6533256000000001</v>
      </c>
      <c r="D64" s="40">
        <v>-1.5604913</v>
      </c>
      <c r="E64" s="40">
        <v>-13.562703000000001</v>
      </c>
      <c r="F64" s="40">
        <v>-10.590368</v>
      </c>
      <c r="G64" s="40">
        <v>7.165718</v>
      </c>
      <c r="H64" s="40">
        <v>-8.0845719999999996</v>
      </c>
      <c r="I64" s="40">
        <v>8.9158170000000005</v>
      </c>
      <c r="J64" s="40">
        <v>6.8516016000000004</v>
      </c>
      <c r="K64" s="47">
        <v>-7.1867228000000001</v>
      </c>
      <c r="L64" s="47">
        <v>-3.7944019999999998</v>
      </c>
      <c r="M64" s="47">
        <v>-7.3400020000000001</v>
      </c>
      <c r="N64" s="47">
        <v>-11.395645</v>
      </c>
    </row>
    <row r="65" spans="1:14" x14ac:dyDescent="0.35">
      <c r="A65" s="2">
        <v>43637</v>
      </c>
      <c r="B65" s="40">
        <v>7.8069924999999998</v>
      </c>
      <c r="C65" s="40">
        <v>5.5072903999999996</v>
      </c>
      <c r="D65" s="40">
        <v>3.8697599999999999</v>
      </c>
      <c r="E65" s="40">
        <v>-5.9959707</v>
      </c>
      <c r="F65" s="40">
        <v>-5.4775895999999999</v>
      </c>
      <c r="G65" s="40">
        <v>19.175315999999999</v>
      </c>
      <c r="H65" s="40">
        <v>-2.3589551000000002</v>
      </c>
      <c r="I65" s="40">
        <v>8.0223449999999996</v>
      </c>
      <c r="J65" s="40">
        <v>9.3379019999999997</v>
      </c>
      <c r="K65" s="47">
        <v>2.9508470999999998</v>
      </c>
      <c r="L65" s="47">
        <v>2.6864528999999999</v>
      </c>
      <c r="M65" s="47">
        <v>3.3981322999999999</v>
      </c>
      <c r="N65" s="47">
        <v>0.64803359999999999</v>
      </c>
    </row>
    <row r="66" spans="1:14" x14ac:dyDescent="0.35">
      <c r="A66" s="2">
        <v>43665</v>
      </c>
      <c r="B66" s="40">
        <v>20.487117999999999</v>
      </c>
      <c r="C66" s="40">
        <v>6.7316890000000003</v>
      </c>
      <c r="D66" s="40">
        <v>2.5981784000000001</v>
      </c>
      <c r="E66" s="40">
        <v>-9.1190999999999995</v>
      </c>
      <c r="F66" s="40">
        <v>-4.1643914999999998</v>
      </c>
      <c r="G66" s="40">
        <v>13.758254000000001</v>
      </c>
      <c r="H66" s="40">
        <v>-2.4239063000000001</v>
      </c>
      <c r="I66" s="40">
        <v>7.6281667000000004</v>
      </c>
      <c r="J66" s="40">
        <v>8.2433340000000008</v>
      </c>
      <c r="K66" s="47">
        <v>0.34408569999999999</v>
      </c>
      <c r="L66" s="47">
        <v>1.4854788999999999</v>
      </c>
      <c r="M66" s="47">
        <v>9.3984603999999999E-2</v>
      </c>
      <c r="N66" s="47">
        <v>-0.49554705999999998</v>
      </c>
    </row>
    <row r="67" spans="1:14" x14ac:dyDescent="0.35">
      <c r="A67" s="2">
        <v>43698</v>
      </c>
      <c r="B67" s="40">
        <v>10.975754</v>
      </c>
      <c r="C67" s="40">
        <v>-0.52369832999999999</v>
      </c>
      <c r="D67" s="40">
        <v>-0.67018867000000004</v>
      </c>
      <c r="E67" s="40">
        <v>-10.937576999999999</v>
      </c>
      <c r="F67" s="40">
        <v>-5.2883680000000002</v>
      </c>
      <c r="G67" s="40">
        <v>10.155511000000001</v>
      </c>
      <c r="H67" s="40">
        <v>-6.9848179999999997</v>
      </c>
      <c r="I67" s="40">
        <v>5.5033444999999999</v>
      </c>
      <c r="J67" s="40">
        <v>4.1654825000000004</v>
      </c>
      <c r="K67" s="47">
        <v>-2.3132980000000001</v>
      </c>
      <c r="L67" s="47">
        <v>1.1499405</v>
      </c>
      <c r="M67" s="47">
        <v>-7.577312</v>
      </c>
      <c r="N67" s="47">
        <v>-0.53632855000000001</v>
      </c>
    </row>
    <row r="68" spans="1:14" x14ac:dyDescent="0.35">
      <c r="A68" s="2">
        <v>43728</v>
      </c>
      <c r="B68" s="40">
        <v>7.7381253000000001</v>
      </c>
      <c r="C68" s="40">
        <v>6.0284256999999997</v>
      </c>
      <c r="D68" s="40">
        <v>3.0931354</v>
      </c>
      <c r="E68" s="40">
        <v>-8.622617</v>
      </c>
      <c r="F68" s="40">
        <v>-3.3336996999999999</v>
      </c>
      <c r="G68" s="40">
        <v>8.6988090000000007</v>
      </c>
      <c r="H68" s="40">
        <v>-3.225422</v>
      </c>
      <c r="I68" s="40">
        <v>4.1981697000000002</v>
      </c>
      <c r="J68" s="40">
        <v>4.1026473000000001</v>
      </c>
      <c r="K68" s="47">
        <v>-1.3008952</v>
      </c>
      <c r="L68" s="47">
        <v>4.8190236000000004</v>
      </c>
      <c r="M68" s="47">
        <v>-5.9595227</v>
      </c>
      <c r="N68" s="47">
        <v>-0.21587013999999999</v>
      </c>
    </row>
    <row r="69" spans="1:14" x14ac:dyDescent="0.35">
      <c r="A69" s="2">
        <v>43759</v>
      </c>
      <c r="B69" s="40">
        <v>21.810186000000002</v>
      </c>
      <c r="C69" s="40">
        <v>14.090562</v>
      </c>
      <c r="D69" s="40">
        <v>8.6733229999999999</v>
      </c>
      <c r="E69" s="40">
        <v>4.5859220000000001</v>
      </c>
      <c r="F69" s="40">
        <v>3.7189841000000001</v>
      </c>
      <c r="G69" s="40">
        <v>16.749404999999999</v>
      </c>
      <c r="H69" s="40">
        <v>4.548216</v>
      </c>
      <c r="I69" s="40">
        <v>12.779486</v>
      </c>
      <c r="J69" s="40">
        <v>10.765839</v>
      </c>
      <c r="K69" s="47">
        <v>9.0632319999999993</v>
      </c>
      <c r="L69" s="47">
        <v>15.792142999999999</v>
      </c>
      <c r="M69" s="47">
        <v>8.3417300000000001</v>
      </c>
      <c r="N69" s="47">
        <v>17.291391000000001</v>
      </c>
    </row>
    <row r="70" spans="1:14" x14ac:dyDescent="0.35">
      <c r="A70" s="2">
        <v>43790</v>
      </c>
      <c r="B70" s="40">
        <v>18.556415999999999</v>
      </c>
      <c r="C70" s="40">
        <v>15.237045</v>
      </c>
      <c r="D70" s="40">
        <v>14.242993999999999</v>
      </c>
      <c r="E70" s="40">
        <v>10.508442000000001</v>
      </c>
      <c r="F70" s="40">
        <v>11.526154999999999</v>
      </c>
      <c r="G70" s="40">
        <v>20.647358000000001</v>
      </c>
      <c r="H70" s="40">
        <v>7.2574019999999999</v>
      </c>
      <c r="I70" s="40">
        <v>26.903963000000001</v>
      </c>
      <c r="J70" s="40">
        <v>19.415987000000001</v>
      </c>
      <c r="K70" s="47">
        <v>16.862130000000001</v>
      </c>
      <c r="L70" s="47">
        <v>18.646871999999998</v>
      </c>
      <c r="M70" s="47">
        <v>13.683593999999999</v>
      </c>
      <c r="N70" s="47">
        <v>23.423408999999999</v>
      </c>
    </row>
    <row r="71" spans="1:14" x14ac:dyDescent="0.35">
      <c r="A71" s="2">
        <v>43819</v>
      </c>
      <c r="B71" s="40">
        <v>27.090788</v>
      </c>
      <c r="C71" s="40">
        <v>24.711943000000002</v>
      </c>
      <c r="D71" s="40">
        <v>26.612304999999999</v>
      </c>
      <c r="E71" s="40">
        <v>19.456458999999999</v>
      </c>
      <c r="F71" s="40">
        <v>19.203721999999999</v>
      </c>
      <c r="G71" s="40">
        <v>32.928739999999998</v>
      </c>
      <c r="H71" s="40">
        <v>20.379007000000001</v>
      </c>
      <c r="I71" s="40">
        <v>40.269244999999998</v>
      </c>
      <c r="J71" s="40">
        <v>33.004367999999999</v>
      </c>
      <c r="K71" s="47">
        <v>26.226212</v>
      </c>
      <c r="L71" s="47">
        <v>31.58672</v>
      </c>
      <c r="M71" s="47">
        <v>24.912071000000001</v>
      </c>
      <c r="N71" s="47">
        <v>26.589822999999999</v>
      </c>
    </row>
    <row r="72" spans="1:14" x14ac:dyDescent="0.35">
      <c r="A72" s="2">
        <v>43851</v>
      </c>
      <c r="B72" s="40">
        <v>25.380061999999999</v>
      </c>
      <c r="C72" s="40">
        <v>17.990970000000001</v>
      </c>
      <c r="D72" s="40">
        <v>18.395078999999999</v>
      </c>
      <c r="E72" s="40">
        <v>14.789353999999999</v>
      </c>
      <c r="F72" s="40">
        <v>12.043512</v>
      </c>
      <c r="G72" s="40">
        <v>27.28584</v>
      </c>
      <c r="H72" s="40">
        <v>13.699282</v>
      </c>
      <c r="I72" s="40">
        <v>36.228214000000001</v>
      </c>
      <c r="J72" s="40">
        <v>26.68618</v>
      </c>
      <c r="K72" s="47">
        <v>22.605170000000001</v>
      </c>
      <c r="L72" s="47">
        <v>26.747799000000001</v>
      </c>
      <c r="M72" s="47">
        <v>18.100429999999999</v>
      </c>
      <c r="N72" s="47">
        <v>19.005465999999998</v>
      </c>
    </row>
    <row r="73" spans="1:14" x14ac:dyDescent="0.35">
      <c r="A73" s="2">
        <v>43882</v>
      </c>
      <c r="B73" s="40">
        <v>20.544280000000001</v>
      </c>
      <c r="C73" s="40">
        <v>12.439192</v>
      </c>
      <c r="D73" s="40">
        <v>12.868047000000001</v>
      </c>
      <c r="E73" s="40">
        <v>11.089600000000001</v>
      </c>
      <c r="F73" s="40">
        <v>5.9802055000000003</v>
      </c>
      <c r="G73" s="40">
        <v>24.647976</v>
      </c>
      <c r="H73" s="40">
        <v>5.4584979999999996</v>
      </c>
      <c r="I73" s="40">
        <v>35.278309999999998</v>
      </c>
      <c r="J73" s="40">
        <v>22.481881999999999</v>
      </c>
      <c r="K73" s="47">
        <v>13.915407</v>
      </c>
      <c r="L73" s="47">
        <v>18.452083999999999</v>
      </c>
      <c r="M73" s="47">
        <v>17.627144000000001</v>
      </c>
      <c r="N73" s="47">
        <v>16.861688999999998</v>
      </c>
    </row>
    <row r="74" spans="1:14" x14ac:dyDescent="0.35">
      <c r="A74" s="2">
        <v>43910</v>
      </c>
      <c r="B74" s="40">
        <v>-19.199144</v>
      </c>
      <c r="C74" s="40">
        <v>-35.075560000000003</v>
      </c>
      <c r="D74" s="40">
        <v>-31.267834000000001</v>
      </c>
      <c r="E74" s="40">
        <v>-32.28537</v>
      </c>
      <c r="F74" s="40">
        <v>-15.501462999999999</v>
      </c>
      <c r="G74" s="40">
        <v>-10.032755</v>
      </c>
      <c r="H74" s="40">
        <v>-37.581949999999999</v>
      </c>
      <c r="I74" s="40">
        <v>-4.4323740000000003</v>
      </c>
      <c r="J74" s="40">
        <v>-17.05302</v>
      </c>
      <c r="K74" s="47">
        <v>-30.573844999999999</v>
      </c>
      <c r="L74" s="47">
        <v>-23.229568</v>
      </c>
      <c r="M74" s="47">
        <v>-27.132719000000002</v>
      </c>
      <c r="N74" s="47">
        <v>-31.481148000000001</v>
      </c>
    </row>
    <row r="75" spans="1:14" x14ac:dyDescent="0.35">
      <c r="A75" s="2">
        <v>43942</v>
      </c>
      <c r="B75" s="40">
        <v>-5.8498799999999997</v>
      </c>
      <c r="C75" s="40">
        <v>-26.401233999999999</v>
      </c>
      <c r="D75" s="40">
        <v>-19.758272000000002</v>
      </c>
      <c r="E75" s="40">
        <v>-20.274346999999999</v>
      </c>
      <c r="F75" s="40">
        <v>-8.5562889999999996</v>
      </c>
      <c r="G75" s="40">
        <v>3.7368774</v>
      </c>
      <c r="H75" s="40">
        <v>-26.937353000000002</v>
      </c>
      <c r="I75" s="40">
        <v>10.272657000000001</v>
      </c>
      <c r="J75" s="40">
        <v>-3.9055228</v>
      </c>
      <c r="K75" s="47">
        <v>-22.326028999999998</v>
      </c>
      <c r="L75" s="47">
        <v>-11.021953999999999</v>
      </c>
      <c r="M75" s="47">
        <v>-18.519950000000001</v>
      </c>
      <c r="N75" s="47">
        <v>-27.324290000000001</v>
      </c>
    </row>
    <row r="76" spans="1:14" x14ac:dyDescent="0.35">
      <c r="A76" s="2">
        <v>43972</v>
      </c>
      <c r="B76" s="40">
        <v>0.29762982999999998</v>
      </c>
      <c r="C76" s="40">
        <v>-18.082470000000001</v>
      </c>
      <c r="D76" s="40">
        <v>-11.716336</v>
      </c>
      <c r="E76" s="40">
        <v>-11.291079999999999</v>
      </c>
      <c r="F76" s="40">
        <v>-0.11547208</v>
      </c>
      <c r="G76" s="40">
        <v>6.1518550000000003</v>
      </c>
      <c r="H76" s="40">
        <v>-19.69455</v>
      </c>
      <c r="I76" s="40">
        <v>26.945328</v>
      </c>
      <c r="J76" s="40">
        <v>5.0523043000000003</v>
      </c>
      <c r="K76" s="47">
        <v>-16.973590000000002</v>
      </c>
      <c r="L76" s="47">
        <v>-0.46412945</v>
      </c>
      <c r="M76" s="47">
        <v>-3.2337248000000001</v>
      </c>
      <c r="N76" s="47">
        <v>-20.747935999999999</v>
      </c>
    </row>
    <row r="77" spans="1:14" x14ac:dyDescent="0.35">
      <c r="A77" s="2">
        <v>44001</v>
      </c>
      <c r="B77" s="40">
        <v>9.3308450000000001</v>
      </c>
      <c r="C77" s="40">
        <v>-11.115766000000001</v>
      </c>
      <c r="D77" s="40">
        <v>-7.5748262000000004</v>
      </c>
      <c r="E77" s="40">
        <v>-1.7128527</v>
      </c>
      <c r="F77" s="40">
        <v>4.9200296000000003</v>
      </c>
      <c r="G77" s="40">
        <v>7.2384715000000002</v>
      </c>
      <c r="H77" s="40">
        <v>-16.585795999999998</v>
      </c>
      <c r="I77" s="40">
        <v>31.647682</v>
      </c>
      <c r="J77" s="40">
        <v>7.9727053999999997</v>
      </c>
      <c r="K77" s="47">
        <v>-10.062122</v>
      </c>
      <c r="L77" s="47">
        <v>7.3874116000000001</v>
      </c>
      <c r="M77" s="47">
        <v>2.7854800000000002</v>
      </c>
      <c r="N77" s="47">
        <v>-10.368705</v>
      </c>
    </row>
    <row r="78" spans="1:14" x14ac:dyDescent="0.35">
      <c r="A78" s="2">
        <v>44033</v>
      </c>
      <c r="B78" s="40">
        <v>9.7783329999999999</v>
      </c>
      <c r="C78" s="40">
        <v>-6.8170365999999998</v>
      </c>
      <c r="D78" s="40">
        <v>-3.5031319000000001</v>
      </c>
      <c r="E78" s="40">
        <v>8.8210820000000005</v>
      </c>
      <c r="F78" s="40">
        <v>4.9093485000000001</v>
      </c>
      <c r="G78" s="40">
        <v>11.24152</v>
      </c>
      <c r="H78" s="40">
        <v>-14.142191</v>
      </c>
      <c r="I78" s="40">
        <v>39.325057999999999</v>
      </c>
      <c r="J78" s="40">
        <v>11.5835905</v>
      </c>
      <c r="K78" s="47">
        <v>-3.9749979999999998</v>
      </c>
      <c r="L78" s="47">
        <v>12.808025000000001</v>
      </c>
      <c r="M78" s="47">
        <v>16.077363999999999</v>
      </c>
      <c r="N78" s="47">
        <v>-3.7781596</v>
      </c>
    </row>
    <row r="79" spans="1:14" x14ac:dyDescent="0.35">
      <c r="A79" s="2">
        <v>44064</v>
      </c>
      <c r="B79" s="40">
        <v>15.795172000000001</v>
      </c>
      <c r="C79" s="40">
        <v>-0.4047811</v>
      </c>
      <c r="D79" s="40">
        <v>4.038799</v>
      </c>
      <c r="E79" s="40">
        <v>14.0456915</v>
      </c>
      <c r="F79" s="40">
        <v>9.8962420000000009</v>
      </c>
      <c r="G79" s="40">
        <v>13.763344</v>
      </c>
      <c r="H79" s="40">
        <v>-8.8751549999999995</v>
      </c>
      <c r="I79" s="40">
        <v>50.632786000000003</v>
      </c>
      <c r="J79" s="40">
        <v>18.432580000000002</v>
      </c>
      <c r="K79" s="47">
        <v>-0.99000929999999998</v>
      </c>
      <c r="L79" s="47">
        <v>16.397880000000001</v>
      </c>
      <c r="M79" s="47">
        <v>25.651109999999999</v>
      </c>
      <c r="N79" s="47">
        <v>-0.76788069999999997</v>
      </c>
    </row>
    <row r="80" spans="1:14" x14ac:dyDescent="0.35">
      <c r="A80" s="2">
        <v>44095</v>
      </c>
      <c r="B80" s="40">
        <v>13.333201000000001</v>
      </c>
      <c r="C80" s="40">
        <v>-9.1153680000000001</v>
      </c>
      <c r="D80" s="40">
        <v>-4.4898749999999996</v>
      </c>
      <c r="E80" s="40">
        <v>7.845974</v>
      </c>
      <c r="F80" s="40">
        <v>4.5599936999999997</v>
      </c>
      <c r="G80" s="40">
        <v>13.211893999999999</v>
      </c>
      <c r="H80" s="40">
        <v>-17.489857000000001</v>
      </c>
      <c r="I80" s="40">
        <v>41.537964000000002</v>
      </c>
      <c r="J80" s="40">
        <v>11.773275999999999</v>
      </c>
      <c r="K80" s="47">
        <v>-6.7943809999999996</v>
      </c>
      <c r="L80" s="47">
        <v>10.544098</v>
      </c>
      <c r="M80" s="47">
        <v>18.219137</v>
      </c>
      <c r="N80" s="47">
        <v>-9.8462104999999998</v>
      </c>
    </row>
    <row r="81" spans="1:14" x14ac:dyDescent="0.35">
      <c r="A81" s="2">
        <v>44125</v>
      </c>
      <c r="B81" s="40">
        <v>16.836666000000001</v>
      </c>
      <c r="C81" s="40">
        <v>-5.5016335999999999</v>
      </c>
      <c r="D81" s="40">
        <v>-0.77264904999999995</v>
      </c>
      <c r="E81" s="40">
        <v>3.8595079999999999</v>
      </c>
      <c r="F81" s="40">
        <v>4.9292207000000001</v>
      </c>
      <c r="G81" s="40">
        <v>10.989893</v>
      </c>
      <c r="H81" s="40">
        <v>-18.207502000000002</v>
      </c>
      <c r="I81" s="40">
        <v>48.050953</v>
      </c>
      <c r="J81" s="40">
        <v>16.492927999999999</v>
      </c>
      <c r="K81" s="47">
        <v>-6.067151</v>
      </c>
      <c r="L81" s="47">
        <v>13.565874000000001</v>
      </c>
      <c r="M81" s="47">
        <v>17.410098999999999</v>
      </c>
      <c r="N81" s="47">
        <v>-12.220829999999999</v>
      </c>
    </row>
    <row r="82" spans="1:14" x14ac:dyDescent="0.35">
      <c r="A82" s="2">
        <v>44155</v>
      </c>
      <c r="B82" s="40">
        <v>22.844898000000001</v>
      </c>
      <c r="C82" s="40">
        <v>5.1719546000000003</v>
      </c>
      <c r="D82" s="40">
        <v>2.8758287</v>
      </c>
      <c r="E82" s="40">
        <v>5.3857803000000004</v>
      </c>
      <c r="F82" s="40">
        <v>11.037564</v>
      </c>
      <c r="G82" s="40">
        <v>12.4339695</v>
      </c>
      <c r="H82" s="40">
        <v>-8.9975889999999996</v>
      </c>
      <c r="I82" s="40">
        <v>44.720280000000002</v>
      </c>
      <c r="J82" s="40">
        <v>16.58616</v>
      </c>
      <c r="K82" s="47">
        <v>2.840519</v>
      </c>
      <c r="L82" s="47">
        <v>19.687926999999998</v>
      </c>
      <c r="M82" s="47">
        <v>25.774061</v>
      </c>
      <c r="N82" s="47">
        <v>-2.0162165000000001</v>
      </c>
    </row>
    <row r="83" spans="1:14" x14ac:dyDescent="0.35">
      <c r="A83" s="2">
        <v>44186</v>
      </c>
      <c r="B83" s="40">
        <v>16.808641000000001</v>
      </c>
      <c r="C83" s="40">
        <v>7.730162</v>
      </c>
      <c r="D83" s="40">
        <v>6.1364770000000002</v>
      </c>
      <c r="E83" s="40">
        <v>9.6141815000000008</v>
      </c>
      <c r="F83" s="40">
        <v>11.397600000000001</v>
      </c>
      <c r="G83" s="40">
        <v>10.232305999999999</v>
      </c>
      <c r="H83" s="40">
        <v>-11.534375000000001</v>
      </c>
      <c r="I83" s="40">
        <v>47.275149999999996</v>
      </c>
      <c r="J83" s="40">
        <v>16.877555999999998</v>
      </c>
      <c r="K83" s="47">
        <v>2.6211858000000001</v>
      </c>
      <c r="L83" s="47">
        <v>22.946632000000001</v>
      </c>
      <c r="M83" s="47">
        <v>20.693016</v>
      </c>
      <c r="N83" s="47">
        <v>-1.168102</v>
      </c>
    </row>
    <row r="84" spans="1:14" x14ac:dyDescent="0.35">
      <c r="A84" s="2">
        <v>44217</v>
      </c>
      <c r="B84" s="40">
        <v>18.715022999999999</v>
      </c>
      <c r="C84" s="40">
        <v>9.9327930000000002</v>
      </c>
      <c r="D84" s="40">
        <v>7.1853040000000004</v>
      </c>
      <c r="E84" s="40">
        <v>12.128878</v>
      </c>
      <c r="F84" s="40">
        <v>17.852795</v>
      </c>
      <c r="G84" s="40">
        <v>11.671162000000001</v>
      </c>
      <c r="H84" s="40">
        <v>-5.8751049999999996</v>
      </c>
      <c r="I84" s="40">
        <v>47.209060000000001</v>
      </c>
      <c r="J84" s="40">
        <v>18.186892</v>
      </c>
      <c r="K84" s="47">
        <v>4.6288729999999996</v>
      </c>
      <c r="L84" s="47">
        <v>32.673189999999998</v>
      </c>
      <c r="M84" s="47">
        <v>27.798152999999999</v>
      </c>
      <c r="N84" s="47">
        <v>2.8477907</v>
      </c>
    </row>
    <row r="85" spans="1:14" x14ac:dyDescent="0.35">
      <c r="A85" s="2">
        <v>44246</v>
      </c>
      <c r="B85" s="40">
        <v>15.103304</v>
      </c>
      <c r="C85" s="40">
        <v>12.046385000000001</v>
      </c>
      <c r="D85" s="40">
        <v>9.7798459999999992</v>
      </c>
      <c r="E85" s="40">
        <v>13.379860000000001</v>
      </c>
      <c r="F85" s="40">
        <v>25.598013000000002</v>
      </c>
      <c r="G85" s="40">
        <v>7.2370887000000002</v>
      </c>
      <c r="H85" s="40">
        <v>-3.2562612999999998</v>
      </c>
      <c r="I85" s="40">
        <v>40.679229999999997</v>
      </c>
      <c r="J85" s="40">
        <v>17.471577</v>
      </c>
      <c r="K85" s="47">
        <v>7.3681355000000002</v>
      </c>
      <c r="L85" s="47">
        <v>34.827219999999997</v>
      </c>
      <c r="M85" s="47">
        <v>29.495370000000001</v>
      </c>
      <c r="N85" s="47">
        <v>1.3450979999999999</v>
      </c>
    </row>
    <row r="86" spans="1:14" x14ac:dyDescent="0.35">
      <c r="A86" s="2">
        <v>44274</v>
      </c>
      <c r="B86" s="40">
        <v>58.146942000000003</v>
      </c>
      <c r="C86" s="40">
        <v>81.063929999999999</v>
      </c>
      <c r="D86" s="40">
        <v>85.066376000000005</v>
      </c>
      <c r="E86" s="40">
        <v>87.381810000000002</v>
      </c>
      <c r="F86" s="40">
        <v>58.968806999999998</v>
      </c>
      <c r="G86" s="40">
        <v>38.784218000000003</v>
      </c>
      <c r="H86" s="40">
        <v>56.38485</v>
      </c>
      <c r="I86" s="40">
        <v>77.515540000000001</v>
      </c>
      <c r="J86" s="40">
        <v>65.562780000000004</v>
      </c>
      <c r="K86" s="47">
        <v>76.44829</v>
      </c>
      <c r="L86" s="47">
        <v>96.140199999999993</v>
      </c>
      <c r="M86" s="47">
        <v>96.535194000000004</v>
      </c>
      <c r="N86" s="47">
        <v>73.40231</v>
      </c>
    </row>
    <row r="87" spans="1:14" x14ac:dyDescent="0.35">
      <c r="A87" s="2">
        <v>44307</v>
      </c>
      <c r="B87" s="40">
        <v>38.789496999999997</v>
      </c>
      <c r="C87" s="40">
        <v>72.267510000000001</v>
      </c>
      <c r="D87" s="40">
        <v>59.385849999999998</v>
      </c>
      <c r="E87" s="40">
        <v>61.065612999999999</v>
      </c>
      <c r="F87" s="40">
        <v>39.576756000000003</v>
      </c>
      <c r="G87" s="40">
        <v>30.682431999999999</v>
      </c>
      <c r="H87" s="40">
        <v>41.633595</v>
      </c>
      <c r="I87" s="40">
        <v>66.629683999999997</v>
      </c>
      <c r="J87" s="40">
        <v>54.842793</v>
      </c>
      <c r="K87" s="47">
        <v>60.113239999999998</v>
      </c>
      <c r="L87" s="47">
        <v>80.532160000000005</v>
      </c>
      <c r="M87" s="47">
        <v>88.173903999999993</v>
      </c>
      <c r="N87" s="47">
        <v>64.461749999999995</v>
      </c>
    </row>
    <row r="88" spans="1:14" x14ac:dyDescent="0.35">
      <c r="A88" s="2">
        <v>44337</v>
      </c>
      <c r="B88" s="40">
        <v>27.468109999999999</v>
      </c>
      <c r="C88" s="40">
        <v>54.959023000000002</v>
      </c>
      <c r="D88" s="40">
        <v>56.362212999999997</v>
      </c>
      <c r="E88" s="40">
        <v>50.698790000000002</v>
      </c>
      <c r="F88" s="40">
        <v>30.689990999999999</v>
      </c>
      <c r="G88" s="40">
        <v>29.960940999999998</v>
      </c>
      <c r="H88" s="40">
        <v>37.884307999999997</v>
      </c>
      <c r="I88" s="40">
        <v>43.771970000000003</v>
      </c>
      <c r="J88" s="40">
        <v>42.985120000000002</v>
      </c>
      <c r="K88" s="47">
        <v>61.212966999999999</v>
      </c>
      <c r="L88" s="47">
        <v>66.764949999999999</v>
      </c>
      <c r="M88" s="47">
        <v>72.496055999999996</v>
      </c>
      <c r="N88" s="47">
        <v>63.216186999999998</v>
      </c>
    </row>
    <row r="89" spans="1:14" x14ac:dyDescent="0.35">
      <c r="A89" s="2">
        <v>44368</v>
      </c>
      <c r="B89" s="40">
        <v>14.146113</v>
      </c>
      <c r="C89" s="40">
        <v>41.715110000000003</v>
      </c>
      <c r="D89" s="40">
        <v>48.231949999999998</v>
      </c>
      <c r="E89" s="40">
        <v>34.432720000000003</v>
      </c>
      <c r="F89" s="40">
        <v>22.661245000000001</v>
      </c>
      <c r="G89" s="40">
        <v>27.937937000000002</v>
      </c>
      <c r="H89" s="40">
        <v>31.061409999999999</v>
      </c>
      <c r="I89" s="40">
        <v>42.035876999999999</v>
      </c>
      <c r="J89" s="40">
        <v>38.406289999999998</v>
      </c>
      <c r="K89" s="47">
        <v>44.726900000000001</v>
      </c>
      <c r="L89" s="47">
        <v>50.722168000000003</v>
      </c>
      <c r="M89" s="47">
        <v>57.296097000000003</v>
      </c>
      <c r="N89" s="47">
        <v>40.75855</v>
      </c>
    </row>
    <row r="90" spans="1:14" x14ac:dyDescent="0.35">
      <c r="A90" s="2">
        <v>44398</v>
      </c>
      <c r="B90" s="40">
        <v>6.3613653000000001</v>
      </c>
      <c r="C90" s="40">
        <v>28.56672</v>
      </c>
      <c r="D90" s="40">
        <v>37.744568000000001</v>
      </c>
      <c r="E90" s="40">
        <v>19.980228</v>
      </c>
      <c r="F90" s="40">
        <v>21.451616000000001</v>
      </c>
      <c r="G90" s="40">
        <v>22.540236</v>
      </c>
      <c r="H90" s="40">
        <v>24.242735</v>
      </c>
      <c r="I90" s="40">
        <v>37.731254999999997</v>
      </c>
      <c r="J90" s="40">
        <v>35.71049</v>
      </c>
      <c r="K90" s="47">
        <v>31.242847000000001</v>
      </c>
      <c r="L90" s="47">
        <v>40.724693000000002</v>
      </c>
      <c r="M90" s="47">
        <v>40.464435999999999</v>
      </c>
      <c r="N90" s="47">
        <v>23.709296999999999</v>
      </c>
    </row>
    <row r="91" spans="1:14" x14ac:dyDescent="0.35">
      <c r="A91" s="2">
        <v>44428</v>
      </c>
      <c r="B91" s="40">
        <v>7.6261044</v>
      </c>
      <c r="C91" s="40">
        <v>24.464189999999999</v>
      </c>
      <c r="D91" s="40">
        <v>30.262566</v>
      </c>
      <c r="E91" s="40">
        <v>19.722926999999999</v>
      </c>
      <c r="F91" s="40">
        <v>16.691064999999998</v>
      </c>
      <c r="G91" s="40">
        <v>23.472607</v>
      </c>
      <c r="H91" s="40">
        <v>25.591909999999999</v>
      </c>
      <c r="I91" s="40">
        <v>32.110011999999998</v>
      </c>
      <c r="J91" s="40">
        <v>33.030307999999998</v>
      </c>
      <c r="K91" s="47">
        <v>33.048926999999999</v>
      </c>
      <c r="L91" s="47">
        <v>46.343814999999999</v>
      </c>
      <c r="M91" s="47">
        <v>38.064148000000003</v>
      </c>
      <c r="N91" s="47">
        <v>29.188395</v>
      </c>
    </row>
    <row r="92" spans="1:14" x14ac:dyDescent="0.35">
      <c r="A92" s="2">
        <v>44460</v>
      </c>
      <c r="B92" s="40">
        <v>13.399506000000001</v>
      </c>
      <c r="C92" s="40">
        <v>30.4587</v>
      </c>
      <c r="D92" s="40">
        <v>35.383735999999999</v>
      </c>
      <c r="E92" s="40">
        <v>19.096601</v>
      </c>
      <c r="F92" s="40">
        <v>26.488865000000001</v>
      </c>
      <c r="G92" s="40">
        <v>17.235828000000001</v>
      </c>
      <c r="H92" s="40">
        <v>31.006239999999998</v>
      </c>
      <c r="I92" s="40">
        <v>37.605730000000001</v>
      </c>
      <c r="J92" s="40">
        <v>34.502160000000003</v>
      </c>
      <c r="K92" s="47">
        <v>36.659348000000001</v>
      </c>
      <c r="L92" s="47">
        <v>52.175925999999997</v>
      </c>
      <c r="M92" s="47">
        <v>34.308549999999997</v>
      </c>
      <c r="N92" s="47">
        <v>32.184303</v>
      </c>
    </row>
    <row r="93" spans="1:14" x14ac:dyDescent="0.35">
      <c r="A93" s="2">
        <v>44490</v>
      </c>
      <c r="B93" s="40">
        <v>6.2321663000000003</v>
      </c>
      <c r="C93" s="40">
        <v>31.263565</v>
      </c>
      <c r="D93" s="40">
        <v>44.127974999999999</v>
      </c>
      <c r="E93" s="40">
        <v>18.570650000000001</v>
      </c>
      <c r="F93" s="40">
        <v>15.454197000000001</v>
      </c>
      <c r="G93" s="40">
        <v>22.039401999999999</v>
      </c>
      <c r="H93" s="40">
        <v>36.277546000000001</v>
      </c>
      <c r="I93" s="40">
        <v>33.463036000000002</v>
      </c>
      <c r="J93" s="40">
        <v>34.223700000000001</v>
      </c>
      <c r="K93" s="47">
        <v>37.457478000000002</v>
      </c>
      <c r="L93" s="47">
        <v>45.528267</v>
      </c>
      <c r="M93" s="47">
        <v>36.653590000000001</v>
      </c>
      <c r="N93" s="47">
        <v>38.062607</v>
      </c>
    </row>
    <row r="94" spans="1:14" x14ac:dyDescent="0.35">
      <c r="A94" s="2">
        <v>44519</v>
      </c>
      <c r="B94" s="40">
        <v>-5.4415646000000004</v>
      </c>
      <c r="C94" s="40">
        <v>13.800514</v>
      </c>
      <c r="D94" s="40">
        <v>35.591197999999999</v>
      </c>
      <c r="E94" s="40">
        <v>15.45149</v>
      </c>
      <c r="F94" s="40">
        <v>10.432862999999999</v>
      </c>
      <c r="G94" s="40">
        <v>20.169985</v>
      </c>
      <c r="H94" s="40">
        <v>18.678605999999998</v>
      </c>
      <c r="I94" s="40">
        <v>38.912211999999997</v>
      </c>
      <c r="J94" s="40">
        <v>32.914616000000002</v>
      </c>
      <c r="K94" s="47">
        <v>24.080717</v>
      </c>
      <c r="L94" s="47">
        <v>37.394596</v>
      </c>
      <c r="M94" s="47">
        <v>25.656341999999999</v>
      </c>
      <c r="N94" s="47">
        <v>19.354641000000001</v>
      </c>
    </row>
    <row r="95" spans="1:14" x14ac:dyDescent="0.35">
      <c r="A95" s="2">
        <v>44551</v>
      </c>
      <c r="B95" s="40">
        <v>-8.62608</v>
      </c>
      <c r="C95" s="40">
        <v>7.1513653000000001</v>
      </c>
      <c r="D95" s="40">
        <v>22.964359999999999</v>
      </c>
      <c r="E95" s="40">
        <v>4.7300816000000001</v>
      </c>
      <c r="F95" s="40">
        <v>3.9005876000000002</v>
      </c>
      <c r="G95" s="40">
        <v>20.213318000000001</v>
      </c>
      <c r="H95" s="40">
        <v>16.64574</v>
      </c>
      <c r="I95" s="40">
        <v>26.598120000000002</v>
      </c>
      <c r="J95" s="40">
        <v>27.573512999999998</v>
      </c>
      <c r="K95" s="47">
        <v>19.808567</v>
      </c>
      <c r="L95" s="47">
        <v>20.194911999999999</v>
      </c>
      <c r="M95" s="47">
        <v>18.168413000000001</v>
      </c>
      <c r="N95" s="47">
        <v>14.011919000000001</v>
      </c>
    </row>
    <row r="96" spans="1:14" x14ac:dyDescent="0.35">
      <c r="A96" s="2">
        <v>44582</v>
      </c>
      <c r="B96" s="40">
        <v>-17.388104999999999</v>
      </c>
      <c r="C96" s="40">
        <v>-1.7044127</v>
      </c>
      <c r="D96" s="40">
        <v>19.529402000000001</v>
      </c>
      <c r="E96" s="40">
        <v>0.78982114999999997</v>
      </c>
      <c r="F96" s="40">
        <v>-4.4038352999999999</v>
      </c>
      <c r="G96" s="40">
        <v>11.046350500000001</v>
      </c>
      <c r="H96" s="40">
        <v>13.883661999999999</v>
      </c>
      <c r="I96" s="40">
        <v>8.2810400000000008</v>
      </c>
      <c r="J96" s="40">
        <v>15.520096000000001</v>
      </c>
      <c r="K96" s="47">
        <v>17.296742999999999</v>
      </c>
      <c r="L96" s="47">
        <v>6.6034554999999999</v>
      </c>
      <c r="M96" s="47">
        <v>5.8457613000000004</v>
      </c>
      <c r="N96" s="47">
        <v>11.726927999999999</v>
      </c>
    </row>
    <row r="97" spans="1:14" x14ac:dyDescent="0.35">
      <c r="A97" s="2">
        <v>44610</v>
      </c>
      <c r="B97" s="40">
        <v>-15.3697195</v>
      </c>
      <c r="C97" s="40">
        <v>-0.27561187999999998</v>
      </c>
      <c r="D97" s="40">
        <v>17.657518</v>
      </c>
      <c r="E97" s="40">
        <v>-1.7961204</v>
      </c>
      <c r="F97" s="40">
        <v>-8.3947769999999995</v>
      </c>
      <c r="G97" s="40">
        <v>9.8991989999999994</v>
      </c>
      <c r="H97" s="40">
        <v>15.511011999999999</v>
      </c>
      <c r="I97" s="40">
        <v>3.2143950000000001</v>
      </c>
      <c r="J97" s="40">
        <v>12.631536000000001</v>
      </c>
      <c r="K97" s="47">
        <v>13.938188999999999</v>
      </c>
      <c r="L97" s="47">
        <v>-0.11744499</v>
      </c>
      <c r="M97" s="47">
        <v>-2.326101</v>
      </c>
      <c r="N97" s="47">
        <v>9.2936630000000005</v>
      </c>
    </row>
    <row r="98" spans="1:14" x14ac:dyDescent="0.35">
      <c r="A98" s="2">
        <v>44641</v>
      </c>
      <c r="B98" s="40">
        <v>-10.028261000000001</v>
      </c>
      <c r="C98" s="40">
        <v>9.3896979999999992</v>
      </c>
      <c r="D98" s="40">
        <v>19.131350999999999</v>
      </c>
      <c r="E98" s="40">
        <v>-12.233866000000001</v>
      </c>
      <c r="F98" s="40">
        <v>-10.115271999999999</v>
      </c>
      <c r="G98" s="40">
        <v>11.533022000000001</v>
      </c>
      <c r="H98" s="40">
        <v>11.013424000000001</v>
      </c>
      <c r="I98" s="40">
        <v>12.474918000000001</v>
      </c>
      <c r="J98" s="40">
        <v>15.609883999999999</v>
      </c>
      <c r="K98" s="47">
        <v>2.9941797000000001</v>
      </c>
      <c r="L98" s="47">
        <v>-4.7760543999999996</v>
      </c>
      <c r="M98" s="47">
        <v>-6.6150545999999997</v>
      </c>
      <c r="N98" s="47">
        <v>-6.0311794000000001</v>
      </c>
    </row>
    <row r="99" spans="1:14" x14ac:dyDescent="0.35">
      <c r="A99" s="2">
        <v>44672</v>
      </c>
      <c r="B99" s="40">
        <v>-16.115856000000001</v>
      </c>
      <c r="C99" s="40">
        <v>5.854368</v>
      </c>
      <c r="D99" s="40">
        <v>14.712154</v>
      </c>
      <c r="E99" s="40">
        <v>-18.759786999999999</v>
      </c>
      <c r="F99" s="40">
        <v>-13.753532999999999</v>
      </c>
      <c r="G99" s="40">
        <v>4.4575570000000004</v>
      </c>
      <c r="H99" s="40">
        <v>7.9454064000000004</v>
      </c>
      <c r="I99" s="40">
        <v>-1.0399938</v>
      </c>
      <c r="J99" s="40">
        <v>6.6800116999999997</v>
      </c>
      <c r="K99" s="47">
        <v>-2.2895216999999999</v>
      </c>
      <c r="L99" s="47">
        <v>-14.675694</v>
      </c>
      <c r="M99" s="47">
        <v>-14.446759</v>
      </c>
      <c r="N99" s="47">
        <v>-7.1136055000000002</v>
      </c>
    </row>
    <row r="100" spans="1:14" x14ac:dyDescent="0.35">
      <c r="A100" s="2">
        <v>44701</v>
      </c>
      <c r="B100" s="40">
        <v>-22.549772000000001</v>
      </c>
      <c r="C100" s="40">
        <v>-4.8100652999999998</v>
      </c>
      <c r="D100" s="40">
        <v>-1.1663854</v>
      </c>
      <c r="E100" s="40">
        <v>-24.760033</v>
      </c>
      <c r="F100" s="40">
        <v>-13.746845</v>
      </c>
      <c r="G100" s="40">
        <v>-6.7990836999999997</v>
      </c>
      <c r="H100" s="40">
        <v>-1.2080668999999999</v>
      </c>
      <c r="I100" s="40">
        <v>-11.786586</v>
      </c>
      <c r="J100" s="40">
        <v>-4.9335599999999999</v>
      </c>
      <c r="K100" s="47">
        <v>-11.472379999999999</v>
      </c>
      <c r="L100" s="47">
        <v>-22.919577</v>
      </c>
      <c r="M100" s="47">
        <v>-23.684781999999998</v>
      </c>
      <c r="N100" s="47">
        <v>-13.8714075</v>
      </c>
    </row>
    <row r="101" spans="1:14" x14ac:dyDescent="0.35">
      <c r="A101" s="2">
        <v>44733</v>
      </c>
      <c r="B101" s="40">
        <v>-25.024933000000001</v>
      </c>
      <c r="C101" s="40">
        <v>-13.504612</v>
      </c>
      <c r="D101" s="40">
        <v>-6.5502048000000004</v>
      </c>
      <c r="E101" s="40">
        <v>-28.801352000000001</v>
      </c>
      <c r="F101" s="40">
        <v>-20.806615999999998</v>
      </c>
      <c r="G101" s="40">
        <v>-17.38016</v>
      </c>
      <c r="H101" s="40">
        <v>-5.0030289999999997</v>
      </c>
      <c r="I101" s="40">
        <v>-17.923169999999999</v>
      </c>
      <c r="J101" s="40">
        <v>-9.6099560000000004</v>
      </c>
      <c r="K101" s="47">
        <v>-17.046309000000001</v>
      </c>
      <c r="L101" s="47">
        <v>-26.683920000000001</v>
      </c>
      <c r="M101" s="47">
        <v>-28.250677</v>
      </c>
      <c r="N101" s="47">
        <v>-21.47823</v>
      </c>
    </row>
    <row r="102" spans="1:14" x14ac:dyDescent="0.35">
      <c r="A102" s="2">
        <v>44763</v>
      </c>
      <c r="B102" s="40">
        <v>-22.259443000000001</v>
      </c>
      <c r="C102" s="40">
        <v>-9.6273540000000004</v>
      </c>
      <c r="D102" s="40">
        <v>-5.6979600000000001</v>
      </c>
      <c r="E102" s="40">
        <v>-30.039411999999999</v>
      </c>
      <c r="F102" s="40">
        <v>-17.378080000000001</v>
      </c>
      <c r="G102" s="40">
        <v>-12.359821</v>
      </c>
      <c r="H102" s="40">
        <v>-3.5720646</v>
      </c>
      <c r="I102" s="40">
        <v>-14.513301999999999</v>
      </c>
      <c r="J102" s="40">
        <v>-6.9212794000000004</v>
      </c>
      <c r="K102" s="47">
        <v>-13.41517</v>
      </c>
      <c r="L102" s="47">
        <v>-21.959232</v>
      </c>
      <c r="M102" s="47">
        <v>-26.714098</v>
      </c>
      <c r="N102" s="47">
        <v>-23.504639000000001</v>
      </c>
    </row>
    <row r="103" spans="1:14" x14ac:dyDescent="0.35">
      <c r="A103" s="2">
        <v>44792</v>
      </c>
      <c r="B103" s="40">
        <v>-19.348085000000001</v>
      </c>
      <c r="C103" s="40">
        <v>-4.3497029999999999</v>
      </c>
      <c r="D103" s="40">
        <v>0.13304948999999999</v>
      </c>
      <c r="E103" s="40">
        <v>-30.727577</v>
      </c>
      <c r="F103" s="40">
        <v>-14.547229</v>
      </c>
      <c r="G103" s="40">
        <v>-13.679928</v>
      </c>
      <c r="H103" s="40">
        <v>-1.7900467</v>
      </c>
      <c r="I103" s="40">
        <v>-10.8002</v>
      </c>
      <c r="J103" s="40">
        <v>-2.6607512999999998</v>
      </c>
      <c r="K103" s="47">
        <v>-11.839998</v>
      </c>
      <c r="L103" s="47">
        <v>-26.004159999999999</v>
      </c>
      <c r="M103" s="47">
        <v>-26.441389999999998</v>
      </c>
      <c r="N103" s="47">
        <v>-22.530853</v>
      </c>
    </row>
    <row r="104" spans="1:14" x14ac:dyDescent="0.35">
      <c r="A104" s="2">
        <v>44825</v>
      </c>
      <c r="B104" s="40">
        <v>-27.999759999999998</v>
      </c>
      <c r="C104" s="40">
        <v>-11.358494</v>
      </c>
      <c r="D104" s="40">
        <v>-7.5458883999999999</v>
      </c>
      <c r="E104" s="40">
        <v>-35.099125000000001</v>
      </c>
      <c r="F104" s="40">
        <v>-28.998816000000001</v>
      </c>
      <c r="G104" s="40">
        <v>-17.720371</v>
      </c>
      <c r="H104" s="40">
        <v>-9.3733489999999993</v>
      </c>
      <c r="I104" s="40">
        <v>-22.076028999999998</v>
      </c>
      <c r="J104" s="40">
        <v>-11.6495905</v>
      </c>
      <c r="K104" s="47">
        <v>-20.882760999999999</v>
      </c>
      <c r="L104" s="47">
        <v>-36.49259</v>
      </c>
      <c r="M104" s="47">
        <v>-34.684063000000002</v>
      </c>
      <c r="N104" s="47">
        <v>-24.39847</v>
      </c>
    </row>
    <row r="105" spans="1:14" x14ac:dyDescent="0.35">
      <c r="A105" s="2">
        <v>44855</v>
      </c>
      <c r="B105" s="40">
        <v>-33.132182999999998</v>
      </c>
      <c r="C105" s="40">
        <v>-17.26098</v>
      </c>
      <c r="D105" s="40">
        <v>-17.430353</v>
      </c>
      <c r="E105" s="40">
        <v>-34.304703000000003</v>
      </c>
      <c r="F105" s="40">
        <v>-25.680720999999998</v>
      </c>
      <c r="G105" s="40">
        <v>-20.911532999999999</v>
      </c>
      <c r="H105" s="40">
        <v>-15.624392</v>
      </c>
      <c r="I105" s="40">
        <v>-26.54382</v>
      </c>
      <c r="J105" s="40">
        <v>-16.231209</v>
      </c>
      <c r="K105" s="47">
        <v>-21.130704999999999</v>
      </c>
      <c r="L105" s="47">
        <v>-37.135117000000001</v>
      </c>
      <c r="M105" s="47">
        <v>-37.448647000000001</v>
      </c>
      <c r="N105" s="47">
        <v>-27.777815</v>
      </c>
    </row>
    <row r="106" spans="1:14" x14ac:dyDescent="0.35">
      <c r="A106" s="2">
        <v>44886</v>
      </c>
      <c r="B106" s="40">
        <v>-20.682938</v>
      </c>
      <c r="C106" s="40">
        <v>-4.9186706999999998</v>
      </c>
      <c r="D106" s="40">
        <v>-10.664457000000001</v>
      </c>
      <c r="E106" s="40">
        <v>-24.081553</v>
      </c>
      <c r="F106" s="40">
        <v>-21.259266</v>
      </c>
      <c r="G106" s="40">
        <v>-15.248526</v>
      </c>
      <c r="H106" s="40">
        <v>-4.4610557999999996</v>
      </c>
      <c r="I106" s="40">
        <v>-29.790766000000001</v>
      </c>
      <c r="J106" s="40">
        <v>-14.569573999999999</v>
      </c>
      <c r="K106" s="47">
        <v>-12.767136000000001</v>
      </c>
      <c r="L106" s="47">
        <v>-26.951962999999999</v>
      </c>
      <c r="M106" s="47">
        <v>-28.090637000000001</v>
      </c>
      <c r="N106" s="47">
        <v>-14.489889</v>
      </c>
    </row>
    <row r="107" spans="1:14" x14ac:dyDescent="0.35">
      <c r="A107" s="2">
        <v>44916</v>
      </c>
      <c r="B107" s="40">
        <v>-15.470283999999999</v>
      </c>
      <c r="C107" s="40">
        <v>-2.9372633000000001</v>
      </c>
      <c r="D107" s="40">
        <v>-9.3854480000000002</v>
      </c>
      <c r="E107" s="40">
        <v>-19.811015999999999</v>
      </c>
      <c r="F107" s="40">
        <v>-17.126387000000001</v>
      </c>
      <c r="G107" s="40">
        <v>-16.282254999999999</v>
      </c>
      <c r="H107" s="40">
        <v>-0.93626379999999998</v>
      </c>
      <c r="I107" s="40">
        <v>-29.226154000000001</v>
      </c>
      <c r="J107" s="40">
        <v>-15.234828</v>
      </c>
      <c r="K107" s="47">
        <v>-9.0480509999999992</v>
      </c>
      <c r="L107" s="47">
        <v>-20.040596000000001</v>
      </c>
      <c r="M107" s="47">
        <v>-23.605941999999999</v>
      </c>
      <c r="N107" s="47">
        <v>-11.609107</v>
      </c>
    </row>
    <row r="108" spans="1:14" x14ac:dyDescent="0.35">
      <c r="A108" s="2">
        <v>44946</v>
      </c>
      <c r="B108" s="40">
        <v>-5.5835543000000003</v>
      </c>
      <c r="C108" s="40">
        <v>6.2864899999999997</v>
      </c>
      <c r="D108" s="40">
        <v>-7.0787009999999997</v>
      </c>
      <c r="E108" s="40">
        <v>-12.26018</v>
      </c>
      <c r="F108" s="40">
        <v>-10.012627</v>
      </c>
      <c r="G108" s="40">
        <v>-8.9620829999999998</v>
      </c>
      <c r="H108" s="40">
        <v>-1.0501444</v>
      </c>
      <c r="I108" s="40">
        <v>-21.277052000000001</v>
      </c>
      <c r="J108" s="40">
        <v>-9.9450230000000008</v>
      </c>
      <c r="K108" s="47">
        <v>-2.2762418000000002</v>
      </c>
      <c r="L108" s="47">
        <v>-10.747946000000001</v>
      </c>
      <c r="M108" s="47">
        <v>-14.970589</v>
      </c>
      <c r="N108" s="47">
        <v>-5.7245073</v>
      </c>
    </row>
    <row r="109" spans="1:14" x14ac:dyDescent="0.35">
      <c r="A109" s="2">
        <v>44978</v>
      </c>
      <c r="B109" s="40">
        <v>-6.4585923999999997</v>
      </c>
      <c r="C109" s="40">
        <v>2.872789</v>
      </c>
      <c r="D109" s="40">
        <v>-6.9654702999999998</v>
      </c>
      <c r="E109" s="40">
        <v>-8.5081279999999992</v>
      </c>
      <c r="F109" s="40">
        <v>-10.423719</v>
      </c>
      <c r="G109" s="40">
        <v>-5.9243620000000004</v>
      </c>
      <c r="H109" s="40">
        <v>-1.1040270000000001</v>
      </c>
      <c r="I109" s="40">
        <v>-13.270462</v>
      </c>
      <c r="J109" s="40">
        <v>-6.5972384999999996</v>
      </c>
      <c r="K109" s="47">
        <v>1.7509102999999999</v>
      </c>
      <c r="L109" s="47">
        <v>-6.6717680000000001</v>
      </c>
      <c r="M109" s="47">
        <v>-7.2367486999999997</v>
      </c>
      <c r="N109" s="47">
        <v>-1.6975880000000001</v>
      </c>
    </row>
    <row r="110" spans="1:14" x14ac:dyDescent="0.35">
      <c r="A110" s="2">
        <v>45006</v>
      </c>
      <c r="B110" s="40">
        <v>-13.5198</v>
      </c>
      <c r="C110" s="40">
        <v>-8.8865040000000004</v>
      </c>
      <c r="D110" s="40">
        <v>-16.292262999999998</v>
      </c>
      <c r="E110" s="40">
        <v>-0.35440326</v>
      </c>
      <c r="F110" s="40">
        <v>-7.5437839999999996</v>
      </c>
      <c r="G110" s="40">
        <v>-8.2729820000000007</v>
      </c>
      <c r="H110" s="40">
        <v>-2.2809029000000001</v>
      </c>
      <c r="I110" s="40">
        <v>-10.673279000000001</v>
      </c>
      <c r="J110" s="40">
        <v>-8.7020820000000008</v>
      </c>
      <c r="K110" s="47">
        <v>8.9485530000000004</v>
      </c>
      <c r="L110" s="47">
        <v>-1.973635</v>
      </c>
      <c r="M110" s="47">
        <v>-9.8359950000000005</v>
      </c>
      <c r="N110" s="47">
        <v>8.0883500000000002</v>
      </c>
    </row>
    <row r="111" spans="1:14" x14ac:dyDescent="0.35">
      <c r="A111" s="2">
        <v>45037</v>
      </c>
      <c r="B111" s="40">
        <v>-5.1137090000000001</v>
      </c>
      <c r="C111" s="40">
        <v>-6.9708110000000003</v>
      </c>
      <c r="D111" s="40">
        <v>-8.7463320000000007</v>
      </c>
      <c r="E111" s="40">
        <v>9.1710089999999997</v>
      </c>
      <c r="F111" s="40">
        <v>3.3749937999999999</v>
      </c>
      <c r="G111" s="40">
        <v>2.3167968000000001</v>
      </c>
      <c r="H111" s="40">
        <v>3.5435677000000001</v>
      </c>
      <c r="I111" s="40">
        <v>-4.5240400000000003</v>
      </c>
      <c r="J111" s="40">
        <v>-4.2972029999999997</v>
      </c>
      <c r="K111" s="47">
        <v>18.409109999999998</v>
      </c>
      <c r="L111" s="47">
        <v>5.1791549999999997</v>
      </c>
      <c r="M111" s="47">
        <v>-1.7357349</v>
      </c>
      <c r="N111" s="47">
        <v>14.7589445</v>
      </c>
    </row>
    <row r="112" spans="1:14" x14ac:dyDescent="0.35">
      <c r="A112" s="2">
        <v>45065</v>
      </c>
      <c r="B112" s="40">
        <v>9.8643190000000001</v>
      </c>
      <c r="C112" s="40">
        <v>1.4905094999999999</v>
      </c>
      <c r="D112" s="40">
        <v>-2.1205186999999999</v>
      </c>
      <c r="E112" s="40">
        <v>16.519238000000001</v>
      </c>
      <c r="F112" s="40">
        <v>9.4433070000000008</v>
      </c>
      <c r="G112" s="40">
        <v>12.381721000000001</v>
      </c>
      <c r="H112" s="40">
        <v>8.4365729999999992</v>
      </c>
      <c r="I112" s="40">
        <v>17.095542999999999</v>
      </c>
      <c r="J112" s="40">
        <v>9.3219390000000004</v>
      </c>
      <c r="K112" s="47">
        <v>23.454190000000001</v>
      </c>
      <c r="L112" s="47">
        <v>18.119382999999999</v>
      </c>
      <c r="M112" s="47">
        <v>7.1743965000000003</v>
      </c>
      <c r="N112" s="47">
        <v>18.378997999999999</v>
      </c>
    </row>
    <row r="113" spans="1:14" x14ac:dyDescent="0.35">
      <c r="A113" s="2">
        <v>45098</v>
      </c>
      <c r="B113" s="40">
        <v>10.863865000000001</v>
      </c>
      <c r="C113" s="40">
        <v>13.04121</v>
      </c>
      <c r="D113" s="40">
        <v>2.8443694000000002</v>
      </c>
      <c r="E113" s="40">
        <v>22.038305000000001</v>
      </c>
      <c r="F113" s="40">
        <v>20.827938</v>
      </c>
      <c r="G113" s="40">
        <v>17.13748</v>
      </c>
      <c r="H113" s="40">
        <v>12.242818</v>
      </c>
      <c r="I113" s="40">
        <v>29.673587999999999</v>
      </c>
      <c r="J113" s="40">
        <v>17.873322999999999</v>
      </c>
      <c r="K113" s="47">
        <v>28.749106999999999</v>
      </c>
      <c r="L113" s="47">
        <v>23.436678000000001</v>
      </c>
      <c r="M113" s="47">
        <v>11.955965000000001</v>
      </c>
      <c r="N113" s="47">
        <v>31.516038999999999</v>
      </c>
    </row>
    <row r="114" spans="1:14" x14ac:dyDescent="0.35">
      <c r="A114" s="2">
        <v>45128</v>
      </c>
      <c r="B114" s="40">
        <v>6.9228769999999997</v>
      </c>
      <c r="C114" s="40">
        <v>10.420358999999999</v>
      </c>
      <c r="D114" s="40">
        <v>8.0378895000000004</v>
      </c>
      <c r="E114" s="40">
        <v>29.870165</v>
      </c>
      <c r="F114" s="40">
        <v>15.514922</v>
      </c>
      <c r="G114" s="40">
        <v>14.296436</v>
      </c>
      <c r="H114" s="40">
        <v>15.900755</v>
      </c>
      <c r="I114" s="40">
        <v>23.077179000000001</v>
      </c>
      <c r="J114" s="40">
        <v>15.256536499999999</v>
      </c>
      <c r="K114" s="47">
        <v>32.212139999999998</v>
      </c>
      <c r="L114" s="47">
        <v>20.930599999999998</v>
      </c>
      <c r="M114" s="47">
        <v>10.412931</v>
      </c>
      <c r="N114" s="47">
        <v>47.998832999999998</v>
      </c>
    </row>
    <row r="115" spans="1:14" x14ac:dyDescent="0.35">
      <c r="A115" s="2">
        <v>45159</v>
      </c>
      <c r="B115" s="40">
        <v>-4.6576380000000004</v>
      </c>
      <c r="C115" s="40">
        <v>-1.218164</v>
      </c>
      <c r="D115" s="40">
        <v>-2.8511643000000002</v>
      </c>
      <c r="E115" s="40">
        <v>23.345434000000001</v>
      </c>
      <c r="F115" s="40">
        <v>7.7152849999999997</v>
      </c>
      <c r="G115" s="40">
        <v>8.3801155000000005</v>
      </c>
      <c r="H115" s="40">
        <v>6.8547370000000001</v>
      </c>
      <c r="I115" s="40">
        <v>13.516939000000001</v>
      </c>
      <c r="J115" s="40">
        <v>5.789542</v>
      </c>
      <c r="K115" s="47">
        <v>21.730709999999998</v>
      </c>
      <c r="L115" s="47">
        <v>14.199935999999999</v>
      </c>
      <c r="M115" s="47">
        <v>2.0529866000000001</v>
      </c>
      <c r="N115" s="47">
        <v>34.588444000000003</v>
      </c>
    </row>
    <row r="116" spans="1:14" x14ac:dyDescent="0.35">
      <c r="A116" s="2">
        <v>45190</v>
      </c>
      <c r="B116" s="40">
        <v>1.1474013000000001</v>
      </c>
      <c r="C116" s="40">
        <v>6.6857696000000004</v>
      </c>
      <c r="D116" s="40">
        <v>6.3955425999999997</v>
      </c>
      <c r="E116" s="40">
        <v>30.954218000000001</v>
      </c>
      <c r="F116" s="40">
        <v>22.76107</v>
      </c>
      <c r="G116" s="40">
        <v>17.493607000000001</v>
      </c>
      <c r="H116" s="40">
        <v>19.242930999999999</v>
      </c>
      <c r="I116" s="40">
        <v>27.061807999999999</v>
      </c>
      <c r="J116" s="40">
        <v>16.126609999999999</v>
      </c>
      <c r="K116" s="47">
        <v>31.250847</v>
      </c>
      <c r="L116" s="47">
        <v>20.578980000000001</v>
      </c>
      <c r="M116" s="47">
        <v>16.408073000000002</v>
      </c>
      <c r="N116" s="47">
        <v>41.439520000000002</v>
      </c>
    </row>
    <row r="117" spans="1:14" x14ac:dyDescent="0.35">
      <c r="A117" s="2">
        <v>45219</v>
      </c>
      <c r="B117" s="40">
        <v>4.0987970000000002</v>
      </c>
      <c r="C117" s="40">
        <v>7.4867606000000002</v>
      </c>
      <c r="D117" s="40">
        <v>6.7922830000000003</v>
      </c>
      <c r="E117" s="40">
        <v>24.893319999999999</v>
      </c>
      <c r="F117" s="40">
        <v>21.119928000000002</v>
      </c>
      <c r="G117" s="40">
        <v>14.889884</v>
      </c>
      <c r="H117" s="40">
        <v>19.038295999999999</v>
      </c>
      <c r="I117" s="40">
        <v>32.664810000000003</v>
      </c>
      <c r="J117" s="40">
        <v>17.098044999999999</v>
      </c>
      <c r="K117" s="47">
        <v>23.139751</v>
      </c>
      <c r="L117" s="47">
        <v>18.879736000000001</v>
      </c>
      <c r="M117" s="47">
        <v>15.104771</v>
      </c>
      <c r="N117" s="47">
        <v>36.038530000000002</v>
      </c>
    </row>
    <row r="118" spans="1:14" x14ac:dyDescent="0.35">
      <c r="A118" s="2">
        <v>45251</v>
      </c>
      <c r="B118" s="40">
        <v>-2.3320973</v>
      </c>
      <c r="C118" s="40">
        <v>2.9575705999999999</v>
      </c>
      <c r="D118" s="40">
        <v>2.6044130000000001</v>
      </c>
      <c r="E118" s="40">
        <v>16.237269999999999</v>
      </c>
      <c r="F118" s="40">
        <v>16.50076</v>
      </c>
      <c r="G118" s="40">
        <v>8.7841509999999996</v>
      </c>
      <c r="H118" s="40">
        <v>10.57638</v>
      </c>
      <c r="I118" s="40">
        <v>38.747321999999997</v>
      </c>
      <c r="J118" s="40">
        <v>16.697872</v>
      </c>
      <c r="K118" s="47">
        <v>17.298114999999999</v>
      </c>
      <c r="L118" s="47">
        <v>13.451946</v>
      </c>
      <c r="M118" s="47">
        <v>10.647535</v>
      </c>
      <c r="N118" s="47">
        <v>25.434457999999999</v>
      </c>
    </row>
    <row r="119" spans="1:14" x14ac:dyDescent="0.35">
      <c r="A119" s="2">
        <v>45281</v>
      </c>
      <c r="B119" s="40">
        <v>2.2035239999999998</v>
      </c>
      <c r="C119" s="40">
        <v>12.252914000000001</v>
      </c>
      <c r="D119" s="40">
        <v>12.569321</v>
      </c>
      <c r="E119" s="40">
        <v>21.800650000000001</v>
      </c>
      <c r="F119" s="40">
        <v>17.456340000000001</v>
      </c>
      <c r="G119" s="40">
        <v>14.521098</v>
      </c>
      <c r="H119" s="40">
        <v>10.735798000000001</v>
      </c>
      <c r="I119" s="40">
        <v>50.069237000000001</v>
      </c>
      <c r="J119" s="40">
        <v>24.261904000000001</v>
      </c>
      <c r="K119" s="47">
        <v>21.035157999999999</v>
      </c>
      <c r="L119" s="47">
        <v>19.429993</v>
      </c>
      <c r="M119" s="47">
        <v>22.224463</v>
      </c>
      <c r="N119" s="47">
        <v>29.194212</v>
      </c>
    </row>
    <row r="120" spans="1:14" x14ac:dyDescent="0.35">
      <c r="A120" s="2">
        <v>45310</v>
      </c>
      <c r="B120" s="40">
        <v>-6.5680860000000001</v>
      </c>
      <c r="C120" s="40">
        <v>0.61823130000000004</v>
      </c>
      <c r="D120" s="40">
        <v>6.7370890000000001</v>
      </c>
      <c r="E120" s="40">
        <v>7.9056262999999998</v>
      </c>
      <c r="F120" s="40">
        <v>17.658484000000001</v>
      </c>
      <c r="G120" s="40">
        <v>6.3383820000000002</v>
      </c>
      <c r="H120" s="40">
        <v>1.9605398000000001</v>
      </c>
      <c r="I120" s="40">
        <v>54.127549999999999</v>
      </c>
      <c r="J120" s="40">
        <v>26.033270000000002</v>
      </c>
      <c r="K120" s="47">
        <v>7.9697012999999997</v>
      </c>
      <c r="L120" s="47">
        <v>8.9140049999999995</v>
      </c>
      <c r="M120" s="47">
        <v>7.0870280000000001</v>
      </c>
      <c r="N120" s="47">
        <v>18.587420999999999</v>
      </c>
    </row>
    <row r="121" spans="1:14" x14ac:dyDescent="0.35">
      <c r="A121" s="2">
        <v>45343</v>
      </c>
      <c r="B121" s="40">
        <v>-6.6029070000000001</v>
      </c>
      <c r="C121" s="40">
        <v>4.743004</v>
      </c>
      <c r="D121" s="40">
        <v>8.7367059999999999</v>
      </c>
      <c r="E121" s="40">
        <v>10.286844</v>
      </c>
      <c r="F121" s="40">
        <v>22.924053000000001</v>
      </c>
      <c r="G121" s="40">
        <v>8.6740019999999998</v>
      </c>
      <c r="H121" s="40">
        <v>3.8441540000000001</v>
      </c>
      <c r="I121" s="40">
        <v>45.747875000000001</v>
      </c>
      <c r="J121" s="40">
        <v>26.493275000000001</v>
      </c>
      <c r="K121" s="47">
        <v>10.617732999999999</v>
      </c>
      <c r="L121" s="47">
        <v>16.130627</v>
      </c>
      <c r="M121" s="47">
        <v>12.404465999999999</v>
      </c>
      <c r="N121" s="47">
        <v>20.653593000000001</v>
      </c>
    </row>
    <row r="122" spans="1:14" x14ac:dyDescent="0.35">
      <c r="A122" s="2">
        <v>45372</v>
      </c>
      <c r="B122">
        <v>-2.9240309999999998</v>
      </c>
      <c r="C122">
        <v>14.080083999999999</v>
      </c>
      <c r="D122">
        <v>18.775569999999998</v>
      </c>
      <c r="E122">
        <v>17.072116999999999</v>
      </c>
      <c r="F122">
        <v>28.990137000000001</v>
      </c>
      <c r="G122">
        <v>11.376059</v>
      </c>
      <c r="H122">
        <v>12.062347000000001</v>
      </c>
      <c r="I122">
        <v>44.627772999999998</v>
      </c>
      <c r="J122">
        <v>32.813679999999998</v>
      </c>
      <c r="K122" s="47">
        <v>16.316105</v>
      </c>
      <c r="L122" s="47">
        <v>23.475933000000001</v>
      </c>
      <c r="M122" s="47">
        <v>22.403144999999999</v>
      </c>
      <c r="N122" s="47">
        <v>31.330181</v>
      </c>
    </row>
    <row r="123" spans="1:14" x14ac:dyDescent="0.35">
      <c r="A123" s="2"/>
    </row>
    <row r="124" spans="1:14" x14ac:dyDescent="0.35">
      <c r="A124" s="2"/>
    </row>
    <row r="125" spans="1:14" x14ac:dyDescent="0.35">
      <c r="A125" s="2"/>
    </row>
    <row r="126" spans="1:14" x14ac:dyDescent="0.35">
      <c r="A126" s="2" t="s">
        <v>85</v>
      </c>
      <c r="B126" s="40" cm="1">
        <f t="array" ref="B126">MIN(_xlfn._xlws.FILTER(B2:B122, ISNUMBER(B2:B122)))</f>
        <v>-33.132182999999998</v>
      </c>
      <c r="C126" s="40" cm="1">
        <f t="array" ref="C126">MIN(_xlfn._xlws.FILTER(C2:C122, ISNUMBER(C2:C122)))</f>
        <v>-35.075560000000003</v>
      </c>
      <c r="D126" s="40" cm="1">
        <f t="array" ref="D126">MIN(_xlfn._xlws.FILTER(D2:D122, ISNUMBER(D2:D122)))</f>
        <v>-31.267834000000001</v>
      </c>
      <c r="E126" s="40" cm="1">
        <f t="array" ref="E126">MIN(_xlfn._xlws.FILTER(E2:E122, ISNUMBER(E2:E122)))</f>
        <v>-35.099125000000001</v>
      </c>
      <c r="F126" s="40" cm="1">
        <f t="array" ref="F126">MIN(_xlfn._xlws.FILTER(F2:F122, ISNUMBER(F2:F122)))</f>
        <v>-28.998816000000001</v>
      </c>
      <c r="G126" s="40" cm="1">
        <f t="array" ref="G126">MIN(_xlfn._xlws.FILTER(G2:G122, ISNUMBER(G2:G122)))</f>
        <v>-20.911532999999999</v>
      </c>
      <c r="H126" s="40" cm="1">
        <f t="array" ref="H126">MIN(_xlfn._xlws.FILTER(H2:H122, ISNUMBER(H2:H122)))</f>
        <v>-37.581949999999999</v>
      </c>
      <c r="I126" s="40" cm="1">
        <f t="array" ref="I126">MIN(_xlfn._xlws.FILTER(I2:I122, ISNUMBER(I2:I122)))</f>
        <v>-29.790766000000001</v>
      </c>
      <c r="J126" s="40" cm="1">
        <f t="array" ref="J126">MIN(_xlfn._xlws.FILTER(J2:J122, ISNUMBER(J2:J122)))</f>
        <v>-17.05302</v>
      </c>
      <c r="K126" s="40" cm="1">
        <f t="array" ref="K126">MIN(_xlfn._xlws.FILTER(K2:K122, ISNUMBER(K2:K122)))</f>
        <v>-30.573844999999999</v>
      </c>
      <c r="L126" s="40" cm="1">
        <f t="array" ref="L126">MIN(_xlfn._xlws.FILTER(L2:L122, ISNUMBER(L2:L122)))</f>
        <v>-37.135117000000001</v>
      </c>
      <c r="M126" s="40" cm="1">
        <f t="array" ref="M126">MIN(_xlfn._xlws.FILTER(M2:M122, ISNUMBER(M2:M122)))</f>
        <v>-37.448647000000001</v>
      </c>
      <c r="N126" s="40" cm="1">
        <f t="array" ref="N126">MIN(_xlfn._xlws.FILTER(N2:N122, ISNUMBER(N2:N122)))</f>
        <v>-31.481148000000001</v>
      </c>
    </row>
    <row r="127" spans="1:14" x14ac:dyDescent="0.35">
      <c r="A127" s="2" t="s">
        <v>393</v>
      </c>
      <c r="B127" s="42" cm="1">
        <f t="array" ref="B127">MAX(_xlfn._xlws.FILTER(B1:B122, ISNUMBER(B1:B122)))</f>
        <v>58.146942000000003</v>
      </c>
      <c r="C127" s="42" cm="1">
        <f t="array" ref="C127">MAX(_xlfn._xlws.FILTER(C1:C122, ISNUMBER(C1:C122)))</f>
        <v>81.063929999999999</v>
      </c>
      <c r="D127" s="42" cm="1">
        <f t="array" ref="D127">MAX(_xlfn._xlws.FILTER(D1:D122, ISNUMBER(D1:D122)))</f>
        <v>85.066376000000005</v>
      </c>
      <c r="E127" s="42" cm="1">
        <f t="array" ref="E127">MAX(_xlfn._xlws.FILTER(E1:E122, ISNUMBER(E1:E122)))</f>
        <v>87.381810000000002</v>
      </c>
      <c r="F127" s="42" cm="1">
        <f t="array" ref="F127">MAX(_xlfn._xlws.FILTER(F1:F122, ISNUMBER(F1:F122)))</f>
        <v>58.968806999999998</v>
      </c>
      <c r="G127" s="42" cm="1">
        <f t="array" ref="G127">MAX(_xlfn._xlws.FILTER(G1:G122, ISNUMBER(G1:G122)))</f>
        <v>38.784218000000003</v>
      </c>
      <c r="H127" s="42" cm="1">
        <f t="array" ref="H127">MAX(_xlfn._xlws.FILTER(H1:H122, ISNUMBER(H1:H122)))</f>
        <v>56.38485</v>
      </c>
      <c r="I127" s="42" cm="1">
        <f t="array" ref="I127">MAX(_xlfn._xlws.FILTER(I1:I122, ISNUMBER(I1:I122)))</f>
        <v>77.515540000000001</v>
      </c>
      <c r="J127" s="42" cm="1">
        <f t="array" ref="J127">MAX(_xlfn._xlws.FILTER(J1:J122, ISNUMBER(J1:J122)))</f>
        <v>65.562780000000004</v>
      </c>
      <c r="K127" s="42" cm="1">
        <f t="array" ref="K127">MAX(_xlfn._xlws.FILTER(K1:K122, ISNUMBER(K1:K122)))</f>
        <v>76.44829</v>
      </c>
      <c r="L127" s="42" cm="1">
        <f t="array" ref="L127">MAX(_xlfn._xlws.FILTER(L1:L122, ISNUMBER(L1:L122)))</f>
        <v>96.140199999999993</v>
      </c>
      <c r="M127" s="42" cm="1">
        <f t="array" ref="M127">MAX(_xlfn._xlws.FILTER(M1:M122, ISNUMBER(M1:M122)))</f>
        <v>96.535194000000004</v>
      </c>
      <c r="N127" s="42" cm="1">
        <f t="array" ref="N127">MAX(_xlfn._xlws.FILTER(N1:N122, ISNUMBER(N1:N122)))</f>
        <v>73.40231</v>
      </c>
    </row>
    <row r="128" spans="1:14" x14ac:dyDescent="0.35">
      <c r="A128" s="2" t="s">
        <v>394</v>
      </c>
      <c r="B128" s="40" cm="1">
        <f t="array" ref="B128">MEDIAN(_xlfn._xlws.FILTER(B1:B122, ISNUMBER(B1:B122)))</f>
        <v>7.6261044</v>
      </c>
      <c r="C128" s="40" cm="1">
        <f t="array" ref="C128">MEDIAN(_xlfn._xlws.FILTER(C1:C122, ISNUMBER(C1:C122)))</f>
        <v>4.2449474</v>
      </c>
      <c r="D128" s="40" cm="1">
        <f t="array" ref="D128">MEDIAN(_xlfn._xlws.FILTER(D1:D122, ISNUMBER(D1:D122)))</f>
        <v>5.4124829999999999</v>
      </c>
      <c r="E128" s="40" cm="1">
        <f t="array" ref="E128">MEDIAN(_xlfn._xlws.FILTER(E1:E122, ISNUMBER(E1:E122)))</f>
        <v>2.5431751999999999</v>
      </c>
      <c r="F128" s="40" cm="1">
        <f t="array" ref="F128">MEDIAN(_xlfn._xlws.FILTER(F1:F122, ISNUMBER(F1:F122)))</f>
        <v>5.9857607000000002</v>
      </c>
      <c r="G128" s="40" cm="1">
        <f t="array" ref="G128">MEDIAN(_xlfn._xlws.FILTER(G1:G122, ISNUMBER(G1:G122)))</f>
        <v>7.7557799999999997</v>
      </c>
      <c r="H128" s="40" cm="1">
        <f t="array" ref="H128">MEDIAN(_xlfn._xlws.FILTER(H1:H122, ISNUMBER(H1:H122)))</f>
        <v>-1.822114E-2</v>
      </c>
      <c r="I128" s="40" cm="1">
        <f t="array" ref="I128">MEDIAN(_xlfn._xlws.FILTER(I1:I122, ISNUMBER(I1:I122)))</f>
        <v>23.077179000000001</v>
      </c>
      <c r="J128" s="40" cm="1">
        <f t="array" ref="J128">MEDIAN(_xlfn._xlws.FILTER(J1:J122, ISNUMBER(J1:J122)))</f>
        <v>14.984154999999999</v>
      </c>
      <c r="K128" s="40" cm="1">
        <f t="array" ref="K128">MEDIAN(_xlfn._xlws.FILTER(K1:K122, ISNUMBER(K1:K122)))</f>
        <v>3.8660644999999998</v>
      </c>
      <c r="L128" s="40" cm="1">
        <f t="array" ref="L128">MEDIAN(_xlfn._xlws.FILTER(L1:L122, ISNUMBER(L1:L122)))</f>
        <v>7.7700256999999997</v>
      </c>
      <c r="M128" s="40" cm="1">
        <f t="array" ref="M128">MEDIAN(_xlfn._xlws.FILTER(M1:M122, ISNUMBER(M1:M122)))</f>
        <v>2.0529866000000001</v>
      </c>
      <c r="N128" s="40" cm="1">
        <f t="array" ref="N128">MEDIAN(_xlfn._xlws.FILTER(N1:N122, ISNUMBER(N1:N122)))</f>
        <v>0.64803359999999999</v>
      </c>
    </row>
    <row r="129" spans="1:14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</row>
    <row r="130" spans="1:14" x14ac:dyDescent="0.35">
      <c r="A130" s="2" t="s">
        <v>87</v>
      </c>
      <c r="B130">
        <f>COUNTIF(B2:B122, "&lt;"&amp;Assumption!$F$50)</f>
        <v>18</v>
      </c>
      <c r="C130">
        <f>COUNTIF(C2:C122, "&lt;"&amp;Assumption!$F$50)</f>
        <v>18</v>
      </c>
      <c r="D130">
        <f>COUNTIF(D2:D122, "&lt;"&amp;Assumption!$F$50)</f>
        <v>20</v>
      </c>
      <c r="E130">
        <f>COUNTIF(E2:E122, "&lt;"&amp;Assumption!$F$50)</f>
        <v>30</v>
      </c>
      <c r="F130">
        <f>COUNTIF(F2:F122, "&lt;"&amp;Assumption!$F$50)</f>
        <v>18</v>
      </c>
      <c r="G130">
        <f>COUNTIF(G2:G122, "&lt;"&amp;Assumption!$F$50)</f>
        <v>14</v>
      </c>
      <c r="H130">
        <f>COUNTIF(H2:H122, "&lt;"&amp;Assumption!$F$50)</f>
        <v>21</v>
      </c>
      <c r="I130">
        <f>COUNTIF(I2:I122, "&lt;"&amp;Assumption!$F$50)</f>
        <v>11</v>
      </c>
      <c r="J130">
        <f>COUNTIF(J2:J122, "&lt;"&amp;Assumption!$F$50)</f>
        <v>5</v>
      </c>
      <c r="K130">
        <f>COUNTIF(K2:K122, "&lt;"&amp;Assumption!$F$50)</f>
        <v>16</v>
      </c>
      <c r="L130">
        <f>COUNTIF(L2:L122, "&lt;"&amp;Assumption!$F$50)</f>
        <v>14</v>
      </c>
      <c r="M130">
        <f>COUNTIF(M2:M122, "&lt;"&amp;Assumption!$F$50)</f>
        <v>22</v>
      </c>
      <c r="N130">
        <f>COUNTIF(N2:N122, "&lt;"&amp;Assumption!$F$50)</f>
        <v>35</v>
      </c>
    </row>
    <row r="131" spans="1:14" x14ac:dyDescent="0.35">
      <c r="A131" s="2" t="s">
        <v>86</v>
      </c>
      <c r="B131">
        <f t="shared" ref="B131:J131" si="0">COUNT(B1:B122)</f>
        <v>121</v>
      </c>
      <c r="C131">
        <f t="shared" si="0"/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ref="K131:N131" si="1">COUNT(K1:K122)</f>
        <v>121</v>
      </c>
      <c r="L131">
        <f t="shared" si="1"/>
        <v>121</v>
      </c>
      <c r="M131">
        <f t="shared" si="1"/>
        <v>121</v>
      </c>
      <c r="N131">
        <f t="shared" si="1"/>
        <v>121</v>
      </c>
    </row>
    <row r="132" spans="1:14" x14ac:dyDescent="0.35">
      <c r="A132" s="2"/>
    </row>
    <row r="133" spans="1:14" x14ac:dyDescent="0.35">
      <c r="A133" s="2" t="s">
        <v>397</v>
      </c>
      <c r="B133" s="9">
        <f t="shared" ref="B133:J133" si="2">B130/B131</f>
        <v>0.1487603305785124</v>
      </c>
      <c r="C133" s="9">
        <f t="shared" si="2"/>
        <v>0.1487603305785124</v>
      </c>
      <c r="D133" s="9">
        <f t="shared" si="2"/>
        <v>0.16528925619834711</v>
      </c>
      <c r="E133" s="9">
        <f t="shared" si="2"/>
        <v>0.24793388429752067</v>
      </c>
      <c r="F133" s="9">
        <f t="shared" si="2"/>
        <v>0.1487603305785124</v>
      </c>
      <c r="G133" s="9">
        <f t="shared" si="2"/>
        <v>0.11570247933884298</v>
      </c>
      <c r="H133" s="9">
        <f t="shared" si="2"/>
        <v>0.17355371900826447</v>
      </c>
      <c r="I133" s="9">
        <f t="shared" si="2"/>
        <v>9.0909090909090912E-2</v>
      </c>
      <c r="J133" s="9">
        <f t="shared" si="2"/>
        <v>4.1322314049586778E-2</v>
      </c>
      <c r="K133" s="9">
        <f t="shared" ref="K133:N133" si="3">K130/K131</f>
        <v>0.13223140495867769</v>
      </c>
      <c r="L133" s="9">
        <f t="shared" si="3"/>
        <v>0.11570247933884298</v>
      </c>
      <c r="M133" s="9">
        <f t="shared" si="3"/>
        <v>0.18181818181818182</v>
      </c>
      <c r="N133" s="9">
        <f t="shared" si="3"/>
        <v>0.28925619834710742</v>
      </c>
    </row>
    <row r="134" spans="1:14" x14ac:dyDescent="0.35">
      <c r="A134" s="2"/>
    </row>
    <row r="135" spans="1:14" x14ac:dyDescent="0.35">
      <c r="A135" s="2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35">
      <c r="A136" s="2" t="s">
        <v>400</v>
      </c>
      <c r="B136" s="40" cm="1">
        <f t="array" ref="B136">_xlfn.PERCENTRANK.EXC(_xlfn._xlws.FILTER(B2:B122, ISNUMBER(B2:B122)),B120)</f>
        <v>0.188</v>
      </c>
      <c r="C136" s="40" cm="1">
        <f t="array" ref="C136">_xlfn.PERCENTRANK.EXC(_xlfn._xlws.FILTER(C2:C122, ISNUMBER(C2:C122)),C120)</f>
        <v>0.41799999999999998</v>
      </c>
      <c r="D136" s="40" cm="1">
        <f t="array" ref="D136">_xlfn.PERCENTRANK.EXC(_xlfn._xlws.FILTER(D2:D122, ISNUMBER(D2:D122)),D120)</f>
        <v>0.53200000000000003</v>
      </c>
      <c r="E136" s="40" cm="1">
        <f t="array" ref="E136">_xlfn.PERCENTRANK.EXC(_xlfn._xlws.FILTER(E2:E122, ISNUMBER(E2:E122)),E120)</f>
        <v>0.56499999999999995</v>
      </c>
      <c r="F136" s="40" cm="1">
        <f t="array" ref="F136">_xlfn.PERCENTRANK.EXC(_xlfn._xlws.FILTER(F2:F122, ISNUMBER(F2:F122)),F120)</f>
        <v>0.77800000000000002</v>
      </c>
      <c r="G136" s="40" cm="1">
        <f t="array" ref="G136">_xlfn.PERCENTRANK.EXC(_xlfn._xlws.FILTER(G2:G122, ISNUMBER(G2:G122)),G120)</f>
        <v>0.45900000000000002</v>
      </c>
      <c r="H136" s="40" cm="1">
        <f t="array" ref="H136">_xlfn.PERCENTRANK.EXC(_xlfn._xlws.FILTER(H2:H122, ISNUMBER(H2:H122)),H120)</f>
        <v>0.51600000000000001</v>
      </c>
      <c r="I136" s="40" cm="1">
        <f t="array" ref="I136">_xlfn.PERCENTRANK.EXC(_xlfn._xlws.FILTER(I2:I122, ISNUMBER(I2:I122)),I120)</f>
        <v>0.97499999999999998</v>
      </c>
      <c r="J136" s="40" cm="1">
        <f t="array" ref="J136">_xlfn.PERCENTRANK.EXC(_xlfn._xlws.FILTER(J2:J122, ISNUMBER(J2:J122)),J120)</f>
        <v>0.86799999999999999</v>
      </c>
      <c r="K136" s="40" cm="1">
        <f t="array" ref="K136">_xlfn.PERCENTRANK.EXC(_xlfn._xlws.FILTER(K2:K122, ISNUMBER(K2:K122)),K120)</f>
        <v>0.54900000000000004</v>
      </c>
      <c r="L136" s="40" cm="1">
        <f t="array" ref="L136">_xlfn.PERCENTRANK.EXC(_xlfn._xlws.FILTER(L2:L122, ISNUMBER(L2:L122)),L120)</f>
        <v>0.53200000000000003</v>
      </c>
      <c r="M136" s="40" cm="1">
        <f t="array" ref="M136">_xlfn.PERCENTRANK.EXC(_xlfn._xlws.FILTER(M2:M122, ISNUMBER(M2:M122)),M120)</f>
        <v>0.55700000000000005</v>
      </c>
      <c r="N136" s="40" cm="1">
        <f t="array" ref="N136">_xlfn.PERCENTRANK.EXC(_xlfn._xlws.FILTER(N2:N122, ISNUMBER(N2:N122)),N120)</f>
        <v>0.67200000000000004</v>
      </c>
    </row>
    <row r="137" spans="1:14" x14ac:dyDescent="0.35">
      <c r="A137" s="2" t="s">
        <v>399</v>
      </c>
      <c r="B137" s="40" cm="1">
        <f t="array" ref="B137">_xlfn.PERCENTRANK.EXC(_xlfn._xlws.FILTER(B2:B122, ISNUMBER(B2:B122)),B121)</f>
        <v>0.18</v>
      </c>
      <c r="C137" s="40" cm="1">
        <f t="array" ref="C137">_xlfn.PERCENTRANK.EXC(_xlfn._xlws.FILTER(C2:C122, ISNUMBER(C2:C122)),C121)</f>
        <v>0.50800000000000001</v>
      </c>
      <c r="D137" s="40" cm="1">
        <f t="array" ref="D137">_xlfn.PERCENTRANK.EXC(_xlfn._xlws.FILTER(D2:D122, ISNUMBER(D2:D122)),D121)</f>
        <v>0.63100000000000001</v>
      </c>
      <c r="E137" s="40" cm="1">
        <f t="array" ref="E137">_xlfn.PERCENTRANK.EXC(_xlfn._xlws.FILTER(E2:E122, ISNUMBER(E2:E122)),E121)</f>
        <v>0.61399999999999999</v>
      </c>
      <c r="F137" s="40" cm="1">
        <f t="array" ref="F137">_xlfn.PERCENTRANK.EXC(_xlfn._xlws.FILTER(F2:F122, ISNUMBER(F2:F122)),F121)</f>
        <v>0.93400000000000005</v>
      </c>
      <c r="G137" s="40" cm="1">
        <f t="array" ref="G137">_xlfn.PERCENTRANK.EXC(_xlfn._xlws.FILTER(G2:G122, ISNUMBER(G2:G122)),G121)</f>
        <v>0.51600000000000001</v>
      </c>
      <c r="H137" s="40" cm="1">
        <f t="array" ref="H137">_xlfn.PERCENTRANK.EXC(_xlfn._xlws.FILTER(H2:H122, ISNUMBER(H2:H122)),H121)</f>
        <v>0.54900000000000004</v>
      </c>
      <c r="I137" s="40" cm="1">
        <f t="array" ref="I137">_xlfn.PERCENTRANK.EXC(_xlfn._xlws.FILTER(I2:I122, ISNUMBER(I2:I122)),I121)</f>
        <v>0.92600000000000005</v>
      </c>
      <c r="J137" s="40" cm="1">
        <f t="array" ref="J137">_xlfn.PERCENTRANK.EXC(_xlfn._xlws.FILTER(J2:J122, ISNUMBER(J2:J122)),J121)</f>
        <v>0.877</v>
      </c>
      <c r="K137" s="40" cm="1">
        <f t="array" ref="K137">_xlfn.PERCENTRANK.EXC(_xlfn._xlws.FILTER(K2:K122, ISNUMBER(K2:K122)),K121)</f>
        <v>0.60599999999999998</v>
      </c>
      <c r="L137" s="40" cm="1">
        <f t="array" ref="L137">_xlfn.PERCENTRANK.EXC(_xlfn._xlws.FILTER(L2:L122, ISNUMBER(L2:L122)),L121)</f>
        <v>0.64700000000000002</v>
      </c>
      <c r="M137" s="40" cm="1">
        <f t="array" ref="M137">_xlfn.PERCENTRANK.EXC(_xlfn._xlws.FILTER(M2:M122, ISNUMBER(M2:M122)),M121)</f>
        <v>0.64700000000000002</v>
      </c>
      <c r="N137" s="40" cm="1">
        <f t="array" ref="N137">_xlfn.PERCENTRANK.EXC(_xlfn._xlws.FILTER(N2:N122, ISNUMBER(N2:N122)),N121)</f>
        <v>0.70399999999999996</v>
      </c>
    </row>
    <row r="138" spans="1:14" x14ac:dyDescent="0.35">
      <c r="A138" s="2" t="s">
        <v>401</v>
      </c>
      <c r="B138" s="40" cm="1">
        <f t="array" ref="B138">_xlfn.PERCENTRANK.EXC(_xlfn._xlws.FILTER(B2:B122, ISNUMBER(B2:B122)),B122)</f>
        <v>0.27</v>
      </c>
      <c r="C138" s="40" cm="1">
        <f t="array" ref="C138">_xlfn.PERCENTRANK.EXC(_xlfn._xlws.FILTER(C2:C122, ISNUMBER(C2:C122)),C122)</f>
        <v>0.754</v>
      </c>
      <c r="D138" s="40" cm="1">
        <f t="array" ref="D138">_xlfn.PERCENTRANK.EXC(_xlfn._xlws.FILTER(D2:D122, ISNUMBER(D2:D122)),D122)</f>
        <v>0.84399999999999997</v>
      </c>
      <c r="E138" s="40" cm="1">
        <f t="array" ref="E138">_xlfn.PERCENTRANK.EXC(_xlfn._xlws.FILTER(E2:E122, ISNUMBER(E2:E122)),E122)</f>
        <v>0.71299999999999997</v>
      </c>
      <c r="F138" s="40" cm="1">
        <f t="array" ref="F138">_xlfn.PERCENTRANK.EXC(_xlfn._xlws.FILTER(F2:F122, ISNUMBER(F2:F122)),F122)</f>
        <v>0.96699999999999997</v>
      </c>
      <c r="G138" s="40" cm="1">
        <f t="array" ref="G138">_xlfn.PERCENTRANK.EXC(_xlfn._xlws.FILTER(G2:G122, ISNUMBER(G2:G122)),G122)</f>
        <v>0.622</v>
      </c>
      <c r="H138" s="40" cm="1">
        <f t="array" ref="H138">_xlfn.PERCENTRANK.EXC(_xlfn._xlws.FILTER(H2:H122, ISNUMBER(H2:H122)),H122)</f>
        <v>0.71299999999999997</v>
      </c>
      <c r="I138" s="40" cm="1">
        <f t="array" ref="I138">_xlfn.PERCENTRANK.EXC(_xlfn._xlws.FILTER(I2:I122, ISNUMBER(I2:I122)),I122)</f>
        <v>0.90900000000000003</v>
      </c>
      <c r="J138" s="40" cm="1">
        <f t="array" ref="J138">_xlfn.PERCENTRANK.EXC(_xlfn._xlws.FILTER(J2:J122, ISNUMBER(J2:J122)),J122)</f>
        <v>0.90900000000000003</v>
      </c>
      <c r="K138" s="40" cm="1">
        <f t="array" ref="K138">_xlfn.PERCENTRANK.EXC(_xlfn._xlws.FILTER(K2:K122, ISNUMBER(K2:K122)),K122)</f>
        <v>0.66300000000000003</v>
      </c>
      <c r="L138" s="40" cm="1">
        <f t="array" ref="L138">_xlfn.PERCENTRANK.EXC(_xlfn._xlws.FILTER(L2:L122, ISNUMBER(L2:L122)),L122)</f>
        <v>0.78600000000000003</v>
      </c>
      <c r="M138" s="40" cm="1">
        <f t="array" ref="M138">_xlfn.PERCENTRANK.EXC(_xlfn._xlws.FILTER(M2:M122, ISNUMBER(M2:M122)),M122)</f>
        <v>0.81899999999999995</v>
      </c>
      <c r="N138" s="40" cm="1">
        <f t="array" ref="N138">_xlfn.PERCENTRANK.EXC(_xlfn._xlws.FILTER(N2:N122, ISNUMBER(N2:N122)),N122)</f>
        <v>0.79500000000000004</v>
      </c>
    </row>
    <row r="139" spans="1:14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</row>
    <row r="140" spans="1:14" x14ac:dyDescent="0.35">
      <c r="A140" s="2" t="s">
        <v>463</v>
      </c>
      <c r="B140" s="40">
        <f t="shared" ref="B140:J140" si="4">AVERAGE(B136:B138)</f>
        <v>0.21266666666666667</v>
      </c>
      <c r="C140" s="40">
        <f t="shared" si="4"/>
        <v>0.55999999999999994</v>
      </c>
      <c r="D140" s="40">
        <f t="shared" si="4"/>
        <v>0.66900000000000004</v>
      </c>
      <c r="E140" s="40">
        <f t="shared" si="4"/>
        <v>0.6306666666666666</v>
      </c>
      <c r="F140" s="40">
        <f t="shared" si="4"/>
        <v>0.89300000000000013</v>
      </c>
      <c r="G140" s="40">
        <f t="shared" si="4"/>
        <v>0.53233333333333333</v>
      </c>
      <c r="H140" s="40">
        <f t="shared" si="4"/>
        <v>0.59266666666666667</v>
      </c>
      <c r="I140" s="40">
        <f t="shared" si="4"/>
        <v>0.93666666666666665</v>
      </c>
      <c r="J140" s="40">
        <f t="shared" si="4"/>
        <v>0.8846666666666666</v>
      </c>
      <c r="K140" s="40">
        <f t="shared" ref="K140:N140" si="5">AVERAGE(K136:K138)</f>
        <v>0.60599999999999998</v>
      </c>
      <c r="L140" s="40">
        <f t="shared" si="5"/>
        <v>0.65500000000000003</v>
      </c>
      <c r="M140" s="40">
        <f t="shared" si="5"/>
        <v>0.67433333333333334</v>
      </c>
      <c r="N140" s="40">
        <f t="shared" si="5"/>
        <v>0.72366666666666657</v>
      </c>
    </row>
    <row r="141" spans="1:14" x14ac:dyDescent="0.35">
      <c r="A141" s="2"/>
    </row>
    <row r="142" spans="1:14" x14ac:dyDescent="0.35">
      <c r="A142" s="2"/>
    </row>
    <row r="143" spans="1:14" x14ac:dyDescent="0.35">
      <c r="A143" s="2"/>
    </row>
    <row r="144" spans="1:14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5"/>
  <sheetViews>
    <sheetView topLeftCell="A16" workbookViewId="0">
      <selection activeCell="N27" sqref="N27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21">_xll.FDSB(C1,"JULIAN(FMA_EPS(NTMA,-20AY,0,CY,,""PORTAGG"",""MEANR"").dates)")</f>
        <v>38352</v>
      </c>
      <c r="B2" t="str" cm="1">
        <f t="array" ref="B2:B21">_xll.FDSB(B1,"FMA_EPS(NTMA,-20AY,0,CY,,""PORTAGG"",""MEANR"")")</f>
        <v/>
      </c>
      <c r="C2" cm="1">
        <f t="array" ref="C2:C21">_xll.FDSB(C1,"FMA_EPS(NTMA,-20AY,0,CY,,""PORTAGG"",""MEANR"")")</f>
        <v>1.18421421757289</v>
      </c>
      <c r="D2" cm="1">
        <f t="array" ref="D2:D21">_xll.FDSB(D1,"FMA_EPS(NTMA,-20AY,0,CY,,""PORTAGG"",""MEANR"")")</f>
        <v>1.2030920356358299</v>
      </c>
      <c r="E2" cm="1">
        <f t="array" ref="E2:E21">_xll.FDSB(E1,"FMA_EPS(NTMA,-20AY,0,CY,,""PORTAGG"",""MEANR"")")</f>
        <v>1.5206641104358301</v>
      </c>
      <c r="F2" cm="1">
        <f t="array" ref="F2:F21">_xll.FDSB(F1,"FMA_EPS(NTMA,-20AY,0,CY,,""PORTAGG"",""MEANR"")")</f>
        <v>2.8357200583240298</v>
      </c>
      <c r="G2" cm="1">
        <f t="array" ref="G2:G21">_xll.FDSB(G1,"FMA_EPS(NTMA,-20AY,0,CY,,""PORTAGG"",""MEANR"")")</f>
        <v>1.1516797861463699</v>
      </c>
      <c r="H2" cm="1">
        <f t="array" ref="H2:H21">_xll.FDSB(H1,"FMA_EPS(NTMA,-20AY,0,CY,,""PORTAGG"",""MEANR"")")</f>
        <v>2.78829402631307</v>
      </c>
      <c r="I2" cm="1">
        <f t="array" ref="I2:I21">_xll.FDSB(I1,"FMA_EPS(NTMA,-20AY,0,CY,,""PORTAGG"",""MEANR"")")</f>
        <v>1.4194312135232301</v>
      </c>
      <c r="J2" cm="1">
        <f t="array" ref="J2:J21">_xll.FDSB(J1,"FMA_EPS(NTMA,-20AY,0,CY,,""PORTAGG"",""MEANR"")")</f>
        <v>7.6074243913976698</v>
      </c>
      <c r="K2" cm="1">
        <f t="array" ref="K2:K21">_xll.FDSB(K1,"FMA_EPS(NTMA,-20AY,0,CY,,""PORTAGG"",""MEANR"")")</f>
        <v>2.0229379462087902</v>
      </c>
      <c r="L2" cm="1">
        <f t="array" ref="L2:L21">_xll.FDSB(L1,"FMA_EPS(NTMA,-20AY,0,CY,,""PORTAGG"",""MEANR"")")</f>
        <v>1.49109929215903</v>
      </c>
      <c r="M2" cm="1">
        <f t="array" ref="M2:M21">_xll.FDSB(M1,"FMA_EPS(NTMA,-20AY,0,CY,,""PORTAGG"",""MEANR"")")</f>
        <v>1.55275820794805</v>
      </c>
      <c r="N2" cm="1">
        <f t="array" ref="N2:N21">_xll.FDSB(N1,"FMA_EPS(NTMA,-20AY,0,CY,,""PORTAGG"",""MEANR"")")</f>
        <v>3.1691683391169998</v>
      </c>
    </row>
    <row r="3" spans="1:14" x14ac:dyDescent="0.35">
      <c r="A3" s="2">
        <v>38716</v>
      </c>
      <c r="B3" t="str">
        <v/>
      </c>
      <c r="C3">
        <v>1.3562293603437101</v>
      </c>
      <c r="D3">
        <v>1.5111635725994299</v>
      </c>
      <c r="E3">
        <v>1.60643474084628</v>
      </c>
      <c r="F3">
        <v>2.8483033593434901</v>
      </c>
      <c r="G3">
        <v>1.184604896687</v>
      </c>
      <c r="H3">
        <v>2.9493248466797501</v>
      </c>
      <c r="I3">
        <v>1.68578719870209</v>
      </c>
      <c r="J3">
        <v>8.8394289215288495</v>
      </c>
      <c r="K3">
        <v>2.0933820421534701</v>
      </c>
      <c r="L3">
        <v>1.5900517234347999</v>
      </c>
      <c r="M3">
        <v>1.5458174452232101</v>
      </c>
      <c r="N3">
        <v>3.1240599327945802</v>
      </c>
    </row>
    <row r="4" spans="1:14" x14ac:dyDescent="0.35">
      <c r="A4" s="2">
        <v>39080</v>
      </c>
      <c r="B4" t="str">
        <v/>
      </c>
      <c r="C4">
        <v>1.6822321953850301</v>
      </c>
      <c r="D4">
        <v>1.75142389864603</v>
      </c>
      <c r="E4">
        <v>2.1190990076223799</v>
      </c>
      <c r="F4">
        <v>3.2915693248682101</v>
      </c>
      <c r="G4">
        <v>1.51903625271091</v>
      </c>
      <c r="H4">
        <v>3.75488864741091</v>
      </c>
      <c r="I4">
        <v>1.9402737172403599</v>
      </c>
      <c r="J4">
        <v>9.8457810486035093</v>
      </c>
      <c r="K4">
        <v>2.6974001835861601</v>
      </c>
      <c r="L4">
        <v>2.1562573900311501</v>
      </c>
      <c r="M4">
        <v>2.1888616104008198</v>
      </c>
      <c r="N4">
        <v>5.0498128206668396</v>
      </c>
    </row>
    <row r="5" spans="1:14" x14ac:dyDescent="0.35">
      <c r="A5" s="2">
        <v>39447</v>
      </c>
      <c r="B5" t="str">
        <v/>
      </c>
      <c r="C5">
        <v>2.0121821176223702</v>
      </c>
      <c r="D5">
        <v>2.1316745003828599</v>
      </c>
      <c r="E5">
        <v>2.8066160833919702</v>
      </c>
      <c r="F5">
        <v>3.6677851567473598</v>
      </c>
      <c r="G5">
        <v>1.8333506194415199</v>
      </c>
      <c r="H5">
        <v>4.07523919059458</v>
      </c>
      <c r="I5">
        <v>2.3766956310061902</v>
      </c>
      <c r="J5">
        <v>10.5833561911057</v>
      </c>
      <c r="K5">
        <v>3.1669085058650999</v>
      </c>
      <c r="L5">
        <v>2.6269706848040699</v>
      </c>
      <c r="M5">
        <v>2.5443961056503102</v>
      </c>
      <c r="N5">
        <v>5.5622478487538798</v>
      </c>
    </row>
    <row r="6" spans="1:14" x14ac:dyDescent="0.35">
      <c r="A6" s="2">
        <v>39813</v>
      </c>
      <c r="B6" t="str">
        <v/>
      </c>
      <c r="C6">
        <v>1.47822239950882</v>
      </c>
      <c r="D6">
        <v>1.7197421838740601</v>
      </c>
      <c r="E6">
        <v>1.99715132688841</v>
      </c>
      <c r="F6">
        <v>2.7439300910939699</v>
      </c>
      <c r="G6">
        <v>1.66417500457453</v>
      </c>
      <c r="H6">
        <v>2.8187073838579999</v>
      </c>
      <c r="I6">
        <v>2.1704263725021899</v>
      </c>
      <c r="J6">
        <v>8.05373941846298</v>
      </c>
      <c r="K6">
        <v>2.36664992614361</v>
      </c>
      <c r="L6">
        <v>1.79921066251297</v>
      </c>
      <c r="M6">
        <v>1.5502793356884601</v>
      </c>
      <c r="N6">
        <v>4.1762479088087296</v>
      </c>
    </row>
    <row r="7" spans="1:14" x14ac:dyDescent="0.35">
      <c r="A7" s="2">
        <v>40178</v>
      </c>
      <c r="B7" t="str">
        <v/>
      </c>
      <c r="C7">
        <v>1.49861477471222</v>
      </c>
      <c r="D7">
        <v>1.7955182742496401</v>
      </c>
      <c r="E7">
        <v>1.7430087032969499</v>
      </c>
      <c r="F7">
        <v>1.93733358061505</v>
      </c>
      <c r="G7">
        <v>1.62932904763549</v>
      </c>
      <c r="H7">
        <v>2.6972177795125001</v>
      </c>
      <c r="I7">
        <v>2.6068713006048601</v>
      </c>
      <c r="J7">
        <v>8.0229753288056198</v>
      </c>
      <c r="K7">
        <v>2.07401175960449</v>
      </c>
      <c r="L7">
        <v>1.65442974417331</v>
      </c>
      <c r="M7">
        <v>1.3636179959986701</v>
      </c>
      <c r="N7">
        <v>3.0889280805206698</v>
      </c>
    </row>
    <row r="8" spans="1:14" x14ac:dyDescent="0.35">
      <c r="A8" s="2">
        <v>40543</v>
      </c>
      <c r="B8">
        <v>2.40890596176463</v>
      </c>
      <c r="C8">
        <v>2.0483223094466698</v>
      </c>
      <c r="D8">
        <v>2.0975427600624101</v>
      </c>
      <c r="E8">
        <v>2.1739080898383101</v>
      </c>
      <c r="F8">
        <v>3.1772932255046702</v>
      </c>
      <c r="G8">
        <v>1.9678735381535299</v>
      </c>
      <c r="H8">
        <v>3.3649566588267601</v>
      </c>
      <c r="I8">
        <v>3.6076350541358502</v>
      </c>
      <c r="J8">
        <v>9.85143912569227</v>
      </c>
      <c r="K8">
        <v>2.3625891780050199</v>
      </c>
      <c r="L8">
        <v>2.1135843669068999</v>
      </c>
      <c r="M8">
        <v>2.2720793258351502</v>
      </c>
      <c r="N8">
        <v>3.3235934809766499</v>
      </c>
    </row>
    <row r="9" spans="1:14" x14ac:dyDescent="0.35">
      <c r="A9" s="2">
        <v>40907</v>
      </c>
      <c r="B9">
        <v>2.2411742980394602</v>
      </c>
      <c r="C9">
        <v>2.08841813329258</v>
      </c>
      <c r="D9">
        <v>2.2894893869441</v>
      </c>
      <c r="E9">
        <v>2.1750966873773998</v>
      </c>
      <c r="F9">
        <v>3.0945812419319201</v>
      </c>
      <c r="G9">
        <v>1.8666865904430201</v>
      </c>
      <c r="H9">
        <v>3.4346817054560899</v>
      </c>
      <c r="I9">
        <v>4.63179037237028</v>
      </c>
      <c r="J9">
        <v>10.933615493869301</v>
      </c>
      <c r="K9">
        <v>2.15605314606315</v>
      </c>
      <c r="L9">
        <v>1.8405065939071099</v>
      </c>
      <c r="M9">
        <v>2.1825351702399201</v>
      </c>
      <c r="N9">
        <v>2.9871276586162501</v>
      </c>
    </row>
    <row r="10" spans="1:14" x14ac:dyDescent="0.35">
      <c r="A10" s="2">
        <v>41274</v>
      </c>
      <c r="B10">
        <v>2.40285148565594</v>
      </c>
      <c r="C10">
        <v>1.8915836506348001</v>
      </c>
      <c r="D10">
        <v>2.2176153002393399</v>
      </c>
      <c r="E10">
        <v>2.2735850086051101</v>
      </c>
      <c r="F10">
        <v>2.8747287105460999</v>
      </c>
      <c r="G10">
        <v>1.99956682614325</v>
      </c>
      <c r="H10">
        <v>3.30605625416888</v>
      </c>
      <c r="I10">
        <v>4.9723936001799096</v>
      </c>
      <c r="J10">
        <v>11.5093609233453</v>
      </c>
      <c r="K10">
        <v>2.1576437709053802</v>
      </c>
      <c r="L10">
        <v>1.84155905202006</v>
      </c>
      <c r="M10">
        <v>2.32063293486455</v>
      </c>
      <c r="N10">
        <v>2.8309927567607298</v>
      </c>
    </row>
    <row r="11" spans="1:14" x14ac:dyDescent="0.35">
      <c r="A11" s="2">
        <v>41639</v>
      </c>
      <c r="B11">
        <v>2.3121080896186399</v>
      </c>
      <c r="C11">
        <v>1.7190934434154901</v>
      </c>
      <c r="D11">
        <v>2.0201754576244202</v>
      </c>
      <c r="E11">
        <v>2.4061601417357799</v>
      </c>
      <c r="F11">
        <v>3.2749607108541601</v>
      </c>
      <c r="G11">
        <v>2.1608376401624301</v>
      </c>
      <c r="H11">
        <v>3.2321816852227601</v>
      </c>
      <c r="I11">
        <v>5.0145346891852203</v>
      </c>
      <c r="J11">
        <v>12.296272619920099</v>
      </c>
      <c r="K11">
        <v>2.1576872496622901</v>
      </c>
      <c r="L11">
        <v>1.8569478460726301</v>
      </c>
      <c r="M11">
        <v>2.3154506600636799</v>
      </c>
      <c r="N11">
        <v>2.5170904257716198</v>
      </c>
    </row>
    <row r="12" spans="1:14" x14ac:dyDescent="0.35">
      <c r="A12" s="2">
        <v>42004</v>
      </c>
      <c r="B12">
        <v>2.1949219382035401</v>
      </c>
      <c r="C12">
        <v>1.5192022293630101</v>
      </c>
      <c r="D12">
        <v>1.8613047681228401</v>
      </c>
      <c r="E12">
        <v>2.1341589481486198</v>
      </c>
      <c r="F12">
        <v>3.1445630178853601</v>
      </c>
      <c r="G12">
        <v>2.0213760812425501</v>
      </c>
      <c r="H12">
        <v>2.6058975174152499</v>
      </c>
      <c r="I12">
        <v>5.9189477139169897</v>
      </c>
      <c r="J12">
        <v>12.8692035676989</v>
      </c>
      <c r="K12">
        <v>1.78907537429816</v>
      </c>
      <c r="L12">
        <v>1.61003576125895</v>
      </c>
      <c r="M12">
        <v>2.0287242581820202</v>
      </c>
      <c r="N12">
        <v>2.2045107232016301</v>
      </c>
    </row>
    <row r="13" spans="1:14" x14ac:dyDescent="0.35">
      <c r="A13" s="2">
        <v>42369</v>
      </c>
      <c r="B13">
        <v>2.0494367160174898</v>
      </c>
      <c r="C13">
        <v>1.2032144758029399</v>
      </c>
      <c r="D13">
        <v>1.52246252495242</v>
      </c>
      <c r="E13">
        <v>1.9616560154156799</v>
      </c>
      <c r="F13">
        <v>3.4482751508906899</v>
      </c>
      <c r="G13">
        <v>1.8389835562691099</v>
      </c>
      <c r="H13">
        <v>2.1229420291538199</v>
      </c>
      <c r="I13">
        <v>6.0599751605653802</v>
      </c>
      <c r="J13">
        <v>12.748703211791501</v>
      </c>
      <c r="K13">
        <v>1.6636313733196599</v>
      </c>
      <c r="L13">
        <v>1.5506283745409</v>
      </c>
      <c r="M13">
        <v>1.9485788892231399</v>
      </c>
      <c r="N13">
        <v>1.95489186317479</v>
      </c>
    </row>
    <row r="14" spans="1:14" x14ac:dyDescent="0.35">
      <c r="A14" s="2">
        <v>42734</v>
      </c>
      <c r="B14">
        <v>2.1496284508732901</v>
      </c>
      <c r="C14">
        <v>1.2820159486904501</v>
      </c>
      <c r="D14">
        <v>1.6615707453978601</v>
      </c>
      <c r="E14">
        <v>1.94158660997406</v>
      </c>
      <c r="F14">
        <v>3.3316070942703102</v>
      </c>
      <c r="G14">
        <v>1.75546716180555</v>
      </c>
      <c r="H14">
        <v>2.123898319152</v>
      </c>
      <c r="I14">
        <v>6.56529580140728</v>
      </c>
      <c r="J14">
        <v>13.3024280719142</v>
      </c>
      <c r="K14">
        <v>1.6931958240998899</v>
      </c>
      <c r="L14">
        <v>1.60511092021475</v>
      </c>
      <c r="M14">
        <v>1.75138174890933</v>
      </c>
      <c r="N14">
        <v>1.78844259381098</v>
      </c>
    </row>
    <row r="15" spans="1:14" x14ac:dyDescent="0.35">
      <c r="A15" s="2">
        <v>43098</v>
      </c>
      <c r="B15">
        <v>2.2670681016107199</v>
      </c>
      <c r="C15">
        <v>1.4458070152700899</v>
      </c>
      <c r="D15">
        <v>1.86172454535832</v>
      </c>
      <c r="E15">
        <v>2.4036287780635099</v>
      </c>
      <c r="F15">
        <v>4.07233312791291</v>
      </c>
      <c r="G15">
        <v>2.01138269666406</v>
      </c>
      <c r="H15">
        <v>2.42405089418043</v>
      </c>
      <c r="I15">
        <v>7.4909851965595502</v>
      </c>
      <c r="J15">
        <v>14.724037692001801</v>
      </c>
      <c r="K15">
        <v>2.10907755629154</v>
      </c>
      <c r="L15">
        <v>1.99467947715871</v>
      </c>
      <c r="M15">
        <v>2.1039018689376099</v>
      </c>
      <c r="N15">
        <v>2.3512953608173301</v>
      </c>
    </row>
    <row r="16" spans="1:14" x14ac:dyDescent="0.35">
      <c r="A16" s="2">
        <v>43465</v>
      </c>
      <c r="B16">
        <v>2.29721148308571</v>
      </c>
      <c r="C16">
        <v>1.3789495760516599</v>
      </c>
      <c r="D16">
        <v>1.9774050981912601</v>
      </c>
      <c r="E16">
        <v>2.3211607230687301</v>
      </c>
      <c r="F16">
        <v>4.56488250158257</v>
      </c>
      <c r="G16">
        <v>2.1751987947225402</v>
      </c>
      <c r="H16">
        <v>2.5773222742994899</v>
      </c>
      <c r="I16">
        <v>8.9443858601639104</v>
      </c>
      <c r="J16">
        <v>17.355846469554798</v>
      </c>
      <c r="K16">
        <v>2.23155948612122</v>
      </c>
      <c r="L16">
        <v>2.0095545823588901</v>
      </c>
      <c r="M16">
        <v>2.1154389610009998</v>
      </c>
      <c r="N16">
        <v>2.6492475649665401</v>
      </c>
    </row>
    <row r="17" spans="1:14" x14ac:dyDescent="0.35">
      <c r="A17" s="2">
        <v>43830</v>
      </c>
      <c r="B17">
        <v>2.2473256441274398</v>
      </c>
      <c r="C17">
        <v>1.3179970851092</v>
      </c>
      <c r="D17">
        <v>2.0739392179922902</v>
      </c>
      <c r="E17">
        <v>2.0881582961298202</v>
      </c>
      <c r="F17">
        <v>4.0763821987412499</v>
      </c>
      <c r="G17">
        <v>2.2808425238276202</v>
      </c>
      <c r="H17">
        <v>2.5348579496144801</v>
      </c>
      <c r="I17">
        <v>9.3523184569568905</v>
      </c>
      <c r="J17">
        <v>17.729435429113501</v>
      </c>
      <c r="K17">
        <v>2.1970597171427402</v>
      </c>
      <c r="L17">
        <v>1.99085797419876</v>
      </c>
      <c r="M17">
        <v>2.0450009047096098</v>
      </c>
      <c r="N17">
        <v>2.59251661571796</v>
      </c>
    </row>
    <row r="18" spans="1:14" x14ac:dyDescent="0.35">
      <c r="A18" s="2">
        <v>44196</v>
      </c>
      <c r="B18">
        <v>1.98522618259249</v>
      </c>
      <c r="C18">
        <v>1.26256164176903</v>
      </c>
      <c r="D18">
        <v>1.9578408739872699</v>
      </c>
      <c r="E18">
        <v>1.9799060817604801</v>
      </c>
      <c r="F18">
        <v>3.67789534776584</v>
      </c>
      <c r="G18">
        <v>2.36864078670768</v>
      </c>
      <c r="H18">
        <v>2.0346384136804501</v>
      </c>
      <c r="I18">
        <v>10.4260783076313</v>
      </c>
      <c r="J18">
        <v>16.661770335547502</v>
      </c>
      <c r="K18">
        <v>1.85113612011142</v>
      </c>
      <c r="L18">
        <v>2.00892945351409</v>
      </c>
      <c r="M18">
        <v>2.2138152783679201</v>
      </c>
      <c r="N18">
        <v>1.9971174572949799</v>
      </c>
    </row>
    <row r="19" spans="1:14" x14ac:dyDescent="0.35">
      <c r="A19" s="2">
        <v>44561</v>
      </c>
      <c r="B19">
        <v>1.8209368887947699</v>
      </c>
      <c r="C19">
        <v>1.41909398824033</v>
      </c>
      <c r="D19">
        <v>2.6644833781776298</v>
      </c>
      <c r="E19">
        <v>2.4494951252375601</v>
      </c>
      <c r="F19">
        <v>4.61613845138492</v>
      </c>
      <c r="G19">
        <v>2.66234515884581</v>
      </c>
      <c r="H19">
        <v>2.7142722466617202</v>
      </c>
      <c r="I19">
        <v>13.6402697494705</v>
      </c>
      <c r="J19">
        <v>22.276707389467202</v>
      </c>
      <c r="K19">
        <v>2.4608179865184701</v>
      </c>
      <c r="L19">
        <v>2.4360180766850199</v>
      </c>
      <c r="M19">
        <v>2.4898156587914002</v>
      </c>
      <c r="N19">
        <v>2.9640029759690898</v>
      </c>
    </row>
    <row r="20" spans="1:14" x14ac:dyDescent="0.35">
      <c r="A20" s="2">
        <v>44925</v>
      </c>
      <c r="B20">
        <v>2.1103784647633299</v>
      </c>
      <c r="C20">
        <v>1.5685033677051301</v>
      </c>
      <c r="D20">
        <v>2.7492045610204201</v>
      </c>
      <c r="E20">
        <v>2.3638879515072899</v>
      </c>
      <c r="F20">
        <v>4.46089531352278</v>
      </c>
      <c r="G20">
        <v>2.5838872063229701</v>
      </c>
      <c r="H20">
        <v>3.1276012084365901</v>
      </c>
      <c r="I20">
        <v>12.7503134568906</v>
      </c>
      <c r="J20">
        <v>22.969002360333501</v>
      </c>
      <c r="K20">
        <v>2.8026547594435298</v>
      </c>
      <c r="L20">
        <v>2.4294142549840898</v>
      </c>
      <c r="M20">
        <v>2.5641957501655699</v>
      </c>
      <c r="N20">
        <v>3.5473670886293198</v>
      </c>
    </row>
    <row r="21" spans="1:14" x14ac:dyDescent="0.35">
      <c r="A21" s="2">
        <v>45289</v>
      </c>
      <c r="B21">
        <v>2.11106621771878</v>
      </c>
      <c r="C21">
        <v>1.4789271778744699</v>
      </c>
      <c r="D21">
        <v>2.6826335841504898</v>
      </c>
      <c r="E21">
        <v>2.65680492825543</v>
      </c>
      <c r="F21">
        <v>4.5654754429888698</v>
      </c>
      <c r="G21">
        <v>2.86429657456778</v>
      </c>
      <c r="H21">
        <v>3.0052327857456702</v>
      </c>
      <c r="I21">
        <v>16.3242202004236</v>
      </c>
      <c r="J21">
        <v>24.348273063814698</v>
      </c>
      <c r="K21">
        <v>2.9207261342803501</v>
      </c>
      <c r="L21">
        <v>2.9556075040921299</v>
      </c>
      <c r="M21">
        <v>2.5100925842498998</v>
      </c>
      <c r="N21">
        <v>3.81180346997282</v>
      </c>
    </row>
    <row r="23" spans="1:14" x14ac:dyDescent="0.35">
      <c r="B23" s="8">
        <f t="shared" ref="B23:N23" si="0">COUNT(B1:B21)</f>
        <v>14</v>
      </c>
      <c r="C23" s="8">
        <f t="shared" si="0"/>
        <v>20</v>
      </c>
      <c r="D23" s="8">
        <f t="shared" si="0"/>
        <v>20</v>
      </c>
      <c r="E23" s="8">
        <f t="shared" si="0"/>
        <v>20</v>
      </c>
      <c r="F23" s="8">
        <f t="shared" si="0"/>
        <v>20</v>
      </c>
      <c r="G23" s="8">
        <f t="shared" si="0"/>
        <v>20</v>
      </c>
      <c r="H23" s="8">
        <f t="shared" si="0"/>
        <v>20</v>
      </c>
      <c r="I23" s="8">
        <f t="shared" si="0"/>
        <v>20</v>
      </c>
      <c r="J23" s="8">
        <f t="shared" si="0"/>
        <v>20</v>
      </c>
      <c r="K23" s="8">
        <f t="shared" si="0"/>
        <v>20</v>
      </c>
      <c r="L23" s="8">
        <f t="shared" si="0"/>
        <v>20</v>
      </c>
      <c r="M23" s="8">
        <f t="shared" si="0"/>
        <v>20</v>
      </c>
      <c r="N23" s="8">
        <f t="shared" si="0"/>
        <v>20</v>
      </c>
    </row>
    <row r="25" spans="1:14" x14ac:dyDescent="0.35">
      <c r="A25" t="s">
        <v>90</v>
      </c>
      <c r="B25" s="48" cm="1">
        <f t="array" ref="B25">(B21/INDEX(B2:B21,MATCH(TRUE,INDEX(ISNUMBER(B2:B21),0),0)))^(1/B23)-1</f>
        <v>-9.3828148339384354E-3</v>
      </c>
      <c r="C25" s="48" cm="1">
        <f t="array" ref="C25">(C21/INDEX(C2:C21,MATCH(TRUE,INDEX(ISNUMBER(C2:C21),0),0)))^(1/C23)-1</f>
        <v>1.1173841089814562E-2</v>
      </c>
      <c r="D25" s="48" cm="1">
        <f t="array" ref="D25">(D21/INDEX(D2:D21,MATCH(TRUE,INDEX(ISNUMBER(D2:D21),0),0)))^(1/D23)-1</f>
        <v>4.0909866878857226E-2</v>
      </c>
      <c r="E25" s="48" cm="1">
        <f t="array" ref="E25">(E21/INDEX(E2:E21,MATCH(TRUE,INDEX(ISNUMBER(E2:E21),0),0)))^(1/E23)-1</f>
        <v>2.829167218053974E-2</v>
      </c>
      <c r="F25" s="48" cm="1">
        <f t="array" ref="F25">(F21/INDEX(F2:F21,MATCH(TRUE,INDEX(ISNUMBER(F2:F21),0),0)))^(1/F23)-1</f>
        <v>2.4097091687938166E-2</v>
      </c>
      <c r="G25" s="48" cm="1">
        <f t="array" ref="G25">(G21/INDEX(G2:G21,MATCH(TRUE,INDEX(ISNUMBER(G2:G21),0),0)))^(1/G23)-1</f>
        <v>4.6608631187242899E-2</v>
      </c>
      <c r="H25" s="48" cm="1">
        <f t="array" ref="H25">(H21/INDEX(H2:H21,MATCH(TRUE,INDEX(ISNUMBER(H2:H21),0),0)))^(1/H23)-1</f>
        <v>3.7532801015660588E-3</v>
      </c>
      <c r="I25" s="48" cm="1">
        <f t="array" ref="I25">(I21/INDEX(I2:I21,MATCH(TRUE,INDEX(ISNUMBER(I2:I21),0),0)))^(1/I23)-1</f>
        <v>0.1298893227578648</v>
      </c>
      <c r="J25" s="48" cm="1">
        <f t="array" ref="J25">(J21/INDEX(J2:J21,MATCH(TRUE,INDEX(ISNUMBER(J2:J21),0),0)))^(1/J23)-1</f>
        <v>5.9891784775607526E-2</v>
      </c>
      <c r="K25" s="48" cm="1">
        <f t="array" ref="K25">(K21/INDEX(K2:K21,MATCH(TRUE,INDEX(ISNUMBER(K2:K21),0),0)))^(1/K23)-1</f>
        <v>1.8533725345370788E-2</v>
      </c>
      <c r="L25" s="48" cm="1">
        <f t="array" ref="L25">(L21/INDEX(L2:L21,MATCH(TRUE,INDEX(ISNUMBER(L2:L21),0),0)))^(1/L23)-1</f>
        <v>3.4801405278536146E-2</v>
      </c>
      <c r="M25" s="48" cm="1">
        <f t="array" ref="M25">(M21/INDEX(M2:M21,MATCH(TRUE,INDEX(ISNUMBER(M2:M21),0),0)))^(1/M23)-1</f>
        <v>2.4305006324402134E-2</v>
      </c>
      <c r="N25" s="48" cm="1">
        <f t="array" ref="N25">(N21/INDEX(N2:N21,MATCH(TRUE,INDEX(ISNUMBER(N2:N21),0),0)))^(1/N23)-1</f>
        <v>9.2744046638129074E-3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0" customWidth="1"/>
    <col min="23" max="23" width="9.453125" customWidth="1"/>
  </cols>
  <sheetData>
    <row r="1" spans="1:24" ht="18.5" x14ac:dyDescent="0.45">
      <c r="A1" s="82" t="s">
        <v>556</v>
      </c>
      <c r="B1" s="83"/>
      <c r="C1" s="80"/>
      <c r="D1" s="80"/>
      <c r="E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</row>
    <row r="2" spans="1:24" x14ac:dyDescent="0.35">
      <c r="A2" s="80"/>
      <c r="B2" s="83"/>
      <c r="C2" s="80"/>
      <c r="D2" s="80"/>
      <c r="E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</row>
    <row r="3" spans="1:24" ht="21" x14ac:dyDescent="0.5">
      <c r="A3" s="84" t="s">
        <v>727</v>
      </c>
      <c r="B3" s="85"/>
      <c r="C3" s="80"/>
      <c r="D3" s="80"/>
      <c r="E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</row>
    <row r="4" spans="1:24" x14ac:dyDescent="0.35">
      <c r="A4" s="102" t="s">
        <v>557</v>
      </c>
      <c r="B4" s="85"/>
      <c r="C4" s="80"/>
      <c r="D4" s="80"/>
      <c r="E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</row>
    <row r="5" spans="1:24" x14ac:dyDescent="0.35">
      <c r="A5" s="80"/>
      <c r="B5" s="83"/>
      <c r="C5" s="80"/>
      <c r="D5" s="80"/>
      <c r="E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</row>
    <row r="6" spans="1:24" x14ac:dyDescent="0.35">
      <c r="A6" s="92"/>
      <c r="B6" s="95"/>
      <c r="C6" s="80"/>
      <c r="D6" s="80"/>
      <c r="E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</row>
    <row r="7" spans="1:24" x14ac:dyDescent="0.35">
      <c r="A7" s="216"/>
      <c r="B7" s="216"/>
      <c r="C7" s="80"/>
      <c r="D7" s="80"/>
      <c r="E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</row>
    <row r="8" spans="1:24" x14ac:dyDescent="0.35">
      <c r="A8" s="100"/>
      <c r="B8" s="100"/>
      <c r="C8" s="217" t="s">
        <v>558</v>
      </c>
      <c r="D8" s="218"/>
      <c r="E8" s="219"/>
      <c r="G8" s="80"/>
      <c r="H8" s="80"/>
      <c r="I8" s="80"/>
      <c r="J8" s="80"/>
      <c r="K8" s="80"/>
      <c r="L8" s="217" t="s">
        <v>559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86" t="s">
        <v>560</v>
      </c>
      <c r="B9" s="86" t="s">
        <v>561</v>
      </c>
      <c r="C9" s="104" t="s">
        <v>562</v>
      </c>
      <c r="D9" s="105" t="s">
        <v>563</v>
      </c>
      <c r="E9" s="106" t="s">
        <v>564</v>
      </c>
      <c r="F9" s="110" t="s">
        <v>732</v>
      </c>
      <c r="G9" s="96" t="s">
        <v>728</v>
      </c>
      <c r="H9" s="98" t="s">
        <v>729</v>
      </c>
      <c r="I9" s="98" t="s">
        <v>730</v>
      </c>
      <c r="J9" s="97" t="s">
        <v>731</v>
      </c>
      <c r="K9" s="99"/>
      <c r="L9" s="109">
        <v>2012</v>
      </c>
      <c r="M9" s="87">
        <v>2013</v>
      </c>
      <c r="N9" s="87">
        <v>2014</v>
      </c>
      <c r="O9" s="87">
        <v>2015</v>
      </c>
      <c r="P9" s="87">
        <v>2016</v>
      </c>
      <c r="Q9" s="87">
        <v>2017</v>
      </c>
      <c r="R9" s="87">
        <v>2018</v>
      </c>
      <c r="S9" s="87">
        <v>2019</v>
      </c>
      <c r="T9" s="87">
        <v>2020</v>
      </c>
      <c r="U9" s="87">
        <v>2021</v>
      </c>
      <c r="V9" s="88">
        <v>2022</v>
      </c>
      <c r="W9" s="97" t="s">
        <v>738</v>
      </c>
      <c r="X9" s="97" t="s">
        <v>739</v>
      </c>
    </row>
    <row r="10" spans="1:24" x14ac:dyDescent="0.35">
      <c r="A10" s="81" t="s">
        <v>565</v>
      </c>
      <c r="B10" s="81" t="s">
        <v>566</v>
      </c>
      <c r="C10" s="89">
        <v>-6.330015897488761</v>
      </c>
      <c r="D10" s="90">
        <v>-1.9803203632740796</v>
      </c>
      <c r="E10" s="91">
        <v>1.4438839505667156</v>
      </c>
      <c r="G10" s="103" t="s">
        <v>567</v>
      </c>
      <c r="H10" s="101">
        <v>34.781666666666666</v>
      </c>
      <c r="I10" s="93">
        <v>154</v>
      </c>
      <c r="J10" s="94">
        <v>32</v>
      </c>
      <c r="K10" s="81"/>
      <c r="L10" s="89">
        <v>19.865459911417584</v>
      </c>
      <c r="M10" s="90">
        <v>9.8957883924851959</v>
      </c>
      <c r="N10" s="90">
        <v>6.5854081038949879</v>
      </c>
      <c r="O10" s="90">
        <v>0.98799999999999999</v>
      </c>
      <c r="P10" s="90">
        <v>2.1640000000000001</v>
      </c>
      <c r="Q10" s="90">
        <v>2.6469999999999998</v>
      </c>
      <c r="R10" s="90">
        <v>1.1890000000000001</v>
      </c>
      <c r="S10" s="90">
        <v>3.9119999999999999</v>
      </c>
      <c r="T10" s="90">
        <v>-2.351</v>
      </c>
      <c r="U10" s="90">
        <v>-2.4</v>
      </c>
      <c r="V10" s="91">
        <v>-5</v>
      </c>
      <c r="W10" s="91">
        <f>AVERAGE(D10,E10)</f>
        <v>-0.26821820635368199</v>
      </c>
    </row>
    <row r="11" spans="1:24" x14ac:dyDescent="0.35">
      <c r="A11" s="81" t="s">
        <v>227</v>
      </c>
      <c r="B11" s="81" t="s">
        <v>568</v>
      </c>
      <c r="C11" s="89">
        <v>2.8369230771995602</v>
      </c>
      <c r="D11" s="90">
        <v>2.527708680261509</v>
      </c>
      <c r="E11" s="91">
        <v>2.499335307066497</v>
      </c>
      <c r="G11" s="103" t="s">
        <v>398</v>
      </c>
      <c r="H11" s="101">
        <v>71.94876523650197</v>
      </c>
      <c r="I11" s="93">
        <v>80</v>
      </c>
      <c r="J11" s="94">
        <v>40</v>
      </c>
      <c r="K11" s="81"/>
      <c r="L11" s="89">
        <v>1.4329514555018943</v>
      </c>
      <c r="M11" s="90">
        <v>1.0096624423848639</v>
      </c>
      <c r="N11" s="90">
        <v>1.7987489151280414</v>
      </c>
      <c r="O11" s="90">
        <v>2.2189999999999999</v>
      </c>
      <c r="P11" s="90">
        <v>3.3149999999999999</v>
      </c>
      <c r="Q11" s="90">
        <v>3.802</v>
      </c>
      <c r="R11" s="90">
        <v>4.0190000000000001</v>
      </c>
      <c r="S11" s="90">
        <v>2.0880000000000001</v>
      </c>
      <c r="T11" s="90">
        <v>-3.4820000000000002</v>
      </c>
      <c r="U11" s="90">
        <v>8.516</v>
      </c>
      <c r="V11" s="91">
        <v>3.74</v>
      </c>
      <c r="W11" s="91">
        <f t="shared" ref="W11:W74" si="0">AVERAGE(D11,E11)</f>
        <v>2.513521993664003</v>
      </c>
    </row>
    <row r="12" spans="1:24" x14ac:dyDescent="0.35">
      <c r="A12" s="81" t="s">
        <v>569</v>
      </c>
      <c r="B12" s="81" t="s">
        <v>570</v>
      </c>
      <c r="C12" s="89">
        <v>0.36545353196819619</v>
      </c>
      <c r="D12" s="90">
        <v>0.98216884294510809</v>
      </c>
      <c r="E12" s="91">
        <v>1.9643097765769557</v>
      </c>
      <c r="G12" s="103" t="s">
        <v>571</v>
      </c>
      <c r="H12" s="101">
        <v>77.429986450518911</v>
      </c>
      <c r="I12" s="93">
        <v>59</v>
      </c>
      <c r="J12" s="94">
        <v>2</v>
      </c>
      <c r="K12" s="81"/>
      <c r="L12" s="89">
        <v>3.3999999982054412</v>
      </c>
      <c r="M12" s="90">
        <v>2.8000000002529002</v>
      </c>
      <c r="N12" s="90">
        <v>3.8000000007790273</v>
      </c>
      <c r="O12" s="90">
        <v>3.7</v>
      </c>
      <c r="P12" s="90">
        <v>3.2</v>
      </c>
      <c r="Q12" s="90">
        <v>1.4</v>
      </c>
      <c r="R12" s="90">
        <v>1.2</v>
      </c>
      <c r="S12" s="90">
        <v>1</v>
      </c>
      <c r="T12" s="90">
        <v>-5.0999999999999996</v>
      </c>
      <c r="U12" s="90">
        <v>3.4</v>
      </c>
      <c r="V12" s="91">
        <v>2.931</v>
      </c>
      <c r="W12" s="91">
        <f t="shared" si="0"/>
        <v>1.4732393097610319</v>
      </c>
    </row>
    <row r="13" spans="1:24" x14ac:dyDescent="0.35">
      <c r="A13" s="81" t="s">
        <v>569</v>
      </c>
      <c r="B13" s="81" t="s">
        <v>572</v>
      </c>
      <c r="C13" s="89">
        <v>-0.62057485054567429</v>
      </c>
      <c r="D13" s="90">
        <v>-0.7759815069387388</v>
      </c>
      <c r="E13" s="91">
        <v>0.38358743648301274</v>
      </c>
      <c r="G13" s="103" t="s">
        <v>567</v>
      </c>
      <c r="H13" s="101">
        <v>43.142397643089645</v>
      </c>
      <c r="I13" s="93">
        <v>147</v>
      </c>
      <c r="J13" s="94">
        <v>42</v>
      </c>
      <c r="K13" s="81"/>
      <c r="L13" s="89">
        <v>8.5421473366219605</v>
      </c>
      <c r="M13" s="90">
        <v>4.9545904703972692</v>
      </c>
      <c r="N13" s="90">
        <v>4.8226255512268246</v>
      </c>
      <c r="O13" s="90">
        <v>0.94399999999999995</v>
      </c>
      <c r="P13" s="90">
        <v>-2.58</v>
      </c>
      <c r="Q13" s="90">
        <v>-0.15</v>
      </c>
      <c r="R13" s="90">
        <v>-1.3160000000000001</v>
      </c>
      <c r="S13" s="90">
        <v>-0.70199999999999996</v>
      </c>
      <c r="T13" s="90">
        <v>-5.6379999999999999</v>
      </c>
      <c r="U13" s="90">
        <v>1.0920000000000001</v>
      </c>
      <c r="V13" s="91">
        <v>2.8410000000000002</v>
      </c>
      <c r="W13" s="91">
        <f t="shared" si="0"/>
        <v>-0.19619703522786303</v>
      </c>
    </row>
    <row r="14" spans="1:24" x14ac:dyDescent="0.35">
      <c r="A14" s="81" t="s">
        <v>573</v>
      </c>
      <c r="B14" s="81" t="s">
        <v>574</v>
      </c>
      <c r="C14" s="89">
        <v>1.5213184649000233</v>
      </c>
      <c r="D14" s="90">
        <v>2.4231703477095579E-4</v>
      </c>
      <c r="E14" s="91">
        <v>0.30638889849419204</v>
      </c>
      <c r="G14" s="103" t="s">
        <v>422</v>
      </c>
      <c r="H14" s="101">
        <v>63.902477118742887</v>
      </c>
      <c r="I14" s="93">
        <v>116</v>
      </c>
      <c r="J14" s="94">
        <v>16</v>
      </c>
      <c r="K14" s="81"/>
      <c r="L14" s="89">
        <v>-1.0264204544320839</v>
      </c>
      <c r="M14" s="90">
        <v>2.4053237807943506</v>
      </c>
      <c r="N14" s="90">
        <v>-2.5126153208139428</v>
      </c>
      <c r="O14" s="90">
        <v>2.7309999999999999</v>
      </c>
      <c r="P14" s="90">
        <v>-2.08</v>
      </c>
      <c r="Q14" s="90">
        <v>2.819</v>
      </c>
      <c r="R14" s="90">
        <v>-2.617</v>
      </c>
      <c r="S14" s="90">
        <v>-2.0009999999999999</v>
      </c>
      <c r="T14" s="90">
        <v>-9.9429999999999996</v>
      </c>
      <c r="U14" s="90">
        <v>10.398</v>
      </c>
      <c r="V14" s="91">
        <v>5.2430000000000003</v>
      </c>
      <c r="W14" s="91">
        <f t="shared" si="0"/>
        <v>0.1533156077644815</v>
      </c>
    </row>
    <row r="15" spans="1:24" x14ac:dyDescent="0.35">
      <c r="A15" s="81" t="s">
        <v>227</v>
      </c>
      <c r="B15" s="81" t="s">
        <v>575</v>
      </c>
      <c r="C15" s="89">
        <v>3.3694630969417716</v>
      </c>
      <c r="D15" s="90">
        <v>4.5685193344935815</v>
      </c>
      <c r="E15" s="91">
        <v>4.0499977792169295</v>
      </c>
      <c r="G15" s="103" t="s">
        <v>571</v>
      </c>
      <c r="H15" s="101">
        <v>81.866330149150926</v>
      </c>
      <c r="I15" s="93">
        <v>42</v>
      </c>
      <c r="J15" s="94">
        <v>28</v>
      </c>
      <c r="K15" s="81"/>
      <c r="L15" s="89">
        <v>7.200000000964871</v>
      </c>
      <c r="M15" s="90">
        <v>3.2999999999999674</v>
      </c>
      <c r="N15" s="90">
        <v>3.6000000005899464</v>
      </c>
      <c r="O15" s="90">
        <v>3.254</v>
      </c>
      <c r="P15" s="90">
        <v>0.19500000000000001</v>
      </c>
      <c r="Q15" s="90">
        <v>7.5179999999999998</v>
      </c>
      <c r="R15" s="90">
        <v>5.2249999999999996</v>
      </c>
      <c r="S15" s="90">
        <v>7.6310000000000002</v>
      </c>
      <c r="T15" s="90">
        <v>-7.1509999999999998</v>
      </c>
      <c r="U15" s="90">
        <v>5.6840000000000002</v>
      </c>
      <c r="V15" s="91">
        <v>12.603999999999999</v>
      </c>
      <c r="W15" s="91">
        <f t="shared" si="0"/>
        <v>4.3092585568552551</v>
      </c>
    </row>
    <row r="16" spans="1:24" x14ac:dyDescent="0.35">
      <c r="A16" s="81" t="s">
        <v>565</v>
      </c>
      <c r="B16" s="81" t="s">
        <v>576</v>
      </c>
      <c r="C16" s="89">
        <v>1.9372779726990919</v>
      </c>
      <c r="D16" s="90">
        <v>1.9542949107595797</v>
      </c>
      <c r="E16" s="91">
        <v>2.221593328352145</v>
      </c>
      <c r="G16" s="103" t="s">
        <v>415</v>
      </c>
      <c r="H16" s="101">
        <v>96.36744549025839</v>
      </c>
      <c r="I16" s="93">
        <v>11</v>
      </c>
      <c r="J16" s="94">
        <v>3</v>
      </c>
      <c r="K16" s="81"/>
      <c r="L16" s="89">
        <v>3.9181617722068416</v>
      </c>
      <c r="M16" s="90">
        <v>2.5848751108311681</v>
      </c>
      <c r="N16" s="90">
        <v>2.5331154467594699</v>
      </c>
      <c r="O16" s="90">
        <v>2.2829999999999999</v>
      </c>
      <c r="P16" s="90">
        <v>2.6909999999999998</v>
      </c>
      <c r="Q16" s="90">
        <v>2.383</v>
      </c>
      <c r="R16" s="90">
        <v>2.8149999999999999</v>
      </c>
      <c r="S16" s="90">
        <v>1.9430000000000001</v>
      </c>
      <c r="T16" s="90">
        <v>-1.8140000000000001</v>
      </c>
      <c r="U16" s="90">
        <v>5.1959999999999997</v>
      </c>
      <c r="V16" s="91">
        <v>3.661</v>
      </c>
      <c r="W16" s="91">
        <f t="shared" si="0"/>
        <v>2.0879441195558623</v>
      </c>
    </row>
    <row r="17" spans="1:23" x14ac:dyDescent="0.35">
      <c r="A17" s="81" t="s">
        <v>227</v>
      </c>
      <c r="B17" s="81" t="s">
        <v>577</v>
      </c>
      <c r="C17" s="89">
        <v>0.89080434606740866</v>
      </c>
      <c r="D17" s="90">
        <v>1.1485693717847134</v>
      </c>
      <c r="E17" s="91">
        <v>1.1982825816158282</v>
      </c>
      <c r="G17" s="103" t="s">
        <v>415</v>
      </c>
      <c r="H17" s="101">
        <v>95.913594407477049</v>
      </c>
      <c r="I17" s="93">
        <v>15</v>
      </c>
      <c r="J17" s="94">
        <v>10</v>
      </c>
      <c r="K17" s="81"/>
      <c r="L17" s="89">
        <v>0.68044557681670037</v>
      </c>
      <c r="M17" s="90">
        <v>2.5504712197222973E-2</v>
      </c>
      <c r="N17" s="90">
        <v>0.66127284885259119</v>
      </c>
      <c r="O17" s="90">
        <v>1.0149999999999999</v>
      </c>
      <c r="P17" s="90">
        <v>1.9890000000000001</v>
      </c>
      <c r="Q17" s="90">
        <v>2.2589999999999999</v>
      </c>
      <c r="R17" s="90">
        <v>2.4249999999999998</v>
      </c>
      <c r="S17" s="90">
        <v>1.5169999999999999</v>
      </c>
      <c r="T17" s="90">
        <v>-6.4539999999999997</v>
      </c>
      <c r="U17" s="90">
        <v>4.5570000000000004</v>
      </c>
      <c r="V17" s="91">
        <v>4.9969999999999999</v>
      </c>
      <c r="W17" s="91">
        <f t="shared" si="0"/>
        <v>1.1734259767002708</v>
      </c>
    </row>
    <row r="18" spans="1:23" x14ac:dyDescent="0.35">
      <c r="A18" s="81" t="s">
        <v>565</v>
      </c>
      <c r="B18" s="81" t="s">
        <v>578</v>
      </c>
      <c r="C18" s="89">
        <v>1.8824891899037688</v>
      </c>
      <c r="D18" s="90">
        <v>1.9289874111129146</v>
      </c>
      <c r="E18" s="91">
        <v>1.6182050869221642</v>
      </c>
      <c r="G18" s="103" t="s">
        <v>422</v>
      </c>
      <c r="H18" s="101">
        <v>66.732349416312132</v>
      </c>
      <c r="I18" s="93">
        <v>106</v>
      </c>
      <c r="J18" s="94">
        <v>20</v>
      </c>
      <c r="K18" s="81"/>
      <c r="L18" s="89">
        <v>2.1652394301296014</v>
      </c>
      <c r="M18" s="90">
        <v>5.8098009451315624</v>
      </c>
      <c r="N18" s="90">
        <v>2.7505070296654104</v>
      </c>
      <c r="O18" s="90">
        <v>1.05</v>
      </c>
      <c r="P18" s="90">
        <v>-3.0640000000000001</v>
      </c>
      <c r="Q18" s="90">
        <v>0.154</v>
      </c>
      <c r="R18" s="90">
        <v>1.5</v>
      </c>
      <c r="S18" s="90">
        <v>2.48</v>
      </c>
      <c r="T18" s="90">
        <v>-4.1989999999999998</v>
      </c>
      <c r="U18" s="90">
        <v>5.6</v>
      </c>
      <c r="V18" s="91">
        <v>4.6459999999999999</v>
      </c>
      <c r="W18" s="91">
        <f t="shared" si="0"/>
        <v>1.7735962490175394</v>
      </c>
    </row>
    <row r="19" spans="1:23" x14ac:dyDescent="0.35">
      <c r="A19" s="81" t="s">
        <v>573</v>
      </c>
      <c r="B19" s="81" t="s">
        <v>579</v>
      </c>
      <c r="C19" s="89">
        <v>-1.3025041762945944</v>
      </c>
      <c r="D19" s="90">
        <v>-5.1450420089638182E-2</v>
      </c>
      <c r="E19" s="91">
        <v>0.16369977541730307</v>
      </c>
      <c r="G19" s="103" t="s">
        <v>571</v>
      </c>
      <c r="H19" s="101">
        <v>79.378460082017611</v>
      </c>
      <c r="I19" s="93">
        <v>54</v>
      </c>
      <c r="J19" s="94">
        <v>8</v>
      </c>
      <c r="K19" s="81"/>
      <c r="L19" s="89">
        <v>3.0868791768834938</v>
      </c>
      <c r="M19" s="90">
        <v>-3.5838746627962172</v>
      </c>
      <c r="N19" s="90">
        <v>2.2881473175630553</v>
      </c>
      <c r="O19" s="90">
        <v>0.997</v>
      </c>
      <c r="P19" s="90">
        <v>-0.85799999999999998</v>
      </c>
      <c r="Q19" s="90">
        <v>3.05</v>
      </c>
      <c r="R19" s="90">
        <v>1.831</v>
      </c>
      <c r="S19" s="90">
        <v>1.8959999999999999</v>
      </c>
      <c r="T19" s="90">
        <v>-23.823</v>
      </c>
      <c r="U19" s="90">
        <v>13.72</v>
      </c>
      <c r="V19" s="91">
        <v>10.983000000000001</v>
      </c>
      <c r="W19" s="91">
        <f t="shared" si="0"/>
        <v>5.6124677663832445E-2</v>
      </c>
    </row>
    <row r="20" spans="1:23" x14ac:dyDescent="0.35">
      <c r="A20" s="81" t="s">
        <v>580</v>
      </c>
      <c r="B20" s="81" t="s">
        <v>581</v>
      </c>
      <c r="C20" s="89">
        <v>0.41671802598486352</v>
      </c>
      <c r="D20" s="90">
        <v>1.1307360567982316</v>
      </c>
      <c r="E20" s="91">
        <v>2.5452347834856504</v>
      </c>
      <c r="G20" s="103" t="s">
        <v>571</v>
      </c>
      <c r="H20" s="101">
        <v>77.128033983685327</v>
      </c>
      <c r="I20" s="93">
        <v>60</v>
      </c>
      <c r="J20" s="94">
        <v>7</v>
      </c>
      <c r="K20" s="81"/>
      <c r="L20" s="89">
        <v>3.7281084304601642</v>
      </c>
      <c r="M20" s="90">
        <v>5.41683981012069</v>
      </c>
      <c r="N20" s="90">
        <v>4.3503908525296939</v>
      </c>
      <c r="O20" s="90">
        <v>2.4849999999999999</v>
      </c>
      <c r="P20" s="90">
        <v>3.5579999999999998</v>
      </c>
      <c r="Q20" s="90">
        <v>4.2919999999999998</v>
      </c>
      <c r="R20" s="90">
        <v>2.11</v>
      </c>
      <c r="S20" s="90">
        <v>2.1669999999999998</v>
      </c>
      <c r="T20" s="90">
        <v>-4.6449999999999996</v>
      </c>
      <c r="U20" s="90">
        <v>2.67</v>
      </c>
      <c r="V20" s="91">
        <v>4.194</v>
      </c>
      <c r="W20" s="91">
        <f t="shared" si="0"/>
        <v>1.837985420141941</v>
      </c>
    </row>
    <row r="21" spans="1:23" x14ac:dyDescent="0.35">
      <c r="A21" s="81" t="s">
        <v>565</v>
      </c>
      <c r="B21" s="81" t="s">
        <v>582</v>
      </c>
      <c r="C21" s="89">
        <v>8.4780836054535911</v>
      </c>
      <c r="D21" s="90">
        <v>9.4495577005361255</v>
      </c>
      <c r="E21" s="91">
        <v>9.0902336923363691</v>
      </c>
      <c r="G21" s="103" t="s">
        <v>422</v>
      </c>
      <c r="H21" s="101">
        <v>59.78425810407569</v>
      </c>
      <c r="I21" s="93">
        <v>125</v>
      </c>
      <c r="J21" s="94">
        <v>25</v>
      </c>
      <c r="K21" s="81"/>
      <c r="L21" s="89">
        <v>15.458182784890836</v>
      </c>
      <c r="M21" s="90">
        <v>8.997951209804727</v>
      </c>
      <c r="N21" s="90">
        <v>9.1371359215878698</v>
      </c>
      <c r="O21" s="90">
        <v>6.5529999999999999</v>
      </c>
      <c r="P21" s="90">
        <v>7.1139999999999999</v>
      </c>
      <c r="Q21" s="90">
        <v>6.59</v>
      </c>
      <c r="R21" s="90">
        <v>7.319</v>
      </c>
      <c r="S21" s="90">
        <v>7.8819999999999997</v>
      </c>
      <c r="T21" s="90">
        <v>3.448</v>
      </c>
      <c r="U21" s="90">
        <v>6.9390000000000001</v>
      </c>
      <c r="V21" s="91">
        <v>7.1</v>
      </c>
      <c r="W21" s="91">
        <f t="shared" si="0"/>
        <v>9.2698956964362473</v>
      </c>
    </row>
    <row r="22" spans="1:23" x14ac:dyDescent="0.35">
      <c r="A22" s="81" t="s">
        <v>227</v>
      </c>
      <c r="B22" s="81" t="s">
        <v>583</v>
      </c>
      <c r="C22" s="89">
        <v>-1.0891270418666776</v>
      </c>
      <c r="D22" s="90">
        <v>0.24141365794498881</v>
      </c>
      <c r="E22" s="91">
        <v>-4.7343951578571186E-3</v>
      </c>
      <c r="G22" s="103" t="s">
        <v>571</v>
      </c>
      <c r="H22" s="101">
        <v>78.939379492547943</v>
      </c>
      <c r="I22" s="93">
        <v>55</v>
      </c>
      <c r="J22" s="94">
        <v>34</v>
      </c>
      <c r="K22" s="81"/>
      <c r="L22" s="89">
        <v>1.6871355364283958</v>
      </c>
      <c r="M22" s="90">
        <v>1.0034708408564619</v>
      </c>
      <c r="N22" s="90">
        <v>1.7263848541700804</v>
      </c>
      <c r="O22" s="90">
        <v>-3.83</v>
      </c>
      <c r="P22" s="90">
        <v>-2.536</v>
      </c>
      <c r="Q22" s="90">
        <v>2.5409999999999999</v>
      </c>
      <c r="R22" s="90">
        <v>3.1379999999999999</v>
      </c>
      <c r="S22" s="90">
        <v>1.446</v>
      </c>
      <c r="T22" s="90">
        <v>-0.67300000000000004</v>
      </c>
      <c r="U22" s="90">
        <v>2.2730000000000001</v>
      </c>
      <c r="V22" s="91">
        <v>-4.7409999999999997</v>
      </c>
      <c r="W22" s="91">
        <f t="shared" si="0"/>
        <v>0.11833963139356585</v>
      </c>
    </row>
    <row r="23" spans="1:23" x14ac:dyDescent="0.35">
      <c r="A23" s="81" t="s">
        <v>227</v>
      </c>
      <c r="B23" s="81" t="s">
        <v>584</v>
      </c>
      <c r="C23" s="89">
        <v>1.1690569098094628</v>
      </c>
      <c r="D23" s="90">
        <v>1.3937649310878042</v>
      </c>
      <c r="E23" s="91">
        <v>1.4413818728578276</v>
      </c>
      <c r="G23" s="103" t="s">
        <v>415</v>
      </c>
      <c r="H23" s="101">
        <v>93.483251457156101</v>
      </c>
      <c r="I23" s="93">
        <v>21</v>
      </c>
      <c r="J23" s="94">
        <v>14</v>
      </c>
      <c r="K23" s="81"/>
      <c r="L23" s="89">
        <v>0.73922990508162567</v>
      </c>
      <c r="M23" s="90">
        <v>0.45922805011605522</v>
      </c>
      <c r="N23" s="90">
        <v>1.578523229524472</v>
      </c>
      <c r="O23" s="90">
        <v>2.0409999999999999</v>
      </c>
      <c r="P23" s="90">
        <v>1.2669999999999999</v>
      </c>
      <c r="Q23" s="90">
        <v>1.62</v>
      </c>
      <c r="R23" s="90">
        <v>1.7929999999999999</v>
      </c>
      <c r="S23" s="90">
        <v>2.2410000000000001</v>
      </c>
      <c r="T23" s="90">
        <v>-5.3620000000000001</v>
      </c>
      <c r="U23" s="90">
        <v>6.1340000000000003</v>
      </c>
      <c r="V23" s="91">
        <v>3.0910000000000002</v>
      </c>
      <c r="W23" s="91">
        <f t="shared" si="0"/>
        <v>1.4175734019728159</v>
      </c>
    </row>
    <row r="24" spans="1:23" x14ac:dyDescent="0.35">
      <c r="A24" s="81" t="s">
        <v>569</v>
      </c>
      <c r="B24" s="81" t="s">
        <v>585</v>
      </c>
      <c r="C24" s="89">
        <v>5.666147255627263</v>
      </c>
      <c r="D24" s="90">
        <v>6.110859714036887</v>
      </c>
      <c r="E24" s="91">
        <v>5.477732246862832</v>
      </c>
      <c r="G24" s="103" t="s">
        <v>398</v>
      </c>
      <c r="H24" s="101">
        <v>73.01184037118577</v>
      </c>
      <c r="I24" s="93">
        <v>75</v>
      </c>
      <c r="J24" s="94">
        <v>7</v>
      </c>
      <c r="K24" s="81"/>
      <c r="L24" s="89">
        <v>4.811223315687994</v>
      </c>
      <c r="M24" s="90">
        <v>7.1914337214494379</v>
      </c>
      <c r="N24" s="90">
        <v>6.3576790979193039</v>
      </c>
      <c r="O24" s="90">
        <v>1.778</v>
      </c>
      <c r="P24" s="90">
        <v>3.34</v>
      </c>
      <c r="Q24" s="90">
        <v>5.6719999999999997</v>
      </c>
      <c r="R24" s="90">
        <v>6.6970000000000001</v>
      </c>
      <c r="S24" s="90">
        <v>6.8659999999999997</v>
      </c>
      <c r="T24" s="90">
        <v>3.8490000000000002</v>
      </c>
      <c r="U24" s="90">
        <v>7.1550000000000002</v>
      </c>
      <c r="V24" s="91">
        <v>6.0209999999999999</v>
      </c>
      <c r="W24" s="91">
        <f t="shared" si="0"/>
        <v>5.7942959804498599</v>
      </c>
    </row>
    <row r="25" spans="1:23" x14ac:dyDescent="0.35">
      <c r="A25" s="81" t="s">
        <v>565</v>
      </c>
      <c r="B25" s="81" t="s">
        <v>586</v>
      </c>
      <c r="C25" s="89">
        <v>-0.76587225840651918</v>
      </c>
      <c r="D25" s="90">
        <v>1.2676841708430198</v>
      </c>
      <c r="E25" s="91">
        <v>3.3347663550896245</v>
      </c>
      <c r="G25" s="103" t="s">
        <v>567</v>
      </c>
      <c r="H25" s="101">
        <v>55.154482190816807</v>
      </c>
      <c r="I25" s="93">
        <v>132</v>
      </c>
      <c r="J25" s="94">
        <v>28</v>
      </c>
      <c r="K25" s="81"/>
      <c r="L25" s="89">
        <v>5.1184008580053391</v>
      </c>
      <c r="M25" s="90">
        <v>2.1199726329821678</v>
      </c>
      <c r="N25" s="90">
        <v>5.7764956801372422</v>
      </c>
      <c r="O25" s="90">
        <v>6.2210000000000001</v>
      </c>
      <c r="P25" s="90">
        <v>7.4080000000000004</v>
      </c>
      <c r="Q25" s="90">
        <v>6.3220000000000001</v>
      </c>
      <c r="R25" s="90">
        <v>3.835</v>
      </c>
      <c r="S25" s="90">
        <v>4.4249999999999998</v>
      </c>
      <c r="T25" s="90">
        <v>-2.3479999999999999</v>
      </c>
      <c r="U25" s="90">
        <v>-3.3319999999999999</v>
      </c>
      <c r="V25" s="91">
        <v>4.3250000000000002</v>
      </c>
      <c r="W25" s="91">
        <f t="shared" si="0"/>
        <v>2.3012252629663221</v>
      </c>
    </row>
    <row r="26" spans="1:23" x14ac:dyDescent="0.35">
      <c r="A26" s="81" t="s">
        <v>573</v>
      </c>
      <c r="B26" s="81" t="s">
        <v>587</v>
      </c>
      <c r="C26" s="89">
        <v>-2.2304131763273283E-2</v>
      </c>
      <c r="D26" s="90">
        <v>1.2603639469641159</v>
      </c>
      <c r="E26" s="91">
        <v>3.1673454908146104</v>
      </c>
      <c r="G26" s="103" t="s">
        <v>567</v>
      </c>
      <c r="H26" s="101">
        <v>31.085526545532133</v>
      </c>
      <c r="I26" s="93">
        <v>155</v>
      </c>
      <c r="J26" s="94">
        <v>25</v>
      </c>
      <c r="K26" s="81"/>
      <c r="L26" s="89">
        <v>5.122274660983769</v>
      </c>
      <c r="M26" s="90">
        <v>6.7960117055974338</v>
      </c>
      <c r="N26" s="90">
        <v>5.4605671536850453</v>
      </c>
      <c r="O26" s="90">
        <v>4.8570000000000002</v>
      </c>
      <c r="P26" s="90">
        <v>4.2640000000000002</v>
      </c>
      <c r="Q26" s="90">
        <v>4.1950000000000003</v>
      </c>
      <c r="R26" s="90">
        <v>4.2240000000000002</v>
      </c>
      <c r="S26" s="90">
        <v>2.2170000000000001</v>
      </c>
      <c r="T26" s="90">
        <v>-8.7379999999999995</v>
      </c>
      <c r="U26" s="90">
        <v>6.1059999999999999</v>
      </c>
      <c r="V26" s="91">
        <v>3.2</v>
      </c>
      <c r="W26" s="91">
        <f t="shared" si="0"/>
        <v>2.2138547188893631</v>
      </c>
    </row>
    <row r="27" spans="1:23" x14ac:dyDescent="0.35">
      <c r="A27" s="81" t="s">
        <v>227</v>
      </c>
      <c r="B27" s="81" t="s">
        <v>588</v>
      </c>
      <c r="C27" s="89">
        <v>2.6460933550704002</v>
      </c>
      <c r="D27" s="90">
        <v>2.9046927076515017</v>
      </c>
      <c r="E27" s="91">
        <v>2.7421493700034771</v>
      </c>
      <c r="G27" s="103" t="s">
        <v>422</v>
      </c>
      <c r="H27" s="101">
        <v>66.414016463166035</v>
      </c>
      <c r="I27" s="93">
        <v>108</v>
      </c>
      <c r="J27" s="94">
        <v>41</v>
      </c>
      <c r="K27" s="81"/>
      <c r="L27" s="89">
        <v>-0.82183647421687545</v>
      </c>
      <c r="M27" s="90">
        <v>2.3498566632458062</v>
      </c>
      <c r="N27" s="90">
        <v>1.1538510920040257</v>
      </c>
      <c r="O27" s="90">
        <v>4.3140000000000001</v>
      </c>
      <c r="P27" s="90">
        <v>3.242</v>
      </c>
      <c r="Q27" s="90">
        <v>3.2440000000000002</v>
      </c>
      <c r="R27" s="90">
        <v>3.8290000000000002</v>
      </c>
      <c r="S27" s="90">
        <v>2.8860000000000001</v>
      </c>
      <c r="T27" s="90">
        <v>-3.0150000000000001</v>
      </c>
      <c r="U27" s="90">
        <v>7.3920000000000003</v>
      </c>
      <c r="V27" s="91">
        <v>3.8</v>
      </c>
      <c r="W27" s="91">
        <f t="shared" si="0"/>
        <v>2.8234210388274894</v>
      </c>
    </row>
    <row r="28" spans="1:23" x14ac:dyDescent="0.35">
      <c r="A28" s="81" t="s">
        <v>569</v>
      </c>
      <c r="B28" s="81" t="s">
        <v>589</v>
      </c>
      <c r="C28" s="89">
        <v>2.6588943634134665</v>
      </c>
      <c r="D28" s="90">
        <v>1.4503583241093798</v>
      </c>
      <c r="E28" s="91">
        <v>2.7752039527026096</v>
      </c>
      <c r="G28" s="103" t="s">
        <v>398</v>
      </c>
      <c r="H28" s="101">
        <v>74.531513757725932</v>
      </c>
      <c r="I28" s="93">
        <v>70</v>
      </c>
      <c r="J28" s="94">
        <v>6</v>
      </c>
      <c r="K28" s="81"/>
      <c r="L28" s="89">
        <v>4.4561672130978769</v>
      </c>
      <c r="M28" s="90">
        <v>11.343424252775241</v>
      </c>
      <c r="N28" s="90">
        <v>4.149289893135184</v>
      </c>
      <c r="O28" s="90">
        <v>-4.851</v>
      </c>
      <c r="P28" s="90">
        <v>7.202</v>
      </c>
      <c r="Q28" s="90">
        <v>4.1130000000000004</v>
      </c>
      <c r="R28" s="90">
        <v>4.1900000000000004</v>
      </c>
      <c r="S28" s="90">
        <v>3.0329999999999999</v>
      </c>
      <c r="T28" s="90">
        <v>-8.7260000000000009</v>
      </c>
      <c r="U28" s="90">
        <v>11.84</v>
      </c>
      <c r="V28" s="91">
        <v>6.4329999999999998</v>
      </c>
      <c r="W28" s="91">
        <f t="shared" si="0"/>
        <v>2.1127811384059947</v>
      </c>
    </row>
    <row r="29" spans="1:23" x14ac:dyDescent="0.35">
      <c r="A29" s="81" t="s">
        <v>573</v>
      </c>
      <c r="B29" s="81" t="s">
        <v>590</v>
      </c>
      <c r="C29" s="89">
        <v>1.146428167182445</v>
      </c>
      <c r="D29" s="90">
        <v>1.295085878975577</v>
      </c>
      <c r="E29" s="91">
        <v>0.42795301380476047</v>
      </c>
      <c r="G29" s="103" t="s">
        <v>571</v>
      </c>
      <c r="H29" s="101">
        <v>79.569249143394813</v>
      </c>
      <c r="I29" s="93">
        <v>51</v>
      </c>
      <c r="J29" s="94">
        <v>7</v>
      </c>
      <c r="K29" s="81"/>
      <c r="L29" s="89">
        <v>1.9211503183629988</v>
      </c>
      <c r="M29" s="90">
        <v>3.0048463050570873</v>
      </c>
      <c r="N29" s="90">
        <v>0.50395574024224987</v>
      </c>
      <c r="O29" s="90">
        <v>-3.5459999999999998</v>
      </c>
      <c r="P29" s="90">
        <v>-3.2759999999999998</v>
      </c>
      <c r="Q29" s="90">
        <v>1.323</v>
      </c>
      <c r="R29" s="90">
        <v>1.784</v>
      </c>
      <c r="S29" s="90">
        <v>1.2210000000000001</v>
      </c>
      <c r="T29" s="90">
        <v>-3.2770000000000001</v>
      </c>
      <c r="U29" s="90">
        <v>4.9889999999999999</v>
      </c>
      <c r="V29" s="91">
        <v>2.9009999999999998</v>
      </c>
      <c r="W29" s="91">
        <f t="shared" si="0"/>
        <v>0.86151944639016875</v>
      </c>
    </row>
    <row r="30" spans="1:23" x14ac:dyDescent="0.35">
      <c r="A30" s="81" t="s">
        <v>565</v>
      </c>
      <c r="B30" s="81" t="s">
        <v>591</v>
      </c>
      <c r="C30" s="89">
        <v>-0.66374440025495085</v>
      </c>
      <c r="D30" s="90">
        <v>0.37078358077795581</v>
      </c>
      <c r="E30" s="91">
        <v>-0.44114896551331606</v>
      </c>
      <c r="G30" s="103" t="s">
        <v>567</v>
      </c>
      <c r="H30" s="101">
        <v>47.581995606084838</v>
      </c>
      <c r="I30" s="93">
        <v>142</v>
      </c>
      <c r="J30" s="94">
        <v>30</v>
      </c>
      <c r="K30" s="81"/>
      <c r="L30" s="89">
        <v>0.91284167096442625</v>
      </c>
      <c r="M30" s="90">
        <v>-2.1260285174017546</v>
      </c>
      <c r="N30" s="90">
        <v>-2.5083525664456063</v>
      </c>
      <c r="O30" s="90">
        <v>-0.40500000000000003</v>
      </c>
      <c r="P30" s="90">
        <v>-2.4649999999999999</v>
      </c>
      <c r="Q30" s="90">
        <v>1.329</v>
      </c>
      <c r="R30" s="90">
        <v>5.1999999999999998E-2</v>
      </c>
      <c r="S30" s="90">
        <v>3.8690000000000002</v>
      </c>
      <c r="T30" s="90">
        <v>1.1339999999999999</v>
      </c>
      <c r="U30" s="90">
        <v>-1.591</v>
      </c>
      <c r="V30" s="91">
        <v>-1.51</v>
      </c>
      <c r="W30" s="91">
        <f t="shared" si="0"/>
        <v>-3.5182692367680124E-2</v>
      </c>
    </row>
    <row r="31" spans="1:23" x14ac:dyDescent="0.35">
      <c r="A31" s="81" t="s">
        <v>227</v>
      </c>
      <c r="B31" s="81" t="s">
        <v>592</v>
      </c>
      <c r="C31" s="89">
        <v>2.2325090532704595</v>
      </c>
      <c r="D31" s="90">
        <v>2.7879873369299979</v>
      </c>
      <c r="E31" s="91">
        <v>2.7412414949005814</v>
      </c>
      <c r="G31" s="103" t="s">
        <v>571</v>
      </c>
      <c r="H31" s="101">
        <v>82.826908120877093</v>
      </c>
      <c r="I31" s="93">
        <v>40</v>
      </c>
      <c r="J31" s="94">
        <v>26</v>
      </c>
      <c r="K31" s="81"/>
      <c r="L31" s="89">
        <v>0.36058318828756941</v>
      </c>
      <c r="M31" s="90">
        <v>0.31873576132258219</v>
      </c>
      <c r="N31" s="90">
        <v>1.8945471424192788</v>
      </c>
      <c r="O31" s="90">
        <v>3.4279999999999999</v>
      </c>
      <c r="P31" s="90">
        <v>3.04</v>
      </c>
      <c r="Q31" s="90">
        <v>2.762</v>
      </c>
      <c r="R31" s="90">
        <v>2.6850000000000001</v>
      </c>
      <c r="S31" s="90">
        <v>4.0380000000000003</v>
      </c>
      <c r="T31" s="90">
        <v>-3.9590000000000001</v>
      </c>
      <c r="U31" s="90">
        <v>7.6349999999999998</v>
      </c>
      <c r="V31" s="91">
        <v>3.3610000000000002</v>
      </c>
      <c r="W31" s="91">
        <f t="shared" si="0"/>
        <v>2.7646144159152897</v>
      </c>
    </row>
    <row r="32" spans="1:23" x14ac:dyDescent="0.35">
      <c r="A32" s="81" t="s">
        <v>569</v>
      </c>
      <c r="B32" s="81" t="s">
        <v>593</v>
      </c>
      <c r="C32" s="89">
        <v>3.7461786866062718</v>
      </c>
      <c r="D32" s="90">
        <v>4.6060819779328632</v>
      </c>
      <c r="E32" s="91">
        <v>4.9153359042722222</v>
      </c>
      <c r="G32" s="103" t="s">
        <v>398</v>
      </c>
      <c r="H32" s="101">
        <v>71.439342263551737</v>
      </c>
      <c r="I32" s="93">
        <v>81</v>
      </c>
      <c r="J32" s="94">
        <v>11</v>
      </c>
      <c r="K32" s="81"/>
      <c r="L32" s="89">
        <v>6.4526723809054332</v>
      </c>
      <c r="M32" s="90">
        <v>5.7926055919056534</v>
      </c>
      <c r="N32" s="90">
        <v>4.3268456132150384</v>
      </c>
      <c r="O32" s="90">
        <v>3.9209999999999998</v>
      </c>
      <c r="P32" s="90">
        <v>5.9580000000000002</v>
      </c>
      <c r="Q32" s="90">
        <v>6.2030000000000003</v>
      </c>
      <c r="R32" s="90">
        <v>6.6029999999999998</v>
      </c>
      <c r="S32" s="90">
        <v>5.6890000000000001</v>
      </c>
      <c r="T32" s="90">
        <v>1.931</v>
      </c>
      <c r="U32" s="90">
        <v>6.9050000000000002</v>
      </c>
      <c r="V32" s="91">
        <v>2.4729999999999999</v>
      </c>
      <c r="W32" s="91">
        <f t="shared" si="0"/>
        <v>4.7607089411025427</v>
      </c>
    </row>
    <row r="33" spans="1:23" x14ac:dyDescent="0.35">
      <c r="A33" s="81" t="s">
        <v>569</v>
      </c>
      <c r="B33" s="81" t="s">
        <v>594</v>
      </c>
      <c r="C33" s="89">
        <v>1.3140617594302739</v>
      </c>
      <c r="D33" s="90">
        <v>1.4727306023839093</v>
      </c>
      <c r="E33" s="91">
        <v>1.2263384025287261</v>
      </c>
      <c r="G33" s="103" t="s">
        <v>567</v>
      </c>
      <c r="H33" s="101">
        <v>45.872398734881529</v>
      </c>
      <c r="I33" s="93">
        <v>144</v>
      </c>
      <c r="J33" s="94">
        <v>40</v>
      </c>
      <c r="K33" s="81"/>
      <c r="L33" s="89">
        <v>4.4467082221454284</v>
      </c>
      <c r="M33" s="90">
        <v>4.9241952612883146</v>
      </c>
      <c r="N33" s="90">
        <v>4.2406516436807848</v>
      </c>
      <c r="O33" s="90">
        <v>-3.9</v>
      </c>
      <c r="P33" s="90">
        <v>-0.6</v>
      </c>
      <c r="Q33" s="90">
        <v>0.5</v>
      </c>
      <c r="R33" s="90">
        <v>1.61</v>
      </c>
      <c r="S33" s="90">
        <v>1.8420000000000001</v>
      </c>
      <c r="T33" s="90">
        <v>0.33500000000000002</v>
      </c>
      <c r="U33" s="90">
        <v>3.1190000000000002</v>
      </c>
      <c r="V33" s="91">
        <v>1.827</v>
      </c>
      <c r="W33" s="91">
        <f t="shared" si="0"/>
        <v>1.3495345024563177</v>
      </c>
    </row>
    <row r="34" spans="1:23" x14ac:dyDescent="0.35">
      <c r="A34" s="81" t="s">
        <v>569</v>
      </c>
      <c r="B34" s="81" t="s">
        <v>595</v>
      </c>
      <c r="C34" s="89">
        <v>0.23646198785876038</v>
      </c>
      <c r="D34" s="90">
        <v>2.1534613712418604</v>
      </c>
      <c r="E34" s="91">
        <v>2.1525774639498785</v>
      </c>
      <c r="G34" s="103" t="s">
        <v>398</v>
      </c>
      <c r="H34" s="101">
        <v>72.784877013329833</v>
      </c>
      <c r="I34" s="93">
        <v>78</v>
      </c>
      <c r="J34" s="94">
        <v>9</v>
      </c>
      <c r="K34" s="81"/>
      <c r="L34" s="89">
        <v>1.0819182787712764</v>
      </c>
      <c r="M34" s="90">
        <v>0.80279760057422567</v>
      </c>
      <c r="N34" s="90">
        <v>0.61121266620786829</v>
      </c>
      <c r="O34" s="90">
        <v>1.0069999999999999</v>
      </c>
      <c r="P34" s="90">
        <v>4.7060000000000004</v>
      </c>
      <c r="Q34" s="90">
        <v>3.702</v>
      </c>
      <c r="R34" s="90">
        <v>14.566000000000001</v>
      </c>
      <c r="S34" s="90">
        <v>5.6680000000000001</v>
      </c>
      <c r="T34" s="90">
        <v>-14.782999999999999</v>
      </c>
      <c r="U34" s="90">
        <v>7</v>
      </c>
      <c r="V34" s="91">
        <v>10.5</v>
      </c>
      <c r="W34" s="91">
        <f t="shared" si="0"/>
        <v>2.1530194175958695</v>
      </c>
    </row>
    <row r="35" spans="1:23" x14ac:dyDescent="0.35">
      <c r="A35" s="81" t="s">
        <v>565</v>
      </c>
      <c r="B35" s="81" t="s">
        <v>596</v>
      </c>
      <c r="C35" s="89">
        <v>1.5881444792890331</v>
      </c>
      <c r="D35" s="90">
        <v>3.8205347927408928</v>
      </c>
      <c r="E35" s="91">
        <v>5.437149341759695</v>
      </c>
      <c r="G35" s="103" t="s">
        <v>567</v>
      </c>
      <c r="H35" s="101">
        <v>41.696651110677628</v>
      </c>
      <c r="I35" s="93">
        <v>149</v>
      </c>
      <c r="J35" s="94">
        <v>31</v>
      </c>
      <c r="K35" s="81"/>
      <c r="L35" s="89">
        <v>7.3133455053000533</v>
      </c>
      <c r="M35" s="90">
        <v>7.3566651488797472</v>
      </c>
      <c r="N35" s="90">
        <v>7.1425711007429467</v>
      </c>
      <c r="O35" s="90">
        <v>7.0359999999999996</v>
      </c>
      <c r="P35" s="90">
        <v>6.8630000000000004</v>
      </c>
      <c r="Q35" s="90">
        <v>6.9969999999999999</v>
      </c>
      <c r="R35" s="90">
        <v>7.4690000000000003</v>
      </c>
      <c r="S35" s="90">
        <v>7.0540000000000003</v>
      </c>
      <c r="T35" s="90">
        <v>-3.0960000000000001</v>
      </c>
      <c r="U35" s="90">
        <v>3.0259999999999998</v>
      </c>
      <c r="V35" s="91">
        <v>5.0119999999999996</v>
      </c>
      <c r="W35" s="91">
        <f t="shared" si="0"/>
        <v>4.6288420672502939</v>
      </c>
    </row>
    <row r="36" spans="1:23" x14ac:dyDescent="0.35">
      <c r="A36" s="81" t="s">
        <v>569</v>
      </c>
      <c r="B36" s="81" t="s">
        <v>597</v>
      </c>
      <c r="C36" s="89">
        <v>2.4193069652844734</v>
      </c>
      <c r="D36" s="90">
        <v>3.5683606479580687</v>
      </c>
      <c r="E36" s="91">
        <v>4.2936580650607903</v>
      </c>
      <c r="G36" s="103" t="s">
        <v>422</v>
      </c>
      <c r="H36" s="101">
        <v>66.487838229569903</v>
      </c>
      <c r="I36" s="93">
        <v>107</v>
      </c>
      <c r="J36" s="94">
        <v>24</v>
      </c>
      <c r="K36" s="81"/>
      <c r="L36" s="89">
        <v>4.5432650156673571</v>
      </c>
      <c r="M36" s="90">
        <v>5.4042657097173343</v>
      </c>
      <c r="N36" s="90">
        <v>5.8840593266804415</v>
      </c>
      <c r="O36" s="90">
        <v>5.6</v>
      </c>
      <c r="P36" s="90">
        <v>4.4790000000000001</v>
      </c>
      <c r="Q36" s="90">
        <v>3.5409999999999999</v>
      </c>
      <c r="R36" s="90">
        <v>4.0220000000000002</v>
      </c>
      <c r="S36" s="90">
        <v>3.4220000000000002</v>
      </c>
      <c r="T36" s="90">
        <v>0.53900000000000003</v>
      </c>
      <c r="U36" s="90">
        <v>3.649</v>
      </c>
      <c r="V36" s="91">
        <v>3.383</v>
      </c>
      <c r="W36" s="91">
        <f t="shared" si="0"/>
        <v>3.9310093565094295</v>
      </c>
    </row>
    <row r="37" spans="1:23" x14ac:dyDescent="0.35">
      <c r="A37" s="81" t="s">
        <v>573</v>
      </c>
      <c r="B37" s="81" t="s">
        <v>598</v>
      </c>
      <c r="C37" s="89">
        <v>0.80505563787092171</v>
      </c>
      <c r="D37" s="90">
        <v>1.279888102037452</v>
      </c>
      <c r="E37" s="91">
        <v>1.6398804050051563</v>
      </c>
      <c r="G37" s="103" t="s">
        <v>415</v>
      </c>
      <c r="H37" s="101">
        <v>95.837528170961207</v>
      </c>
      <c r="I37" s="93">
        <v>17</v>
      </c>
      <c r="J37" s="94">
        <v>2</v>
      </c>
      <c r="K37" s="81"/>
      <c r="L37" s="89">
        <v>1.762222549554276</v>
      </c>
      <c r="M37" s="90">
        <v>2.3291225223044822</v>
      </c>
      <c r="N37" s="90">
        <v>2.8700360387422155</v>
      </c>
      <c r="O37" s="90">
        <v>0.65900000000000003</v>
      </c>
      <c r="P37" s="90">
        <v>1.0009999999999999</v>
      </c>
      <c r="Q37" s="90">
        <v>3.04</v>
      </c>
      <c r="R37" s="90">
        <v>2.7770000000000001</v>
      </c>
      <c r="S37" s="90">
        <v>1.8879999999999999</v>
      </c>
      <c r="T37" s="90">
        <v>-5.0739999999999998</v>
      </c>
      <c r="U37" s="90">
        <v>5.0119999999999996</v>
      </c>
      <c r="V37" s="91">
        <v>3.3959999999999999</v>
      </c>
      <c r="W37" s="91">
        <f t="shared" si="0"/>
        <v>1.4598842535213041</v>
      </c>
    </row>
    <row r="38" spans="1:23" x14ac:dyDescent="0.35">
      <c r="A38" s="81" t="s">
        <v>569</v>
      </c>
      <c r="B38" s="81" t="s">
        <v>599</v>
      </c>
      <c r="C38" s="89">
        <v>0.72569907638180275</v>
      </c>
      <c r="D38" s="90">
        <v>1.8043988935163791</v>
      </c>
      <c r="E38" s="91">
        <v>-2.2645674209426092</v>
      </c>
      <c r="G38" s="103" t="s">
        <v>567</v>
      </c>
      <c r="H38" s="101">
        <v>41.466247411534134</v>
      </c>
      <c r="I38" s="93">
        <v>150</v>
      </c>
      <c r="J38" s="94">
        <v>44</v>
      </c>
      <c r="K38" s="81"/>
      <c r="L38" s="89">
        <v>5.053761253569192</v>
      </c>
      <c r="M38" s="90">
        <v>-36.391977098388679</v>
      </c>
      <c r="N38" s="90">
        <v>8.1070515326508011E-2</v>
      </c>
      <c r="O38" s="90">
        <v>4.3380000000000001</v>
      </c>
      <c r="P38" s="90">
        <v>4.75</v>
      </c>
      <c r="Q38" s="90">
        <v>4.5279999999999996</v>
      </c>
      <c r="R38" s="90">
        <v>3.82</v>
      </c>
      <c r="S38" s="90">
        <v>2.97</v>
      </c>
      <c r="T38" s="90">
        <v>0.95899999999999996</v>
      </c>
      <c r="U38" s="90">
        <v>0.98299999999999998</v>
      </c>
      <c r="V38" s="91">
        <v>0.378</v>
      </c>
      <c r="W38" s="91">
        <f t="shared" si="0"/>
        <v>-0.23008426371311508</v>
      </c>
    </row>
    <row r="39" spans="1:23" x14ac:dyDescent="0.35">
      <c r="A39" s="81" t="s">
        <v>569</v>
      </c>
      <c r="B39" s="81" t="s">
        <v>600</v>
      </c>
      <c r="C39" s="89">
        <v>-0.11885802228936981</v>
      </c>
      <c r="D39" s="90">
        <v>1.0424126086531427</v>
      </c>
      <c r="E39" s="91">
        <v>1.0693731739606749</v>
      </c>
      <c r="G39" s="103" t="s">
        <v>567</v>
      </c>
      <c r="H39" s="101">
        <v>46.134841898100355</v>
      </c>
      <c r="I39" s="93">
        <v>143</v>
      </c>
      <c r="J39" s="94">
        <v>39</v>
      </c>
      <c r="K39" s="81"/>
      <c r="L39" s="89">
        <v>8.8825760717031557</v>
      </c>
      <c r="M39" s="90">
        <v>5.7000013628586537</v>
      </c>
      <c r="N39" s="90">
        <v>6.8999850453216673</v>
      </c>
      <c r="O39" s="90">
        <v>1.77</v>
      </c>
      <c r="P39" s="90">
        <v>-5.5579999999999998</v>
      </c>
      <c r="Q39" s="90">
        <v>-2.38</v>
      </c>
      <c r="R39" s="90">
        <v>2.355</v>
      </c>
      <c r="S39" s="90">
        <v>3.419</v>
      </c>
      <c r="T39" s="90">
        <v>-2.1419999999999999</v>
      </c>
      <c r="U39" s="90">
        <v>-1.1020000000000001</v>
      </c>
      <c r="V39" s="91">
        <v>2.4940000000000002</v>
      </c>
      <c r="W39" s="91">
        <f t="shared" si="0"/>
        <v>1.0558928913069088</v>
      </c>
    </row>
    <row r="40" spans="1:23" x14ac:dyDescent="0.35">
      <c r="A40" s="81" t="s">
        <v>573</v>
      </c>
      <c r="B40" s="81" t="s">
        <v>601</v>
      </c>
      <c r="C40" s="89">
        <v>2.4572143474803632</v>
      </c>
      <c r="D40" s="90">
        <v>3.0605383736418856</v>
      </c>
      <c r="E40" s="91">
        <v>2.6285168981251106</v>
      </c>
      <c r="G40" s="103" t="s">
        <v>415</v>
      </c>
      <c r="H40" s="101">
        <v>89.938976035792962</v>
      </c>
      <c r="I40" s="93">
        <v>28</v>
      </c>
      <c r="J40" s="94">
        <v>3</v>
      </c>
      <c r="K40" s="81"/>
      <c r="L40" s="89">
        <v>5.3186280004141473</v>
      </c>
      <c r="M40" s="90">
        <v>4.0450042981489593</v>
      </c>
      <c r="N40" s="90">
        <v>1.7667397836386938</v>
      </c>
      <c r="O40" s="90">
        <v>2.1520000000000001</v>
      </c>
      <c r="P40" s="90">
        <v>1.7529999999999999</v>
      </c>
      <c r="Q40" s="90">
        <v>1.3580000000000001</v>
      </c>
      <c r="R40" s="90">
        <v>3.99</v>
      </c>
      <c r="S40" s="90">
        <v>0.74299999999999999</v>
      </c>
      <c r="T40" s="90">
        <v>-6.1449999999999996</v>
      </c>
      <c r="U40" s="90">
        <v>11.737</v>
      </c>
      <c r="V40" s="91">
        <v>2.44</v>
      </c>
      <c r="W40" s="91">
        <f t="shared" si="0"/>
        <v>2.8445276358834981</v>
      </c>
    </row>
    <row r="41" spans="1:23" x14ac:dyDescent="0.35">
      <c r="A41" s="81" t="s">
        <v>565</v>
      </c>
      <c r="B41" s="81" t="s">
        <v>602</v>
      </c>
      <c r="C41" s="89">
        <v>4.4136018906123953</v>
      </c>
      <c r="D41" s="90">
        <v>5.1836523723133077</v>
      </c>
      <c r="E41" s="91">
        <v>6.1897338385474399</v>
      </c>
      <c r="G41" s="103" t="s">
        <v>571</v>
      </c>
      <c r="H41" s="101">
        <v>79.714044846147502</v>
      </c>
      <c r="I41" s="93">
        <v>50</v>
      </c>
      <c r="J41" s="94">
        <v>7</v>
      </c>
      <c r="K41" s="81"/>
      <c r="L41" s="89">
        <v>7.8596274932851555</v>
      </c>
      <c r="M41" s="90">
        <v>7.7686152841281606</v>
      </c>
      <c r="N41" s="90">
        <v>7.4245236561990726</v>
      </c>
      <c r="O41" s="90">
        <v>7.0179999999999998</v>
      </c>
      <c r="P41" s="90">
        <v>6.851</v>
      </c>
      <c r="Q41" s="90">
        <v>6.9470000000000001</v>
      </c>
      <c r="R41" s="90">
        <v>6.7510000000000003</v>
      </c>
      <c r="S41" s="90">
        <v>5.9509999999999996</v>
      </c>
      <c r="T41" s="90">
        <v>2.242</v>
      </c>
      <c r="U41" s="90">
        <v>8.4499999999999993</v>
      </c>
      <c r="V41" s="91">
        <v>2.988</v>
      </c>
      <c r="W41" s="91">
        <f t="shared" si="0"/>
        <v>5.6866931054303738</v>
      </c>
    </row>
    <row r="42" spans="1:23" x14ac:dyDescent="0.35">
      <c r="A42" s="81" t="s">
        <v>573</v>
      </c>
      <c r="B42" s="81" t="s">
        <v>603</v>
      </c>
      <c r="C42" s="89">
        <v>3.4115994769119862</v>
      </c>
      <c r="D42" s="90">
        <v>2.9902381196408978</v>
      </c>
      <c r="E42" s="91">
        <v>3.0937390088282557</v>
      </c>
      <c r="G42" s="103" t="s">
        <v>571</v>
      </c>
      <c r="H42" s="101">
        <v>79.943455242802315</v>
      </c>
      <c r="I42" s="93">
        <v>48</v>
      </c>
      <c r="J42" s="94">
        <v>6</v>
      </c>
      <c r="K42" s="81"/>
      <c r="L42" s="89">
        <v>3.9126357671611296</v>
      </c>
      <c r="M42" s="90">
        <v>5.1339935199566966</v>
      </c>
      <c r="N42" s="90">
        <v>4.4990300011097339</v>
      </c>
      <c r="O42" s="90">
        <v>2.956</v>
      </c>
      <c r="P42" s="90">
        <v>2.0880000000000001</v>
      </c>
      <c r="Q42" s="90">
        <v>1.359</v>
      </c>
      <c r="R42" s="90">
        <v>2.5640000000000001</v>
      </c>
      <c r="S42" s="90">
        <v>3.1869999999999998</v>
      </c>
      <c r="T42" s="90">
        <v>-7.2519999999999998</v>
      </c>
      <c r="U42" s="90">
        <v>11.016</v>
      </c>
      <c r="V42" s="91">
        <v>7.4960000000000004</v>
      </c>
      <c r="W42" s="91">
        <f t="shared" si="0"/>
        <v>3.0419885642345768</v>
      </c>
    </row>
    <row r="43" spans="1:23" x14ac:dyDescent="0.35">
      <c r="A43" s="81" t="s">
        <v>569</v>
      </c>
      <c r="B43" s="81" t="s">
        <v>604</v>
      </c>
      <c r="C43" s="89">
        <v>1.4424277454801349</v>
      </c>
      <c r="D43" s="90">
        <v>1.9425285111170032</v>
      </c>
      <c r="E43" s="91">
        <v>2.451644301489786</v>
      </c>
      <c r="G43" s="103" t="s">
        <v>422</v>
      </c>
      <c r="H43" s="101">
        <v>68.943026951610364</v>
      </c>
      <c r="I43" s="93">
        <v>96</v>
      </c>
      <c r="J43" s="94">
        <v>17</v>
      </c>
      <c r="K43" s="81"/>
      <c r="L43" s="89">
        <v>3.2002729031888046</v>
      </c>
      <c r="M43" s="90">
        <v>4.4998742153082745</v>
      </c>
      <c r="N43" s="90">
        <v>2.1000064383028905</v>
      </c>
      <c r="O43" s="90">
        <v>1.147</v>
      </c>
      <c r="P43" s="90">
        <v>3.32</v>
      </c>
      <c r="Q43" s="90">
        <v>3.8159999999999998</v>
      </c>
      <c r="R43" s="90">
        <v>3.6419999999999999</v>
      </c>
      <c r="S43" s="90">
        <v>1.7609999999999999</v>
      </c>
      <c r="T43" s="90">
        <v>-0.19600000000000001</v>
      </c>
      <c r="U43" s="90">
        <v>2.1120000000000001</v>
      </c>
      <c r="V43" s="91">
        <v>2.431</v>
      </c>
      <c r="W43" s="91">
        <f t="shared" si="0"/>
        <v>2.1970864063033946</v>
      </c>
    </row>
    <row r="44" spans="1:23" x14ac:dyDescent="0.35">
      <c r="A44" s="81" t="s">
        <v>569</v>
      </c>
      <c r="B44" s="81" t="s">
        <v>605</v>
      </c>
      <c r="C44" s="89">
        <v>4.8306254668632809</v>
      </c>
      <c r="D44" s="90">
        <v>4.9384402884992351</v>
      </c>
      <c r="E44" s="91">
        <v>5.5494362942043685</v>
      </c>
      <c r="G44" s="103" t="s">
        <v>567</v>
      </c>
      <c r="H44" s="101">
        <v>40.102703133666751</v>
      </c>
      <c r="I44" s="93">
        <v>151</v>
      </c>
      <c r="J44" s="94">
        <v>45</v>
      </c>
      <c r="K44" s="81"/>
      <c r="L44" s="89">
        <v>7.0868989467193844</v>
      </c>
      <c r="M44" s="90">
        <v>8.4819566360875722</v>
      </c>
      <c r="N44" s="90">
        <v>9.4702880971408341</v>
      </c>
      <c r="O44" s="90">
        <v>6.36</v>
      </c>
      <c r="P44" s="90">
        <v>0.39400000000000002</v>
      </c>
      <c r="Q44" s="90">
        <v>3.6579999999999999</v>
      </c>
      <c r="R44" s="90">
        <v>4.8250000000000002</v>
      </c>
      <c r="S44" s="90">
        <v>4.4850000000000003</v>
      </c>
      <c r="T44" s="90">
        <v>1.671</v>
      </c>
      <c r="U44" s="90">
        <v>6.2290000000000001</v>
      </c>
      <c r="V44" s="91">
        <v>6.6269999999999998</v>
      </c>
      <c r="W44" s="91">
        <f t="shared" si="0"/>
        <v>5.2439382913518013</v>
      </c>
    </row>
    <row r="45" spans="1:23" x14ac:dyDescent="0.35">
      <c r="A45" s="81" t="s">
        <v>569</v>
      </c>
      <c r="B45" s="81" t="s">
        <v>606</v>
      </c>
      <c r="C45" s="89">
        <v>-1.9540231466170455</v>
      </c>
      <c r="D45" s="90">
        <v>-2.1626068363397866</v>
      </c>
      <c r="E45" s="91">
        <v>-2.4351268953680449</v>
      </c>
      <c r="G45" s="103" t="s">
        <v>567</v>
      </c>
      <c r="H45" s="101">
        <v>42.318471362744162</v>
      </c>
      <c r="I45" s="93">
        <v>148</v>
      </c>
      <c r="J45" s="94">
        <v>43</v>
      </c>
      <c r="K45" s="81"/>
      <c r="L45" s="89">
        <v>9.9471531425756439</v>
      </c>
      <c r="M45" s="90">
        <v>-0.71243445187648202</v>
      </c>
      <c r="N45" s="90">
        <v>6.7166793337864945</v>
      </c>
      <c r="O45" s="90">
        <v>-3.5510000000000002</v>
      </c>
      <c r="P45" s="90">
        <v>-10.782999999999999</v>
      </c>
      <c r="Q45" s="90">
        <v>-4.383</v>
      </c>
      <c r="R45" s="90">
        <v>-4.8049999999999997</v>
      </c>
      <c r="S45" s="90">
        <v>1.026</v>
      </c>
      <c r="T45" s="90">
        <v>-6.1980000000000004</v>
      </c>
      <c r="U45" s="90">
        <v>1.5</v>
      </c>
      <c r="V45" s="91">
        <v>2.7850000000000001</v>
      </c>
      <c r="W45" s="91">
        <f t="shared" si="0"/>
        <v>-2.298866865853916</v>
      </c>
    </row>
    <row r="46" spans="1:23" x14ac:dyDescent="0.35">
      <c r="A46" s="81" t="s">
        <v>573</v>
      </c>
      <c r="B46" s="81" t="s">
        <v>607</v>
      </c>
      <c r="C46" s="89">
        <v>2.4986852323448439</v>
      </c>
      <c r="D46" s="90">
        <v>3.7972658363557565</v>
      </c>
      <c r="E46" s="91">
        <v>3.649680120396992</v>
      </c>
      <c r="G46" s="103" t="s">
        <v>571</v>
      </c>
      <c r="H46" s="101">
        <v>86.218051096846139</v>
      </c>
      <c r="I46" s="93">
        <v>34</v>
      </c>
      <c r="J46" s="94">
        <v>4</v>
      </c>
      <c r="K46" s="81"/>
      <c r="L46" s="89">
        <v>4.7969199185815947</v>
      </c>
      <c r="M46" s="90">
        <v>2.2690274004615811</v>
      </c>
      <c r="N46" s="90">
        <v>3.5153385639114227</v>
      </c>
      <c r="O46" s="90">
        <v>3.6520000000000001</v>
      </c>
      <c r="P46" s="90">
        <v>4.2039999999999997</v>
      </c>
      <c r="Q46" s="90">
        <v>4.1580000000000004</v>
      </c>
      <c r="R46" s="90">
        <v>2.6160000000000001</v>
      </c>
      <c r="S46" s="90">
        <v>2.4180000000000001</v>
      </c>
      <c r="T46" s="90">
        <v>-4.2729999999999997</v>
      </c>
      <c r="U46" s="90">
        <v>7.7809999999999997</v>
      </c>
      <c r="V46" s="91">
        <v>4.3239999999999998</v>
      </c>
      <c r="W46" s="91">
        <f t="shared" si="0"/>
        <v>3.7234729783763743</v>
      </c>
    </row>
    <row r="47" spans="1:23" x14ac:dyDescent="0.35">
      <c r="A47" s="81" t="s">
        <v>569</v>
      </c>
      <c r="B47" s="81" t="s">
        <v>608</v>
      </c>
      <c r="C47" s="89">
        <v>5.2133244785906863</v>
      </c>
      <c r="D47" s="90">
        <v>5.7501340546816326</v>
      </c>
      <c r="E47" s="91">
        <v>6.9731316213943906</v>
      </c>
      <c r="G47" s="103" t="s">
        <v>422</v>
      </c>
      <c r="H47" s="101">
        <v>69.121915522328067</v>
      </c>
      <c r="I47" s="93">
        <v>95</v>
      </c>
      <c r="J47" s="94">
        <v>16</v>
      </c>
      <c r="K47" s="81"/>
      <c r="L47" s="89">
        <v>10.706504103485498</v>
      </c>
      <c r="M47" s="90">
        <v>8.8894213015542505</v>
      </c>
      <c r="N47" s="90">
        <v>8.7940773902773532</v>
      </c>
      <c r="O47" s="90">
        <v>8.843</v>
      </c>
      <c r="P47" s="90">
        <v>7.173</v>
      </c>
      <c r="Q47" s="90">
        <v>6.1429999999999998</v>
      </c>
      <c r="R47" s="90">
        <v>3.7509999999999999</v>
      </c>
      <c r="S47" s="90">
        <v>8.31</v>
      </c>
      <c r="T47" s="90">
        <v>1.7</v>
      </c>
      <c r="U47" s="90">
        <v>7</v>
      </c>
      <c r="V47" s="91">
        <v>6.7</v>
      </c>
      <c r="W47" s="91">
        <f t="shared" si="0"/>
        <v>6.3616328380380116</v>
      </c>
    </row>
    <row r="48" spans="1:23" x14ac:dyDescent="0.35">
      <c r="A48" s="81" t="s">
        <v>227</v>
      </c>
      <c r="B48" s="81" t="s">
        <v>609</v>
      </c>
      <c r="C48" s="89">
        <v>3.2016110581527757</v>
      </c>
      <c r="D48" s="90">
        <v>3.6386983370098269</v>
      </c>
      <c r="E48" s="91">
        <v>2.6484109069949024</v>
      </c>
      <c r="G48" s="103" t="s">
        <v>571</v>
      </c>
      <c r="H48" s="101">
        <v>83.891853807505186</v>
      </c>
      <c r="I48" s="93">
        <v>39</v>
      </c>
      <c r="J48" s="94">
        <v>25</v>
      </c>
      <c r="K48" s="81"/>
      <c r="L48" s="89">
        <v>-2.2376475412236791</v>
      </c>
      <c r="M48" s="90">
        <v>-0.54854848857064353</v>
      </c>
      <c r="N48" s="90">
        <v>-0.10392849719394197</v>
      </c>
      <c r="O48" s="90">
        <v>2.524</v>
      </c>
      <c r="P48" s="90">
        <v>3.56</v>
      </c>
      <c r="Q48" s="90">
        <v>3.4140000000000001</v>
      </c>
      <c r="R48" s="90">
        <v>2.7989999999999999</v>
      </c>
      <c r="S48" s="90">
        <v>3.42</v>
      </c>
      <c r="T48" s="90">
        <v>-8.58</v>
      </c>
      <c r="U48" s="90">
        <v>13.07</v>
      </c>
      <c r="V48" s="91">
        <v>6.3319999999999999</v>
      </c>
      <c r="W48" s="91">
        <f t="shared" si="0"/>
        <v>3.1435546220023647</v>
      </c>
    </row>
    <row r="49" spans="1:23" x14ac:dyDescent="0.35">
      <c r="A49" s="81" t="s">
        <v>227</v>
      </c>
      <c r="B49" s="81" t="s">
        <v>610</v>
      </c>
      <c r="C49" s="89">
        <v>2.5096449899315587</v>
      </c>
      <c r="D49" s="90">
        <v>3.8028194592395037</v>
      </c>
      <c r="E49" s="91">
        <v>2.5630103304818297</v>
      </c>
      <c r="G49" s="103" t="s">
        <v>571</v>
      </c>
      <c r="H49" s="101">
        <v>87.255396390154942</v>
      </c>
      <c r="I49" s="93">
        <v>32</v>
      </c>
      <c r="J49" s="94">
        <v>21</v>
      </c>
      <c r="K49" s="81"/>
      <c r="L49" s="89">
        <v>-3.4468220858971224</v>
      </c>
      <c r="M49" s="90">
        <v>-6.5530782549911972</v>
      </c>
      <c r="N49" s="90">
        <v>-1.8293091092200273</v>
      </c>
      <c r="O49" s="90">
        <v>3.4180000000000001</v>
      </c>
      <c r="P49" s="90">
        <v>6.5739999999999998</v>
      </c>
      <c r="Q49" s="90">
        <v>5.7329999999999997</v>
      </c>
      <c r="R49" s="90">
        <v>5.649</v>
      </c>
      <c r="S49" s="90">
        <v>5.5289999999999999</v>
      </c>
      <c r="T49" s="90">
        <v>-4.3710000000000004</v>
      </c>
      <c r="U49" s="90">
        <v>6.6369999999999996</v>
      </c>
      <c r="V49" s="91">
        <v>5.6319999999999997</v>
      </c>
      <c r="W49" s="91">
        <f t="shared" si="0"/>
        <v>3.1829148948606667</v>
      </c>
    </row>
    <row r="50" spans="1:23" x14ac:dyDescent="0.35">
      <c r="A50" s="81" t="s">
        <v>227</v>
      </c>
      <c r="B50" s="81" t="s">
        <v>611</v>
      </c>
      <c r="C50" s="89">
        <v>7.8479275411136307E-2</v>
      </c>
      <c r="D50" s="90">
        <v>1.4620184569118511</v>
      </c>
      <c r="E50" s="91">
        <v>2.1534461321011111</v>
      </c>
      <c r="G50" s="103" t="s">
        <v>415</v>
      </c>
      <c r="H50" s="101">
        <v>91.450544124021832</v>
      </c>
      <c r="I50" s="93">
        <v>23</v>
      </c>
      <c r="J50" s="94">
        <v>15</v>
      </c>
      <c r="K50" s="81"/>
      <c r="L50" s="89">
        <v>-0.79984428098029747</v>
      </c>
      <c r="M50" s="90">
        <v>-0.48367104180935355</v>
      </c>
      <c r="N50" s="90">
        <v>2.7151161333034923</v>
      </c>
      <c r="O50" s="90">
        <v>5.3879999999999999</v>
      </c>
      <c r="P50" s="90">
        <v>2.5369999999999999</v>
      </c>
      <c r="Q50" s="90">
        <v>5.1689999999999996</v>
      </c>
      <c r="R50" s="90">
        <v>3.22</v>
      </c>
      <c r="S50" s="90">
        <v>3.03</v>
      </c>
      <c r="T50" s="90">
        <v>-5.5030000000000001</v>
      </c>
      <c r="U50" s="90">
        <v>3.5529999999999999</v>
      </c>
      <c r="V50" s="91">
        <v>2.4420000000000002</v>
      </c>
      <c r="W50" s="91">
        <f t="shared" si="0"/>
        <v>1.8077322945064811</v>
      </c>
    </row>
    <row r="51" spans="1:23" x14ac:dyDescent="0.35">
      <c r="A51" s="81" t="s">
        <v>227</v>
      </c>
      <c r="B51" s="81" t="s">
        <v>612</v>
      </c>
      <c r="C51" s="89">
        <v>2.1173186821453305</v>
      </c>
      <c r="D51" s="90">
        <v>2.0745382872927598</v>
      </c>
      <c r="E51" s="91">
        <v>2.0535686786969709</v>
      </c>
      <c r="G51" s="103" t="s">
        <v>415</v>
      </c>
      <c r="H51" s="101">
        <v>97.848591628257381</v>
      </c>
      <c r="I51" s="93">
        <v>3</v>
      </c>
      <c r="J51" s="94">
        <v>2</v>
      </c>
      <c r="K51" s="81"/>
      <c r="L51" s="89">
        <v>0.22649979701625131</v>
      </c>
      <c r="M51" s="90">
        <v>0.93334095705108477</v>
      </c>
      <c r="N51" s="90">
        <v>1.6193938166337245</v>
      </c>
      <c r="O51" s="90">
        <v>2.343</v>
      </c>
      <c r="P51" s="90">
        <v>3.2480000000000002</v>
      </c>
      <c r="Q51" s="90">
        <v>2.819</v>
      </c>
      <c r="R51" s="90">
        <v>1.9910000000000001</v>
      </c>
      <c r="S51" s="90">
        <v>1.4930000000000001</v>
      </c>
      <c r="T51" s="90">
        <v>-1.994</v>
      </c>
      <c r="U51" s="90">
        <v>4.8570000000000002</v>
      </c>
      <c r="V51" s="91">
        <v>3.6230000000000002</v>
      </c>
      <c r="W51" s="91">
        <f t="shared" si="0"/>
        <v>2.0640534829948654</v>
      </c>
    </row>
    <row r="52" spans="1:23" x14ac:dyDescent="0.35">
      <c r="A52" s="81" t="s">
        <v>573</v>
      </c>
      <c r="B52" s="81" t="s">
        <v>613</v>
      </c>
      <c r="C52" s="89">
        <v>3.1998461156594438</v>
      </c>
      <c r="D52" s="90">
        <v>4.316018962980106</v>
      </c>
      <c r="E52" s="91">
        <v>5.1698060844696858</v>
      </c>
      <c r="G52" s="103" t="s">
        <v>571</v>
      </c>
      <c r="H52" s="101">
        <v>76.661181476266762</v>
      </c>
      <c r="I52" s="93">
        <v>62</v>
      </c>
      <c r="J52" s="94">
        <v>9</v>
      </c>
      <c r="K52" s="81"/>
      <c r="L52" s="89">
        <v>2.7173678967056243</v>
      </c>
      <c r="M52" s="90">
        <v>4.8752050933227107</v>
      </c>
      <c r="N52" s="90">
        <v>7.0504636896591117</v>
      </c>
      <c r="O52" s="90">
        <v>6.9269999999999996</v>
      </c>
      <c r="P52" s="90">
        <v>6.6589999999999998</v>
      </c>
      <c r="Q52" s="90">
        <v>4.6669999999999998</v>
      </c>
      <c r="R52" s="90">
        <v>6.9829999999999997</v>
      </c>
      <c r="S52" s="90">
        <v>5.0519999999999996</v>
      </c>
      <c r="T52" s="90">
        <v>-6.72</v>
      </c>
      <c r="U52" s="90">
        <v>12.272</v>
      </c>
      <c r="V52" s="91">
        <v>4.9489999999999998</v>
      </c>
      <c r="W52" s="91">
        <f t="shared" si="0"/>
        <v>4.7429125237248959</v>
      </c>
    </row>
    <row r="53" spans="1:23" x14ac:dyDescent="0.35">
      <c r="A53" s="81" t="s">
        <v>573</v>
      </c>
      <c r="B53" s="81" t="s">
        <v>614</v>
      </c>
      <c r="C53" s="89">
        <v>-0.32141867374969602</v>
      </c>
      <c r="D53" s="90">
        <v>6.5490773887200149E-2</v>
      </c>
      <c r="E53" s="91">
        <v>1.0130868701887064</v>
      </c>
      <c r="G53" s="107" t="s">
        <v>422</v>
      </c>
      <c r="H53" s="101">
        <v>61.323621492965962</v>
      </c>
      <c r="I53" s="93">
        <v>123</v>
      </c>
      <c r="J53" s="94">
        <v>20</v>
      </c>
      <c r="K53" s="81"/>
      <c r="L53" s="89">
        <v>5.641962066711991</v>
      </c>
      <c r="M53" s="90">
        <v>4.9465112669062528</v>
      </c>
      <c r="N53" s="90">
        <v>3.7888685492083329</v>
      </c>
      <c r="O53" s="90">
        <v>9.9000000000000005E-2</v>
      </c>
      <c r="P53" s="90">
        <v>-1.226</v>
      </c>
      <c r="Q53" s="90">
        <v>2.3679999999999999</v>
      </c>
      <c r="R53" s="90">
        <v>1.2889999999999999</v>
      </c>
      <c r="S53" s="90">
        <v>1.2E-2</v>
      </c>
      <c r="T53" s="90">
        <v>-7.7880000000000003</v>
      </c>
      <c r="U53" s="90">
        <v>4.2350000000000003</v>
      </c>
      <c r="V53" s="91">
        <v>3.0390000000000001</v>
      </c>
      <c r="W53" s="91">
        <f t="shared" si="0"/>
        <v>0.53928882203795325</v>
      </c>
    </row>
    <row r="54" spans="1:23" x14ac:dyDescent="0.35">
      <c r="A54" s="81" t="s">
        <v>569</v>
      </c>
      <c r="B54" s="81" t="s">
        <v>615</v>
      </c>
      <c r="C54" s="89">
        <v>4.4912036839904523</v>
      </c>
      <c r="D54" s="90">
        <v>4.8680352120142656</v>
      </c>
      <c r="E54" s="91">
        <v>4.2302867143853229</v>
      </c>
      <c r="G54" s="103" t="s">
        <v>422</v>
      </c>
      <c r="H54" s="101">
        <v>63.405428674671668</v>
      </c>
      <c r="I54" s="93">
        <v>119</v>
      </c>
      <c r="J54" s="94">
        <v>28</v>
      </c>
      <c r="K54" s="81"/>
      <c r="L54" s="89">
        <v>2.2261997966213811</v>
      </c>
      <c r="M54" s="90">
        <v>2.1854660547123101</v>
      </c>
      <c r="N54" s="90">
        <v>2.9159118788358169</v>
      </c>
      <c r="O54" s="90">
        <v>4.4340000000000002</v>
      </c>
      <c r="P54" s="90">
        <v>4.5060000000000002</v>
      </c>
      <c r="Q54" s="90">
        <v>2.3690000000000002</v>
      </c>
      <c r="R54" s="90">
        <v>5.3310000000000004</v>
      </c>
      <c r="S54" s="90">
        <v>5.5339999999999998</v>
      </c>
      <c r="T54" s="90">
        <v>3.5139999999999998</v>
      </c>
      <c r="U54" s="90">
        <v>3.3069999999999999</v>
      </c>
      <c r="V54" s="91">
        <v>6.609</v>
      </c>
      <c r="W54" s="91">
        <f t="shared" si="0"/>
        <v>4.5491609631997942</v>
      </c>
    </row>
    <row r="55" spans="1:23" x14ac:dyDescent="0.35">
      <c r="A55" s="81" t="s">
        <v>573</v>
      </c>
      <c r="B55" s="81" t="s">
        <v>616</v>
      </c>
      <c r="C55" s="89">
        <v>1.3471265984384528</v>
      </c>
      <c r="D55" s="90">
        <v>1.776882859029727</v>
      </c>
      <c r="E55" s="91">
        <v>2.0016468394263187</v>
      </c>
      <c r="G55" s="103" t="s">
        <v>398</v>
      </c>
      <c r="H55" s="101">
        <v>69.210174273537845</v>
      </c>
      <c r="I55" s="93">
        <v>94</v>
      </c>
      <c r="J55" s="94">
        <v>13</v>
      </c>
      <c r="K55" s="81"/>
      <c r="L55" s="89">
        <v>2.8155018217952783</v>
      </c>
      <c r="M55" s="90">
        <v>2.2337536818851604</v>
      </c>
      <c r="N55" s="90">
        <v>1.7112232058649222</v>
      </c>
      <c r="O55" s="90">
        <v>2.395</v>
      </c>
      <c r="P55" s="90">
        <v>2.5419999999999998</v>
      </c>
      <c r="Q55" s="90">
        <v>2.2530000000000001</v>
      </c>
      <c r="R55" s="90">
        <v>2.4119999999999999</v>
      </c>
      <c r="S55" s="90">
        <v>2.4350000000000001</v>
      </c>
      <c r="T55" s="90">
        <v>-8.1750000000000007</v>
      </c>
      <c r="U55" s="90">
        <v>10.269</v>
      </c>
      <c r="V55" s="91">
        <v>2.8</v>
      </c>
      <c r="W55" s="91">
        <f t="shared" si="0"/>
        <v>1.8892648492280228</v>
      </c>
    </row>
    <row r="56" spans="1:23" x14ac:dyDescent="0.35">
      <c r="A56" s="81" t="s">
        <v>227</v>
      </c>
      <c r="B56" s="81" t="s">
        <v>617</v>
      </c>
      <c r="C56" s="89">
        <v>1.972770435214799</v>
      </c>
      <c r="D56" s="90">
        <v>2.6853264084946815</v>
      </c>
      <c r="E56" s="91">
        <v>2.7928430899179402</v>
      </c>
      <c r="G56" s="103" t="s">
        <v>571</v>
      </c>
      <c r="H56" s="101">
        <v>82.267245472231053</v>
      </c>
      <c r="I56" s="93">
        <v>41</v>
      </c>
      <c r="J56" s="94">
        <v>27</v>
      </c>
      <c r="K56" s="81"/>
      <c r="L56" s="89">
        <v>3.1248431915696226</v>
      </c>
      <c r="M56" s="90">
        <v>1.346187835760732</v>
      </c>
      <c r="N56" s="90">
        <v>2.9873258188549392</v>
      </c>
      <c r="O56" s="90">
        <v>1.853</v>
      </c>
      <c r="P56" s="90">
        <v>3.1549999999999998</v>
      </c>
      <c r="Q56" s="90">
        <v>5.7919999999999998</v>
      </c>
      <c r="R56" s="90">
        <v>3.7839999999999998</v>
      </c>
      <c r="S56" s="90">
        <v>3.74</v>
      </c>
      <c r="T56" s="90">
        <v>-0.55100000000000005</v>
      </c>
      <c r="U56" s="90">
        <v>8.0129999999999999</v>
      </c>
      <c r="V56" s="91">
        <v>-1.2869999999999999</v>
      </c>
      <c r="W56" s="91">
        <f t="shared" si="0"/>
        <v>2.7390847492063108</v>
      </c>
    </row>
    <row r="57" spans="1:23" x14ac:dyDescent="0.35">
      <c r="A57" s="81" t="s">
        <v>569</v>
      </c>
      <c r="B57" s="81" t="s">
        <v>618</v>
      </c>
      <c r="C57" s="89">
        <v>2.1841699351578647</v>
      </c>
      <c r="D57" s="90">
        <v>2.1180367535848621</v>
      </c>
      <c r="E57" s="91">
        <v>2.094572895591984</v>
      </c>
      <c r="G57" s="103" t="s">
        <v>422</v>
      </c>
      <c r="H57" s="101">
        <v>63.876381030610304</v>
      </c>
      <c r="I57" s="93">
        <v>117</v>
      </c>
      <c r="J57" s="94">
        <v>27</v>
      </c>
      <c r="K57" s="81"/>
      <c r="L57" s="89">
        <v>5.3913093065302364</v>
      </c>
      <c r="M57" s="90">
        <v>3.8622718821819677</v>
      </c>
      <c r="N57" s="90">
        <v>0.91319649477376841</v>
      </c>
      <c r="O57" s="90">
        <v>2.2269999999999999</v>
      </c>
      <c r="P57" s="90">
        <v>1.0629999999999999</v>
      </c>
      <c r="Q57" s="90">
        <v>2.0270000000000001</v>
      </c>
      <c r="R57" s="90">
        <v>2.3690000000000002</v>
      </c>
      <c r="S57" s="90">
        <v>2.7040000000000002</v>
      </c>
      <c r="T57" s="90">
        <v>-1.56</v>
      </c>
      <c r="U57" s="90">
        <v>7.883</v>
      </c>
      <c r="V57" s="91">
        <v>0.46700000000000003</v>
      </c>
      <c r="W57" s="91">
        <f t="shared" si="0"/>
        <v>2.1063048245884231</v>
      </c>
    </row>
    <row r="58" spans="1:23" x14ac:dyDescent="0.35">
      <c r="A58" s="81" t="s">
        <v>569</v>
      </c>
      <c r="B58" s="81" t="s">
        <v>619</v>
      </c>
      <c r="C58" s="89">
        <v>6.0178655257344227</v>
      </c>
      <c r="D58" s="90">
        <v>6.6428861766961944</v>
      </c>
      <c r="E58" s="91">
        <v>8.3305963840047514</v>
      </c>
      <c r="G58" s="103" t="s">
        <v>567</v>
      </c>
      <c r="H58" s="101">
        <v>58.357971531116526</v>
      </c>
      <c r="I58" s="93">
        <v>128</v>
      </c>
      <c r="J58" s="94">
        <v>31</v>
      </c>
      <c r="K58" s="81"/>
      <c r="L58" s="89">
        <v>8.6478116333741841</v>
      </c>
      <c r="M58" s="90">
        <v>10.582270048267214</v>
      </c>
      <c r="N58" s="90">
        <v>10.257492961005118</v>
      </c>
      <c r="O58" s="90">
        <v>10.4</v>
      </c>
      <c r="P58" s="90">
        <v>8</v>
      </c>
      <c r="Q58" s="90">
        <v>10.210000000000001</v>
      </c>
      <c r="R58" s="90">
        <v>7.7030000000000003</v>
      </c>
      <c r="S58" s="90">
        <v>9.0370000000000008</v>
      </c>
      <c r="T58" s="90">
        <v>6.0570000000000004</v>
      </c>
      <c r="U58" s="90">
        <v>6.2649999999999997</v>
      </c>
      <c r="V58" s="91">
        <v>6.3579999999999997</v>
      </c>
      <c r="W58" s="91">
        <f t="shared" si="0"/>
        <v>7.4867412803504729</v>
      </c>
    </row>
    <row r="59" spans="1:23" x14ac:dyDescent="0.35">
      <c r="A59" s="81" t="s">
        <v>227</v>
      </c>
      <c r="B59" s="81" t="s">
        <v>620</v>
      </c>
      <c r="C59" s="89">
        <v>0.92513707934396283</v>
      </c>
      <c r="D59" s="90">
        <v>1.065704979127502</v>
      </c>
      <c r="E59" s="91">
        <v>1.0351636365421246</v>
      </c>
      <c r="G59" s="103" t="s">
        <v>415</v>
      </c>
      <c r="H59" s="101">
        <v>97.443307672167862</v>
      </c>
      <c r="I59" s="93">
        <v>5</v>
      </c>
      <c r="J59" s="94">
        <v>3</v>
      </c>
      <c r="K59" s="81"/>
      <c r="L59" s="89">
        <v>-1.3973545576374944</v>
      </c>
      <c r="M59" s="90">
        <v>-0.90201849743960727</v>
      </c>
      <c r="N59" s="90">
        <v>-0.36494028121428063</v>
      </c>
      <c r="O59" s="90">
        <v>0.54400000000000004</v>
      </c>
      <c r="P59" s="90">
        <v>2.8109999999999999</v>
      </c>
      <c r="Q59" s="90">
        <v>3.1920000000000002</v>
      </c>
      <c r="R59" s="90">
        <v>1.1399999999999999</v>
      </c>
      <c r="S59" s="90">
        <v>1.224</v>
      </c>
      <c r="T59" s="90">
        <v>-2.355</v>
      </c>
      <c r="U59" s="90">
        <v>3.0459999999999998</v>
      </c>
      <c r="V59" s="91">
        <v>2.0840000000000001</v>
      </c>
      <c r="W59" s="91">
        <f t="shared" si="0"/>
        <v>1.0504343078348133</v>
      </c>
    </row>
    <row r="60" spans="1:23" x14ac:dyDescent="0.35">
      <c r="A60" s="81" t="s">
        <v>227</v>
      </c>
      <c r="B60" s="81" t="s">
        <v>621</v>
      </c>
      <c r="C60" s="89">
        <v>0.35484098705607092</v>
      </c>
      <c r="D60" s="90">
        <v>0.85541697677951056</v>
      </c>
      <c r="E60" s="91">
        <v>1.0299722548507528</v>
      </c>
      <c r="G60" s="103" t="s">
        <v>415</v>
      </c>
      <c r="H60" s="101">
        <v>94.937245038342397</v>
      </c>
      <c r="I60" s="93">
        <v>20</v>
      </c>
      <c r="J60" s="94">
        <v>13</v>
      </c>
      <c r="K60" s="81"/>
      <c r="L60" s="89">
        <v>0.31313474167845923</v>
      </c>
      <c r="M60" s="90">
        <v>0.5763266794418439</v>
      </c>
      <c r="N60" s="90">
        <v>0.95618304768384532</v>
      </c>
      <c r="O60" s="90">
        <v>1.0549999999999999</v>
      </c>
      <c r="P60" s="90">
        <v>0.98199999999999998</v>
      </c>
      <c r="Q60" s="90">
        <v>2.4489999999999998</v>
      </c>
      <c r="R60" s="90">
        <v>1.8240000000000001</v>
      </c>
      <c r="S60" s="90">
        <v>1.8839999999999999</v>
      </c>
      <c r="T60" s="90">
        <v>-7.907</v>
      </c>
      <c r="U60" s="90">
        <v>6.77</v>
      </c>
      <c r="V60" s="91">
        <v>2.6059999999999999</v>
      </c>
      <c r="W60" s="91">
        <f t="shared" si="0"/>
        <v>0.9426946158151317</v>
      </c>
    </row>
    <row r="61" spans="1:23" x14ac:dyDescent="0.35">
      <c r="A61" s="81" t="s">
        <v>569</v>
      </c>
      <c r="B61" s="81" t="s">
        <v>622</v>
      </c>
      <c r="C61" s="89">
        <v>0.80490169914342324</v>
      </c>
      <c r="D61" s="90">
        <v>1.4271603442411074</v>
      </c>
      <c r="E61" s="91">
        <v>2.3419356903168431</v>
      </c>
      <c r="G61" s="103" t="s">
        <v>567</v>
      </c>
      <c r="H61" s="101">
        <v>37.219050826761183</v>
      </c>
      <c r="I61" s="93">
        <v>153</v>
      </c>
      <c r="J61" s="94">
        <v>46</v>
      </c>
      <c r="K61" s="81"/>
      <c r="L61" s="89">
        <v>5.251076917504065</v>
      </c>
      <c r="M61" s="90">
        <v>5.6386990033869457</v>
      </c>
      <c r="N61" s="90">
        <v>4.3149644410747063</v>
      </c>
      <c r="O61" s="90">
        <v>3.879</v>
      </c>
      <c r="P61" s="90">
        <v>2.0910000000000002</v>
      </c>
      <c r="Q61" s="90">
        <v>0.47299999999999998</v>
      </c>
      <c r="R61" s="90">
        <v>0.84299999999999997</v>
      </c>
      <c r="S61" s="90">
        <v>3.915</v>
      </c>
      <c r="T61" s="90">
        <v>-1.8640000000000001</v>
      </c>
      <c r="U61" s="90">
        <v>1.484</v>
      </c>
      <c r="V61" s="91">
        <v>2.8479999999999999</v>
      </c>
      <c r="W61" s="91">
        <f t="shared" si="0"/>
        <v>1.8845480172789753</v>
      </c>
    </row>
    <row r="62" spans="1:23" x14ac:dyDescent="0.35">
      <c r="A62" s="81" t="s">
        <v>569</v>
      </c>
      <c r="B62" s="81" t="s">
        <v>623</v>
      </c>
      <c r="C62" s="89">
        <v>3.0839257560593802</v>
      </c>
      <c r="D62" s="90">
        <v>4.5260960958580343</v>
      </c>
      <c r="E62" s="91">
        <v>3.4750911540431417</v>
      </c>
      <c r="G62" s="103" t="s">
        <v>422</v>
      </c>
      <c r="H62" s="101">
        <v>65.416670727464805</v>
      </c>
      <c r="I62" s="93">
        <v>114</v>
      </c>
      <c r="J62" s="94">
        <v>26</v>
      </c>
      <c r="K62" s="81"/>
      <c r="L62" s="89">
        <v>5.2415692463074244</v>
      </c>
      <c r="M62" s="90">
        <v>2.8727687903269969</v>
      </c>
      <c r="N62" s="90">
        <v>-1.4073824951095362</v>
      </c>
      <c r="O62" s="90">
        <v>4.0579999999999998</v>
      </c>
      <c r="P62" s="90">
        <v>1.9430000000000001</v>
      </c>
      <c r="Q62" s="90">
        <v>4.8230000000000004</v>
      </c>
      <c r="R62" s="90">
        <v>7.2350000000000003</v>
      </c>
      <c r="S62" s="90">
        <v>6.2220000000000004</v>
      </c>
      <c r="T62" s="90">
        <v>0.59099999999999997</v>
      </c>
      <c r="U62" s="90">
        <v>4.2649999999999997</v>
      </c>
      <c r="V62" s="91">
        <v>4.4409999999999998</v>
      </c>
      <c r="W62" s="91">
        <f t="shared" si="0"/>
        <v>4.0005936249505876</v>
      </c>
    </row>
    <row r="63" spans="1:23" x14ac:dyDescent="0.35">
      <c r="A63" s="81" t="s">
        <v>227</v>
      </c>
      <c r="B63" s="81" t="s">
        <v>624</v>
      </c>
      <c r="C63" s="89">
        <v>4.283743954922925</v>
      </c>
      <c r="D63" s="90">
        <v>4.5348375618438741</v>
      </c>
      <c r="E63" s="91">
        <v>4.1477466898679483</v>
      </c>
      <c r="G63" s="103" t="s">
        <v>571</v>
      </c>
      <c r="H63" s="101">
        <v>80.727500391697276</v>
      </c>
      <c r="I63" s="93">
        <v>46</v>
      </c>
      <c r="J63" s="94">
        <v>31</v>
      </c>
      <c r="K63" s="81"/>
      <c r="L63" s="89">
        <v>6.3690083063386043</v>
      </c>
      <c r="M63" s="90">
        <v>3.6213053519627643</v>
      </c>
      <c r="N63" s="90">
        <v>4.4319248230907649</v>
      </c>
      <c r="O63" s="90">
        <v>3.0270000000000001</v>
      </c>
      <c r="P63" s="90">
        <v>2.9060000000000001</v>
      </c>
      <c r="Q63" s="90">
        <v>4.843</v>
      </c>
      <c r="R63" s="90">
        <v>4.843</v>
      </c>
      <c r="S63" s="90">
        <v>4.9820000000000002</v>
      </c>
      <c r="T63" s="90">
        <v>-6.76</v>
      </c>
      <c r="U63" s="90">
        <v>10.465999999999999</v>
      </c>
      <c r="V63" s="91">
        <v>10.109</v>
      </c>
      <c r="W63" s="91">
        <f t="shared" si="0"/>
        <v>4.3412921258559116</v>
      </c>
    </row>
    <row r="64" spans="1:23" x14ac:dyDescent="0.35">
      <c r="A64" s="81" t="s">
        <v>227</v>
      </c>
      <c r="B64" s="81" t="s">
        <v>625</v>
      </c>
      <c r="C64" s="89">
        <v>0.19639292345923209</v>
      </c>
      <c r="D64" s="90">
        <v>0.54722001304448042</v>
      </c>
      <c r="E64" s="91">
        <v>1.1791658469401556</v>
      </c>
      <c r="G64" s="103" t="s">
        <v>415</v>
      </c>
      <c r="H64" s="101">
        <v>96.79194200114037</v>
      </c>
      <c r="I64" s="93">
        <v>8</v>
      </c>
      <c r="J64" s="94">
        <v>6</v>
      </c>
      <c r="K64" s="81"/>
      <c r="L64" s="89">
        <v>0.41955108005357267</v>
      </c>
      <c r="M64" s="90">
        <v>0.42824326167218907</v>
      </c>
      <c r="N64" s="90">
        <v>2.2256887491492803</v>
      </c>
      <c r="O64" s="90">
        <v>1.4870000000000001</v>
      </c>
      <c r="P64" s="90">
        <v>2.23</v>
      </c>
      <c r="Q64" s="90">
        <v>2.68</v>
      </c>
      <c r="R64" s="90">
        <v>0.98399999999999999</v>
      </c>
      <c r="S64" s="90">
        <v>1.054</v>
      </c>
      <c r="T64" s="90">
        <v>-3.6920000000000002</v>
      </c>
      <c r="U64" s="90">
        <v>2.625</v>
      </c>
      <c r="V64" s="91">
        <v>1.778</v>
      </c>
      <c r="W64" s="91">
        <f t="shared" si="0"/>
        <v>0.863192929992318</v>
      </c>
    </row>
    <row r="65" spans="1:23" x14ac:dyDescent="0.35">
      <c r="A65" s="81" t="s">
        <v>569</v>
      </c>
      <c r="B65" s="81" t="s">
        <v>626</v>
      </c>
      <c r="C65" s="89">
        <v>3.0107142168638523</v>
      </c>
      <c r="D65" s="90">
        <v>4.8285507296226937</v>
      </c>
      <c r="E65" s="91">
        <v>4.7980640567336197</v>
      </c>
      <c r="G65" s="103" t="s">
        <v>398</v>
      </c>
      <c r="H65" s="101">
        <v>69.704517199471169</v>
      </c>
      <c r="I65" s="93">
        <v>89</v>
      </c>
      <c r="J65" s="94">
        <v>13</v>
      </c>
      <c r="K65" s="81"/>
      <c r="L65" s="89">
        <v>9.2927894045967889</v>
      </c>
      <c r="M65" s="90">
        <v>7.3125250073312458</v>
      </c>
      <c r="N65" s="90">
        <v>2.8974388369154251</v>
      </c>
      <c r="O65" s="90">
        <v>2.121</v>
      </c>
      <c r="P65" s="90">
        <v>3.3730000000000002</v>
      </c>
      <c r="Q65" s="90">
        <v>8.1289999999999996</v>
      </c>
      <c r="R65" s="90">
        <v>6.2</v>
      </c>
      <c r="S65" s="90">
        <v>6.508</v>
      </c>
      <c r="T65" s="90">
        <v>0.51400000000000001</v>
      </c>
      <c r="U65" s="90">
        <v>5.3559999999999999</v>
      </c>
      <c r="V65" s="91">
        <v>3.2189999999999999</v>
      </c>
      <c r="W65" s="91">
        <f t="shared" si="0"/>
        <v>4.8133073931781567</v>
      </c>
    </row>
    <row r="66" spans="1:23" x14ac:dyDescent="0.35">
      <c r="A66" s="81" t="s">
        <v>227</v>
      </c>
      <c r="B66" s="81" t="s">
        <v>627</v>
      </c>
      <c r="C66" s="89">
        <v>1.4800990034344652</v>
      </c>
      <c r="D66" s="90">
        <v>1.2580147511245698</v>
      </c>
      <c r="E66" s="91">
        <v>0.45671215262543807</v>
      </c>
      <c r="G66" s="103" t="s">
        <v>415</v>
      </c>
      <c r="H66" s="101">
        <v>87.308557455608167</v>
      </c>
      <c r="I66" s="93">
        <v>31</v>
      </c>
      <c r="J66" s="94">
        <v>20</v>
      </c>
      <c r="K66" s="81"/>
      <c r="L66" s="89">
        <v>-7.3004939606978656</v>
      </c>
      <c r="M66" s="90">
        <v>-3.2414250560129267</v>
      </c>
      <c r="N66" s="90">
        <v>0.73977713855774985</v>
      </c>
      <c r="O66" s="90">
        <v>-0.19600000000000001</v>
      </c>
      <c r="P66" s="90">
        <v>-0.48699999999999999</v>
      </c>
      <c r="Q66" s="90">
        <v>1.0920000000000001</v>
      </c>
      <c r="R66" s="90">
        <v>1.6679999999999999</v>
      </c>
      <c r="S66" s="90">
        <v>1.8839999999999999</v>
      </c>
      <c r="T66" s="90">
        <v>-9.0039999999999996</v>
      </c>
      <c r="U66" s="90">
        <v>8.4339999999999993</v>
      </c>
      <c r="V66" s="91">
        <v>5.9139999999999997</v>
      </c>
      <c r="W66" s="91">
        <f t="shared" si="0"/>
        <v>0.85736345187500396</v>
      </c>
    </row>
    <row r="67" spans="1:23" x14ac:dyDescent="0.35">
      <c r="A67" s="81" t="s">
        <v>573</v>
      </c>
      <c r="B67" s="81" t="s">
        <v>628</v>
      </c>
      <c r="C67" s="89">
        <v>3.3306625930319189</v>
      </c>
      <c r="D67" s="90">
        <v>3.4919746764532578</v>
      </c>
      <c r="E67" s="91">
        <v>3.5384372691175781</v>
      </c>
      <c r="G67" s="103" t="s">
        <v>398</v>
      </c>
      <c r="H67" s="101">
        <v>71.336652243067974</v>
      </c>
      <c r="I67" s="93">
        <v>82</v>
      </c>
      <c r="J67" s="94">
        <v>10</v>
      </c>
      <c r="K67" s="81"/>
      <c r="L67" s="89">
        <v>2.9698574079878068</v>
      </c>
      <c r="M67" s="90">
        <v>3.6975861001947585</v>
      </c>
      <c r="N67" s="90">
        <v>4.4439780738522474</v>
      </c>
      <c r="O67" s="90">
        <v>4.0919999999999996</v>
      </c>
      <c r="P67" s="90">
        <v>2.6779999999999999</v>
      </c>
      <c r="Q67" s="90">
        <v>3.08</v>
      </c>
      <c r="R67" s="90">
        <v>3.407</v>
      </c>
      <c r="S67" s="90">
        <v>4.0019999999999998</v>
      </c>
      <c r="T67" s="90">
        <v>-1.764</v>
      </c>
      <c r="U67" s="90">
        <v>7.9809999999999999</v>
      </c>
      <c r="V67" s="91">
        <v>4.0090000000000003</v>
      </c>
      <c r="W67" s="91">
        <f t="shared" si="0"/>
        <v>3.5152059727854179</v>
      </c>
    </row>
    <row r="68" spans="1:23" x14ac:dyDescent="0.35">
      <c r="A68" s="81" t="s">
        <v>569</v>
      </c>
      <c r="B68" s="81" t="s">
        <v>629</v>
      </c>
      <c r="C68" s="89">
        <v>4.3705772513408236</v>
      </c>
      <c r="D68" s="90">
        <v>4.9898667622307658</v>
      </c>
      <c r="E68" s="91">
        <v>5.729233966321412</v>
      </c>
      <c r="G68" s="103" t="s">
        <v>567</v>
      </c>
      <c r="H68" s="101">
        <v>50.297438492745087</v>
      </c>
      <c r="I68" s="93">
        <v>138</v>
      </c>
      <c r="J68" s="94">
        <v>36</v>
      </c>
      <c r="K68" s="81"/>
      <c r="L68" s="89">
        <v>5.9152881384417997</v>
      </c>
      <c r="M68" s="90">
        <v>3.9456854305126305</v>
      </c>
      <c r="N68" s="90">
        <v>3.6965411823164165</v>
      </c>
      <c r="O68" s="90">
        <v>3.8260000000000001</v>
      </c>
      <c r="P68" s="90">
        <v>10.821</v>
      </c>
      <c r="Q68" s="90">
        <v>10.3</v>
      </c>
      <c r="R68" s="90">
        <v>6.3579999999999997</v>
      </c>
      <c r="S68" s="90">
        <v>5.617</v>
      </c>
      <c r="T68" s="90">
        <v>4.92</v>
      </c>
      <c r="U68" s="90">
        <v>4.2919999999999998</v>
      </c>
      <c r="V68" s="91">
        <v>4.2939999999999996</v>
      </c>
      <c r="W68" s="91">
        <f t="shared" si="0"/>
        <v>5.3595503642760889</v>
      </c>
    </row>
    <row r="69" spans="1:23" x14ac:dyDescent="0.35">
      <c r="A69" s="81" t="s">
        <v>569</v>
      </c>
      <c r="B69" s="81" t="s">
        <v>630</v>
      </c>
      <c r="C69" s="89">
        <v>1.5927018196488341</v>
      </c>
      <c r="D69" s="90">
        <v>2.1053991541019057</v>
      </c>
      <c r="E69" s="91">
        <v>3.2889383993762955</v>
      </c>
      <c r="G69" s="103" t="s">
        <v>567</v>
      </c>
      <c r="H69" s="101">
        <v>54.70982708603303</v>
      </c>
      <c r="I69" s="93">
        <v>134</v>
      </c>
      <c r="J69" s="94">
        <v>34</v>
      </c>
      <c r="K69" s="81"/>
      <c r="L69" s="89">
        <v>-1.7126830118107121</v>
      </c>
      <c r="M69" s="90">
        <v>3.255904265176933</v>
      </c>
      <c r="N69" s="90">
        <v>0.96456075098132787</v>
      </c>
      <c r="O69" s="90">
        <v>6.1340000000000003</v>
      </c>
      <c r="P69" s="90">
        <v>5.3070000000000004</v>
      </c>
      <c r="Q69" s="90">
        <v>4.7889999999999997</v>
      </c>
      <c r="R69" s="90">
        <v>3.7610000000000001</v>
      </c>
      <c r="S69" s="90">
        <v>4.5</v>
      </c>
      <c r="T69" s="90">
        <v>1.5</v>
      </c>
      <c r="U69" s="90">
        <v>6.4</v>
      </c>
      <c r="V69" s="91">
        <v>3.5</v>
      </c>
      <c r="W69" s="91">
        <f t="shared" si="0"/>
        <v>2.6971687767391006</v>
      </c>
    </row>
    <row r="70" spans="1:23" x14ac:dyDescent="0.35">
      <c r="A70" s="81" t="s">
        <v>573</v>
      </c>
      <c r="B70" s="81" t="s">
        <v>631</v>
      </c>
      <c r="C70" s="89">
        <v>40.872083180158647</v>
      </c>
      <c r="D70" s="90">
        <v>25.198248131969379</v>
      </c>
      <c r="E70" s="91">
        <v>13.395686805616647</v>
      </c>
      <c r="G70" s="103" t="s">
        <v>567</v>
      </c>
      <c r="H70" s="101">
        <v>56.740934863022261</v>
      </c>
      <c r="I70" s="93">
        <v>129</v>
      </c>
      <c r="J70" s="94">
        <v>21</v>
      </c>
      <c r="K70" s="81"/>
      <c r="L70" s="89">
        <v>5.3836234687298372</v>
      </c>
      <c r="M70" s="90">
        <v>3.6535047680067998</v>
      </c>
      <c r="N70" s="90">
        <v>1.6860277321410588</v>
      </c>
      <c r="O70" s="90">
        <v>0.68700000000000006</v>
      </c>
      <c r="P70" s="90">
        <v>3.8069999999999999</v>
      </c>
      <c r="Q70" s="90">
        <v>3.734</v>
      </c>
      <c r="R70" s="90">
        <v>4.4409999999999998</v>
      </c>
      <c r="S70" s="90">
        <v>5.3529999999999998</v>
      </c>
      <c r="T70" s="90">
        <v>43.48</v>
      </c>
      <c r="U70" s="90">
        <v>20.059999999999999</v>
      </c>
      <c r="V70" s="91">
        <v>62.287999999999997</v>
      </c>
      <c r="W70" s="91">
        <f t="shared" si="0"/>
        <v>19.296967468793014</v>
      </c>
    </row>
    <row r="71" spans="1:23" x14ac:dyDescent="0.35">
      <c r="A71" s="81" t="s">
        <v>573</v>
      </c>
      <c r="B71" s="81" t="s">
        <v>632</v>
      </c>
      <c r="C71" s="89">
        <v>-0.34574931867293879</v>
      </c>
      <c r="D71" s="90">
        <v>0.64565822904871784</v>
      </c>
      <c r="E71" s="91">
        <v>2.5156599586003026</v>
      </c>
      <c r="G71" s="103" t="s">
        <v>567</v>
      </c>
      <c r="H71" s="101">
        <v>54.401198784391461</v>
      </c>
      <c r="I71" s="93">
        <v>135</v>
      </c>
      <c r="J71" s="94">
        <v>22</v>
      </c>
      <c r="K71" s="81"/>
      <c r="L71" s="89">
        <v>-7.4695954800602468E-2</v>
      </c>
      <c r="M71" s="90">
        <v>9.2111856449685803</v>
      </c>
      <c r="N71" s="90">
        <v>1.9148137793287729</v>
      </c>
      <c r="O71" s="90">
        <v>2.5630000000000002</v>
      </c>
      <c r="P71" s="90">
        <v>1.8120000000000001</v>
      </c>
      <c r="Q71" s="90">
        <v>2.5099999999999998</v>
      </c>
      <c r="R71" s="90">
        <v>1.6679999999999999</v>
      </c>
      <c r="S71" s="90">
        <v>-1.6850000000000001</v>
      </c>
      <c r="T71" s="90">
        <v>-3.343</v>
      </c>
      <c r="U71" s="90">
        <v>-1.798</v>
      </c>
      <c r="V71" s="91">
        <v>-1.6819999999999999</v>
      </c>
      <c r="W71" s="91">
        <f t="shared" si="0"/>
        <v>1.5806590938245102</v>
      </c>
    </row>
    <row r="72" spans="1:23" x14ac:dyDescent="0.35">
      <c r="A72" s="81" t="s">
        <v>573</v>
      </c>
      <c r="B72" s="81" t="s">
        <v>633</v>
      </c>
      <c r="C72" s="89">
        <v>2.1352529558121391</v>
      </c>
      <c r="D72" s="90">
        <v>2.5786313755856494</v>
      </c>
      <c r="E72" s="91">
        <v>3.1291474397337593</v>
      </c>
      <c r="G72" s="103" t="s">
        <v>567</v>
      </c>
      <c r="H72" s="101">
        <v>39.565152370912173</v>
      </c>
      <c r="I72" s="93">
        <v>152</v>
      </c>
      <c r="J72" s="94">
        <v>24</v>
      </c>
      <c r="K72" s="81"/>
      <c r="L72" s="89">
        <v>4.1286877486693667</v>
      </c>
      <c r="M72" s="90">
        <v>2.7915597574680358</v>
      </c>
      <c r="N72" s="90">
        <v>3.0580805621437066</v>
      </c>
      <c r="O72" s="90">
        <v>3.84</v>
      </c>
      <c r="P72" s="90">
        <v>3.8929999999999998</v>
      </c>
      <c r="Q72" s="90">
        <v>4.843</v>
      </c>
      <c r="R72" s="90">
        <v>3.8450000000000002</v>
      </c>
      <c r="S72" s="90">
        <v>2.653</v>
      </c>
      <c r="T72" s="90">
        <v>-8.9649999999999999</v>
      </c>
      <c r="U72" s="90">
        <v>12.534000000000001</v>
      </c>
      <c r="V72" s="91">
        <v>4</v>
      </c>
      <c r="W72" s="91">
        <f t="shared" si="0"/>
        <v>2.8538894076597043</v>
      </c>
    </row>
    <row r="73" spans="1:23" x14ac:dyDescent="0.35">
      <c r="A73" s="81" t="s">
        <v>565</v>
      </c>
      <c r="B73" s="81" t="s">
        <v>634</v>
      </c>
      <c r="C73" s="89">
        <v>-1.3866109004180949</v>
      </c>
      <c r="D73" s="90">
        <v>-0.61127068207094126</v>
      </c>
      <c r="E73" s="91">
        <v>1.1000622223137801</v>
      </c>
      <c r="G73" s="103" t="s">
        <v>415</v>
      </c>
      <c r="H73" s="101">
        <v>95.561927385722356</v>
      </c>
      <c r="I73" s="93">
        <v>18</v>
      </c>
      <c r="J73" s="94">
        <v>5</v>
      </c>
      <c r="K73" s="81"/>
      <c r="L73" s="89">
        <v>1.7002747714417163</v>
      </c>
      <c r="M73" s="90">
        <v>3.1015497799994041</v>
      </c>
      <c r="N73" s="90">
        <v>2.7623919976975242</v>
      </c>
      <c r="O73" s="90">
        <v>2.3879999999999999</v>
      </c>
      <c r="P73" s="90">
        <v>2.1749999999999998</v>
      </c>
      <c r="Q73" s="90">
        <v>3.7959999999999998</v>
      </c>
      <c r="R73" s="90">
        <v>2.847</v>
      </c>
      <c r="S73" s="90">
        <v>-1.6719999999999999</v>
      </c>
      <c r="T73" s="90">
        <v>-6.5449999999999999</v>
      </c>
      <c r="U73" s="90">
        <v>6.4480000000000004</v>
      </c>
      <c r="V73" s="91">
        <v>-3.5070000000000001</v>
      </c>
      <c r="W73" s="91">
        <f t="shared" si="0"/>
        <v>0.24439577012141944</v>
      </c>
    </row>
    <row r="74" spans="1:23" x14ac:dyDescent="0.35">
      <c r="A74" s="81" t="s">
        <v>227</v>
      </c>
      <c r="B74" s="81" t="s">
        <v>635</v>
      </c>
      <c r="C74" s="89">
        <v>2.362570497371097</v>
      </c>
      <c r="D74" s="90">
        <v>3.4329643388785636</v>
      </c>
      <c r="E74" s="91">
        <v>3.366609258538622</v>
      </c>
      <c r="G74" s="103" t="s">
        <v>398</v>
      </c>
      <c r="H74" s="101">
        <v>75.842312832768172</v>
      </c>
      <c r="I74" s="93">
        <v>67</v>
      </c>
      <c r="J74" s="94">
        <v>37</v>
      </c>
      <c r="K74" s="81"/>
      <c r="L74" s="89">
        <v>-1.4717888510830746</v>
      </c>
      <c r="M74" s="90">
        <v>1.9629840486290608</v>
      </c>
      <c r="N74" s="90">
        <v>4.1950824094780925</v>
      </c>
      <c r="O74" s="90">
        <v>3.7069999999999999</v>
      </c>
      <c r="P74" s="90">
        <v>2.2010000000000001</v>
      </c>
      <c r="Q74" s="90">
        <v>4.2720000000000002</v>
      </c>
      <c r="R74" s="90">
        <v>5.3620000000000001</v>
      </c>
      <c r="S74" s="90">
        <v>4.8579999999999997</v>
      </c>
      <c r="T74" s="90">
        <v>-4.5469999999999997</v>
      </c>
      <c r="U74" s="90">
        <v>7.117</v>
      </c>
      <c r="V74" s="91">
        <v>4.9000000000000004</v>
      </c>
      <c r="W74" s="91">
        <f t="shared" si="0"/>
        <v>3.3997867987085928</v>
      </c>
    </row>
    <row r="75" spans="1:23" x14ac:dyDescent="0.35">
      <c r="A75" s="81" t="s">
        <v>227</v>
      </c>
      <c r="B75" s="81" t="s">
        <v>636</v>
      </c>
      <c r="C75" s="89">
        <v>1.1623871589995449</v>
      </c>
      <c r="D75" s="90">
        <v>2.1481166990517275</v>
      </c>
      <c r="E75" s="91">
        <v>3.1810733517810608</v>
      </c>
      <c r="G75" s="103" t="s">
        <v>415</v>
      </c>
      <c r="H75" s="101">
        <v>95.11269526919466</v>
      </c>
      <c r="I75" s="93">
        <v>19</v>
      </c>
      <c r="J75" s="94">
        <v>12</v>
      </c>
      <c r="K75" s="81"/>
      <c r="L75" s="89">
        <v>1.0636366074376145</v>
      </c>
      <c r="M75" s="90">
        <v>4.5524603201510816</v>
      </c>
      <c r="N75" s="90">
        <v>1.687215017506406</v>
      </c>
      <c r="O75" s="90">
        <v>4.4370000000000003</v>
      </c>
      <c r="P75" s="90">
        <v>6.3040000000000003</v>
      </c>
      <c r="Q75" s="90">
        <v>4.1950000000000003</v>
      </c>
      <c r="R75" s="90">
        <v>4.8890000000000002</v>
      </c>
      <c r="S75" s="90">
        <v>1.8049999999999999</v>
      </c>
      <c r="T75" s="90">
        <v>-7.242</v>
      </c>
      <c r="U75" s="90">
        <v>4.3330000000000002</v>
      </c>
      <c r="V75" s="91">
        <v>6.4450000000000003</v>
      </c>
      <c r="W75" s="91">
        <f t="shared" ref="W75:W138" si="1">AVERAGE(D75,E75)</f>
        <v>2.6645950254163941</v>
      </c>
    </row>
    <row r="76" spans="1:23" x14ac:dyDescent="0.35">
      <c r="A76" s="81" t="s">
        <v>565</v>
      </c>
      <c r="B76" s="81" t="s">
        <v>637</v>
      </c>
      <c r="C76" s="89">
        <v>2.7398620097403459</v>
      </c>
      <c r="D76" s="90">
        <v>3.6623835250989556</v>
      </c>
      <c r="E76" s="91">
        <v>5.5227254922200597</v>
      </c>
      <c r="G76" s="103" t="s">
        <v>422</v>
      </c>
      <c r="H76" s="101">
        <v>66.198052259063019</v>
      </c>
      <c r="I76" s="93">
        <v>109</v>
      </c>
      <c r="J76" s="94">
        <v>21</v>
      </c>
      <c r="K76" s="81"/>
      <c r="L76" s="89">
        <v>5.4563589507228496</v>
      </c>
      <c r="M76" s="90">
        <v>6.3861064009482602</v>
      </c>
      <c r="N76" s="90">
        <v>7.410227605088517</v>
      </c>
      <c r="O76" s="90">
        <v>7.9960000000000004</v>
      </c>
      <c r="P76" s="90">
        <v>8.2560000000000002</v>
      </c>
      <c r="Q76" s="90">
        <v>6.7949999999999999</v>
      </c>
      <c r="R76" s="90">
        <v>6.4539999999999997</v>
      </c>
      <c r="S76" s="90">
        <v>3.871</v>
      </c>
      <c r="T76" s="90">
        <v>-5.8310000000000004</v>
      </c>
      <c r="U76" s="90">
        <v>9.0500000000000007</v>
      </c>
      <c r="V76" s="91">
        <v>6.8310000000000004</v>
      </c>
      <c r="W76" s="91">
        <f t="shared" si="1"/>
        <v>4.5925545086595072</v>
      </c>
    </row>
    <row r="77" spans="1:23" x14ac:dyDescent="0.35">
      <c r="A77" s="81" t="s">
        <v>565</v>
      </c>
      <c r="B77" s="81" t="s">
        <v>638</v>
      </c>
      <c r="C77" s="89">
        <v>2.2622053552423305</v>
      </c>
      <c r="D77" s="90">
        <v>3.3867361875690394</v>
      </c>
      <c r="E77" s="91">
        <v>4.2439953782461792</v>
      </c>
      <c r="G77" s="103" t="s">
        <v>398</v>
      </c>
      <c r="H77" s="101">
        <v>71.158529876167961</v>
      </c>
      <c r="I77" s="93">
        <v>83</v>
      </c>
      <c r="J77" s="94">
        <v>14</v>
      </c>
      <c r="K77" s="81"/>
      <c r="L77" s="89">
        <v>6.0300506530561035</v>
      </c>
      <c r="M77" s="90">
        <v>5.5572636889101181</v>
      </c>
      <c r="N77" s="90">
        <v>5.0066684257549943</v>
      </c>
      <c r="O77" s="90">
        <v>4.8760000000000003</v>
      </c>
      <c r="P77" s="90">
        <v>5.0330000000000004</v>
      </c>
      <c r="Q77" s="90">
        <v>5.07</v>
      </c>
      <c r="R77" s="90">
        <v>5.1740000000000004</v>
      </c>
      <c r="S77" s="90">
        <v>5.0190000000000001</v>
      </c>
      <c r="T77" s="90">
        <v>-2.0659999999999998</v>
      </c>
      <c r="U77" s="90">
        <v>3.7029999999999998</v>
      </c>
      <c r="V77" s="91">
        <v>5.3090000000000002</v>
      </c>
      <c r="W77" s="91">
        <f t="shared" si="1"/>
        <v>3.8153657829076093</v>
      </c>
    </row>
    <row r="78" spans="1:23" x14ac:dyDescent="0.35">
      <c r="A78" s="81" t="s">
        <v>227</v>
      </c>
      <c r="B78" s="81" t="s">
        <v>639</v>
      </c>
      <c r="C78" s="89">
        <v>10.534737934438866</v>
      </c>
      <c r="D78" s="90">
        <v>8.9900271540683807</v>
      </c>
      <c r="E78" s="91">
        <v>9.0332345891797274</v>
      </c>
      <c r="G78" s="103" t="s">
        <v>415</v>
      </c>
      <c r="H78" s="101">
        <v>96.106887509545572</v>
      </c>
      <c r="I78" s="93">
        <v>12</v>
      </c>
      <c r="J78" s="94">
        <v>9</v>
      </c>
      <c r="K78" s="81"/>
      <c r="L78" s="89">
        <v>0.22571484300232808</v>
      </c>
      <c r="M78" s="90">
        <v>1.3516340039407124</v>
      </c>
      <c r="N78" s="90">
        <v>8.5566879851340367</v>
      </c>
      <c r="O78" s="90">
        <v>24.370999999999999</v>
      </c>
      <c r="P78" s="90">
        <v>2.0070000000000001</v>
      </c>
      <c r="Q78" s="90">
        <v>9.0050000000000008</v>
      </c>
      <c r="R78" s="90">
        <v>8.5280000000000005</v>
      </c>
      <c r="S78" s="90">
        <v>5.4409999999999998</v>
      </c>
      <c r="T78" s="90">
        <v>6.1840000000000002</v>
      </c>
      <c r="U78" s="90">
        <v>13.587999999999999</v>
      </c>
      <c r="V78" s="91">
        <v>11.97</v>
      </c>
      <c r="W78" s="91">
        <f t="shared" si="1"/>
        <v>9.0116308716240532</v>
      </c>
    </row>
    <row r="79" spans="1:23" x14ac:dyDescent="0.35">
      <c r="A79" s="81" t="s">
        <v>580</v>
      </c>
      <c r="B79" s="81" t="s">
        <v>640</v>
      </c>
      <c r="C79" s="89">
        <v>4.2964072248328211</v>
      </c>
      <c r="D79" s="90">
        <v>4.3056817639917977</v>
      </c>
      <c r="E79" s="91">
        <v>3.9225915638386066</v>
      </c>
      <c r="G79" s="103" t="s">
        <v>415</v>
      </c>
      <c r="H79" s="101">
        <v>91.08708937267636</v>
      </c>
      <c r="I79" s="93">
        <v>24</v>
      </c>
      <c r="J79" s="94">
        <v>2</v>
      </c>
      <c r="K79" s="81"/>
      <c r="L79" s="89">
        <v>2.2572375479441442</v>
      </c>
      <c r="M79" s="90">
        <v>4.1480545517150818</v>
      </c>
      <c r="N79" s="90">
        <v>3.7582001903069706</v>
      </c>
      <c r="O79" s="90">
        <v>2.4860000000000002</v>
      </c>
      <c r="P79" s="90">
        <v>4.5220000000000002</v>
      </c>
      <c r="Q79" s="90">
        <v>4.2759999999999998</v>
      </c>
      <c r="R79" s="90">
        <v>4.07</v>
      </c>
      <c r="S79" s="90">
        <v>4.1559999999999997</v>
      </c>
      <c r="T79" s="90">
        <v>-1.857</v>
      </c>
      <c r="U79" s="90">
        <v>8.6120000000000001</v>
      </c>
      <c r="V79" s="91">
        <v>6.4320000000000004</v>
      </c>
      <c r="W79" s="91">
        <f t="shared" si="1"/>
        <v>4.1141366639152022</v>
      </c>
    </row>
    <row r="80" spans="1:23" x14ac:dyDescent="0.35">
      <c r="A80" s="81" t="s">
        <v>227</v>
      </c>
      <c r="B80" s="81" t="s">
        <v>641</v>
      </c>
      <c r="C80" s="89">
        <v>0.2182802501019987</v>
      </c>
      <c r="D80" s="90">
        <v>0.31439174572445161</v>
      </c>
      <c r="E80" s="91">
        <v>0.34271436280863821</v>
      </c>
      <c r="G80" s="103" t="s">
        <v>415</v>
      </c>
      <c r="H80" s="101">
        <v>88.947746010825512</v>
      </c>
      <c r="I80" s="93">
        <v>29</v>
      </c>
      <c r="J80" s="94">
        <v>18</v>
      </c>
      <c r="K80" s="81"/>
      <c r="L80" s="89">
        <v>-2.9809057682377182</v>
      </c>
      <c r="M80" s="90">
        <v>-1.8410654508824811</v>
      </c>
      <c r="N80" s="90">
        <v>-4.5475423638333965E-3</v>
      </c>
      <c r="O80" s="90">
        <v>0.77800000000000002</v>
      </c>
      <c r="P80" s="90">
        <v>1.2929999999999999</v>
      </c>
      <c r="Q80" s="90">
        <v>1.6679999999999999</v>
      </c>
      <c r="R80" s="90">
        <v>0.92600000000000005</v>
      </c>
      <c r="S80" s="90">
        <v>0.48299999999999998</v>
      </c>
      <c r="T80" s="90">
        <v>-8.9789999999999992</v>
      </c>
      <c r="U80" s="90">
        <v>6.9870000000000001</v>
      </c>
      <c r="V80" s="91">
        <v>3.6749999999999998</v>
      </c>
      <c r="W80" s="91">
        <f t="shared" si="1"/>
        <v>0.32855305426654491</v>
      </c>
    </row>
    <row r="81" spans="1:23" x14ac:dyDescent="0.35">
      <c r="A81" s="81" t="s">
        <v>573</v>
      </c>
      <c r="B81" s="81" t="s">
        <v>642</v>
      </c>
      <c r="C81" s="89">
        <v>-0.70306474958997667</v>
      </c>
      <c r="D81" s="90">
        <v>0.12887839009743107</v>
      </c>
      <c r="E81" s="91">
        <v>0.51362317164571625</v>
      </c>
      <c r="G81" s="103" t="s">
        <v>567</v>
      </c>
      <c r="H81" s="101">
        <v>53.312824662633638</v>
      </c>
      <c r="I81" s="93">
        <v>137</v>
      </c>
      <c r="J81" s="94">
        <v>23</v>
      </c>
      <c r="K81" s="81"/>
      <c r="L81" s="89">
        <v>-0.61363603986913318</v>
      </c>
      <c r="M81" s="90">
        <v>0.51768601280242099</v>
      </c>
      <c r="N81" s="90">
        <v>0.68982235737431619</v>
      </c>
      <c r="O81" s="90">
        <v>0.86899999999999999</v>
      </c>
      <c r="P81" s="90">
        <v>1.498</v>
      </c>
      <c r="Q81" s="90">
        <v>0.67900000000000005</v>
      </c>
      <c r="R81" s="90">
        <v>1.827</v>
      </c>
      <c r="S81" s="90">
        <v>0.97</v>
      </c>
      <c r="T81" s="90">
        <v>-9.92</v>
      </c>
      <c r="U81" s="90">
        <v>4.601</v>
      </c>
      <c r="V81" s="91">
        <v>4</v>
      </c>
      <c r="W81" s="91">
        <f t="shared" si="1"/>
        <v>0.32125078087157366</v>
      </c>
    </row>
    <row r="82" spans="1:23" x14ac:dyDescent="0.35">
      <c r="A82" s="81" t="s">
        <v>565</v>
      </c>
      <c r="B82" s="81" t="s">
        <v>643</v>
      </c>
      <c r="C82" s="89">
        <v>-0.63095756344230258</v>
      </c>
      <c r="D82" s="90">
        <v>2.4039609383130767E-3</v>
      </c>
      <c r="E82" s="91">
        <v>0.62673306790392846</v>
      </c>
      <c r="G82" s="103" t="s">
        <v>415</v>
      </c>
      <c r="H82" s="101">
        <v>96.063700314273362</v>
      </c>
      <c r="I82" s="93">
        <v>13</v>
      </c>
      <c r="J82" s="94">
        <v>4</v>
      </c>
      <c r="K82" s="81"/>
      <c r="L82" s="89">
        <v>1.495089585949261</v>
      </c>
      <c r="M82" s="90">
        <v>2.0002678411015018</v>
      </c>
      <c r="N82" s="90">
        <v>0.3747194763313248</v>
      </c>
      <c r="O82" s="90">
        <v>1.5609999999999999</v>
      </c>
      <c r="P82" s="90">
        <v>0.754</v>
      </c>
      <c r="Q82" s="90">
        <v>1.675</v>
      </c>
      <c r="R82" s="90">
        <v>0.64300000000000002</v>
      </c>
      <c r="S82" s="90">
        <v>-0.40200000000000002</v>
      </c>
      <c r="T82" s="90">
        <v>-4.2789999999999999</v>
      </c>
      <c r="U82" s="90">
        <v>2.145</v>
      </c>
      <c r="V82" s="91">
        <v>1.075</v>
      </c>
      <c r="W82" s="91">
        <f t="shared" si="1"/>
        <v>0.31456851442112077</v>
      </c>
    </row>
    <row r="83" spans="1:23" x14ac:dyDescent="0.35">
      <c r="A83" s="81" t="s">
        <v>580</v>
      </c>
      <c r="B83" s="81" t="s">
        <v>644</v>
      </c>
      <c r="C83" s="89">
        <v>1.1049470799269878</v>
      </c>
      <c r="D83" s="90">
        <v>1.8757952650954479</v>
      </c>
      <c r="E83" s="91">
        <v>2.1806440475090172</v>
      </c>
      <c r="G83" s="103" t="s">
        <v>571</v>
      </c>
      <c r="H83" s="101">
        <v>79.514216326138751</v>
      </c>
      <c r="I83" s="93">
        <v>53</v>
      </c>
      <c r="J83" s="94">
        <v>5</v>
      </c>
      <c r="K83" s="81"/>
      <c r="L83" s="89">
        <v>2.6511707480297244</v>
      </c>
      <c r="M83" s="90">
        <v>2.8287666404585154</v>
      </c>
      <c r="N83" s="90">
        <v>3.0963303471105994</v>
      </c>
      <c r="O83" s="90">
        <v>2.496</v>
      </c>
      <c r="P83" s="90">
        <v>1.994</v>
      </c>
      <c r="Q83" s="90">
        <v>2.4740000000000002</v>
      </c>
      <c r="R83" s="90">
        <v>1.919</v>
      </c>
      <c r="S83" s="90">
        <v>1.927</v>
      </c>
      <c r="T83" s="90">
        <v>-1.57</v>
      </c>
      <c r="U83" s="90">
        <v>2.2280000000000002</v>
      </c>
      <c r="V83" s="91">
        <v>2.7109999999999999</v>
      </c>
      <c r="W83" s="91">
        <f t="shared" si="1"/>
        <v>2.0282196563022326</v>
      </c>
    </row>
    <row r="84" spans="1:23" x14ac:dyDescent="0.35">
      <c r="A84" s="81" t="s">
        <v>565</v>
      </c>
      <c r="B84" s="81" t="s">
        <v>645</v>
      </c>
      <c r="C84" s="89">
        <v>1.6270169093285825</v>
      </c>
      <c r="D84" s="90">
        <v>2.6878144462378906</v>
      </c>
      <c r="E84" s="91">
        <v>2.9947418753666133</v>
      </c>
      <c r="G84" s="103" t="s">
        <v>398</v>
      </c>
      <c r="H84" s="101">
        <v>70.400737065727981</v>
      </c>
      <c r="I84" s="93">
        <v>88</v>
      </c>
      <c r="J84" s="94">
        <v>16</v>
      </c>
      <c r="K84" s="81"/>
      <c r="L84" s="89">
        <v>4.7999999999927256</v>
      </c>
      <c r="M84" s="90">
        <v>5.9999999992556203</v>
      </c>
      <c r="N84" s="90">
        <v>4.2000000006304088</v>
      </c>
      <c r="O84" s="90">
        <v>1</v>
      </c>
      <c r="P84" s="90">
        <v>0.9</v>
      </c>
      <c r="Q84" s="90">
        <v>3.9009999999999998</v>
      </c>
      <c r="R84" s="90">
        <v>4.0999999999999996</v>
      </c>
      <c r="S84" s="90">
        <v>4.5</v>
      </c>
      <c r="T84" s="90">
        <v>-2.6</v>
      </c>
      <c r="U84" s="90">
        <v>4.0999999999999996</v>
      </c>
      <c r="V84" s="91">
        <v>3.214</v>
      </c>
      <c r="W84" s="91">
        <f t="shared" si="1"/>
        <v>2.8412781608022519</v>
      </c>
    </row>
    <row r="85" spans="1:23" x14ac:dyDescent="0.35">
      <c r="A85" s="81" t="s">
        <v>569</v>
      </c>
      <c r="B85" s="81" t="s">
        <v>646</v>
      </c>
      <c r="C85" s="89">
        <v>4.1600595320631983</v>
      </c>
      <c r="D85" s="90">
        <v>5.4481436952905637</v>
      </c>
      <c r="E85" s="91">
        <v>5.4875646773576481</v>
      </c>
      <c r="G85" s="103" t="s">
        <v>422</v>
      </c>
      <c r="H85" s="101">
        <v>68.853006787769303</v>
      </c>
      <c r="I85" s="93">
        <v>97</v>
      </c>
      <c r="J85" s="94">
        <v>18</v>
      </c>
      <c r="K85" s="81"/>
      <c r="L85" s="89">
        <v>4.5632091307112006</v>
      </c>
      <c r="M85" s="90">
        <v>5.8786805667541637</v>
      </c>
      <c r="N85" s="90">
        <v>5.3571256444996713</v>
      </c>
      <c r="O85" s="90">
        <v>4.968</v>
      </c>
      <c r="P85" s="90">
        <v>4.2140000000000004</v>
      </c>
      <c r="Q85" s="90">
        <v>3.8159999999999998</v>
      </c>
      <c r="R85" s="90">
        <v>5.6710000000000003</v>
      </c>
      <c r="S85" s="90">
        <v>5.1139999999999999</v>
      </c>
      <c r="T85" s="90">
        <v>-0.25</v>
      </c>
      <c r="U85" s="90">
        <v>7.5170000000000003</v>
      </c>
      <c r="V85" s="91">
        <v>5.3689999999999998</v>
      </c>
      <c r="W85" s="91">
        <f t="shared" si="1"/>
        <v>5.4678541863241055</v>
      </c>
    </row>
    <row r="86" spans="1:23" x14ac:dyDescent="0.35">
      <c r="A86" s="81" t="s">
        <v>565</v>
      </c>
      <c r="B86" s="81" t="s">
        <v>647</v>
      </c>
      <c r="C86" s="89">
        <v>1.9788311578699647</v>
      </c>
      <c r="D86" s="90">
        <v>2.1951704861675969</v>
      </c>
      <c r="E86" s="91">
        <v>2.6249033043728831</v>
      </c>
      <c r="G86" s="103" t="s">
        <v>415</v>
      </c>
      <c r="H86" s="101">
        <v>90.58627012288828</v>
      </c>
      <c r="I86" s="93">
        <v>26</v>
      </c>
      <c r="J86" s="94">
        <v>6</v>
      </c>
      <c r="K86" s="81"/>
      <c r="L86" s="89">
        <v>2.4025309924618736</v>
      </c>
      <c r="M86" s="90">
        <v>3.1647086364718322</v>
      </c>
      <c r="N86" s="90">
        <v>3.2024537945736018</v>
      </c>
      <c r="O86" s="90">
        <v>2.8090000000000002</v>
      </c>
      <c r="P86" s="90">
        <v>2.9470000000000001</v>
      </c>
      <c r="Q86" s="90">
        <v>3.16</v>
      </c>
      <c r="R86" s="90">
        <v>2.907</v>
      </c>
      <c r="S86" s="90">
        <v>2.2440000000000002</v>
      </c>
      <c r="T86" s="90">
        <v>-0.70899999999999996</v>
      </c>
      <c r="U86" s="90">
        <v>4.1449999999999996</v>
      </c>
      <c r="V86" s="91">
        <v>2.5609999999999999</v>
      </c>
      <c r="W86" s="91">
        <f t="shared" si="1"/>
        <v>2.41003689527024</v>
      </c>
    </row>
    <row r="87" spans="1:23" x14ac:dyDescent="0.35">
      <c r="A87" s="81" t="s">
        <v>580</v>
      </c>
      <c r="B87" s="81" t="s">
        <v>648</v>
      </c>
      <c r="C87" s="89">
        <v>2.9560258753336122E-2</v>
      </c>
      <c r="D87" s="90">
        <v>0.3483533742255629</v>
      </c>
      <c r="E87" s="91">
        <v>0.20315822263521355</v>
      </c>
      <c r="G87" s="103" t="s">
        <v>422</v>
      </c>
      <c r="H87" s="101">
        <v>67.205820265011681</v>
      </c>
      <c r="I87" s="93">
        <v>105</v>
      </c>
      <c r="J87" s="94">
        <v>10</v>
      </c>
      <c r="K87" s="81"/>
      <c r="L87" s="89">
        <v>6.6258183001417628</v>
      </c>
      <c r="M87" s="90">
        <v>1.1493004370652051</v>
      </c>
      <c r="N87" s="90">
        <v>0.5008769821586383</v>
      </c>
      <c r="O87" s="90">
        <v>0.59299999999999997</v>
      </c>
      <c r="P87" s="90">
        <v>2.9260000000000002</v>
      </c>
      <c r="Q87" s="90">
        <v>-4.7140000000000004</v>
      </c>
      <c r="R87" s="90">
        <v>2.4369999999999998</v>
      </c>
      <c r="S87" s="90">
        <v>-0.55200000000000005</v>
      </c>
      <c r="T87" s="90">
        <v>-8.8550000000000004</v>
      </c>
      <c r="U87" s="90">
        <v>1.3080000000000001</v>
      </c>
      <c r="V87" s="91">
        <v>8.1769999999999996</v>
      </c>
      <c r="W87" s="91">
        <f t="shared" si="1"/>
        <v>0.27575579843038822</v>
      </c>
    </row>
    <row r="88" spans="1:23" x14ac:dyDescent="0.35">
      <c r="A88" s="81" t="s">
        <v>565</v>
      </c>
      <c r="B88" s="81" t="s">
        <v>649</v>
      </c>
      <c r="C88" s="89">
        <v>0.51489333561212103</v>
      </c>
      <c r="D88" s="90">
        <v>1.9645834232370651</v>
      </c>
      <c r="E88" s="91">
        <v>3.7392958747352045</v>
      </c>
      <c r="G88" s="103" t="s">
        <v>398</v>
      </c>
      <c r="H88" s="101">
        <v>70.898067394091115</v>
      </c>
      <c r="I88" s="93">
        <v>86</v>
      </c>
      <c r="J88" s="94">
        <v>15</v>
      </c>
      <c r="K88" s="81"/>
      <c r="L88" s="89">
        <v>-8.8150201010635656E-2</v>
      </c>
      <c r="M88" s="90">
        <v>10.915469454314421</v>
      </c>
      <c r="N88" s="90">
        <v>4.024038625768628</v>
      </c>
      <c r="O88" s="90">
        <v>3.8759999999999999</v>
      </c>
      <c r="P88" s="90">
        <v>4.3360000000000003</v>
      </c>
      <c r="Q88" s="90">
        <v>4.74</v>
      </c>
      <c r="R88" s="90">
        <v>3.4590000000000001</v>
      </c>
      <c r="S88" s="90">
        <v>4.601</v>
      </c>
      <c r="T88" s="90">
        <v>-8.6170000000000009</v>
      </c>
      <c r="U88" s="90">
        <v>3.742</v>
      </c>
      <c r="V88" s="91">
        <v>7</v>
      </c>
      <c r="W88" s="91">
        <f t="shared" si="1"/>
        <v>2.8519396489861348</v>
      </c>
    </row>
    <row r="89" spans="1:23" x14ac:dyDescent="0.35">
      <c r="A89" s="81" t="s">
        <v>565</v>
      </c>
      <c r="B89" s="81" t="s">
        <v>650</v>
      </c>
      <c r="C89" s="89">
        <v>1.7571611332634074</v>
      </c>
      <c r="D89" s="90">
        <v>3.3757795121775569</v>
      </c>
      <c r="E89" s="91">
        <v>5.3509947789500245</v>
      </c>
      <c r="G89" s="103" t="s">
        <v>567</v>
      </c>
      <c r="H89" s="101">
        <v>58.394766440551741</v>
      </c>
      <c r="I89" s="93">
        <v>127</v>
      </c>
      <c r="J89" s="94">
        <v>26</v>
      </c>
      <c r="K89" s="81"/>
      <c r="L89" s="89">
        <v>8.0260984340408665</v>
      </c>
      <c r="M89" s="90">
        <v>8.0263002263775007</v>
      </c>
      <c r="N89" s="90">
        <v>7.6119634407438159</v>
      </c>
      <c r="O89" s="90">
        <v>7.27</v>
      </c>
      <c r="P89" s="90">
        <v>7.0229999999999997</v>
      </c>
      <c r="Q89" s="90">
        <v>6.851</v>
      </c>
      <c r="R89" s="90">
        <v>6.2889999999999997</v>
      </c>
      <c r="S89" s="90">
        <v>4.6520000000000001</v>
      </c>
      <c r="T89" s="90">
        <v>-0.435</v>
      </c>
      <c r="U89" s="90">
        <v>2.0609999999999999</v>
      </c>
      <c r="V89" s="91">
        <v>2.2519999999999998</v>
      </c>
      <c r="W89" s="91">
        <f t="shared" si="1"/>
        <v>4.3633871455637907</v>
      </c>
    </row>
    <row r="90" spans="1:23" x14ac:dyDescent="0.35">
      <c r="A90" s="81" t="s">
        <v>227</v>
      </c>
      <c r="B90" s="81" t="s">
        <v>651</v>
      </c>
      <c r="C90" s="89">
        <v>1.2465800540070626</v>
      </c>
      <c r="D90" s="90">
        <v>2.186383184955365</v>
      </c>
      <c r="E90" s="91">
        <v>2.3979634558628948</v>
      </c>
      <c r="G90" s="103" t="s">
        <v>571</v>
      </c>
      <c r="H90" s="101">
        <v>81.044610107182237</v>
      </c>
      <c r="I90" s="93">
        <v>44</v>
      </c>
      <c r="J90" s="94">
        <v>29</v>
      </c>
      <c r="K90" s="81"/>
      <c r="L90" s="89">
        <v>4.1342316499835752</v>
      </c>
      <c r="M90" s="90">
        <v>2.3280042634440163</v>
      </c>
      <c r="N90" s="90">
        <v>1.9151903779433241</v>
      </c>
      <c r="O90" s="90">
        <v>3.8849999999999998</v>
      </c>
      <c r="P90" s="90">
        <v>2.3690000000000002</v>
      </c>
      <c r="Q90" s="90">
        <v>3.3119999999999998</v>
      </c>
      <c r="R90" s="90">
        <v>3.992</v>
      </c>
      <c r="S90" s="90">
        <v>2.57</v>
      </c>
      <c r="T90" s="90">
        <v>-2.2029999999999998</v>
      </c>
      <c r="U90" s="90">
        <v>4.0640000000000001</v>
      </c>
      <c r="V90" s="91">
        <v>1.976</v>
      </c>
      <c r="W90" s="91">
        <f t="shared" si="1"/>
        <v>2.2921733204091299</v>
      </c>
    </row>
    <row r="91" spans="1:23" x14ac:dyDescent="0.35">
      <c r="A91" s="81" t="s">
        <v>580</v>
      </c>
      <c r="B91" s="81" t="s">
        <v>652</v>
      </c>
      <c r="C91" s="89">
        <v>-11.570507599610414</v>
      </c>
      <c r="D91" s="90">
        <v>-8.8972805759156888</v>
      </c>
      <c r="E91" s="91">
        <v>-3.6804003540223951</v>
      </c>
      <c r="G91" s="103" t="s">
        <v>398</v>
      </c>
      <c r="H91" s="101">
        <v>70.925074776605015</v>
      </c>
      <c r="I91" s="93">
        <v>85</v>
      </c>
      <c r="J91" s="94">
        <v>9</v>
      </c>
      <c r="K91" s="81"/>
      <c r="L91" s="89">
        <v>2.5405417890992656</v>
      </c>
      <c r="M91" s="90">
        <v>3.8110224147865268</v>
      </c>
      <c r="N91" s="90">
        <v>2.4536595719223264</v>
      </c>
      <c r="O91" s="90">
        <v>0.46100000000000002</v>
      </c>
      <c r="P91" s="90">
        <v>1.556</v>
      </c>
      <c r="Q91" s="90">
        <v>0.90300000000000002</v>
      </c>
      <c r="R91" s="90">
        <v>-1.885</v>
      </c>
      <c r="S91" s="90">
        <v>-6.915</v>
      </c>
      <c r="T91" s="90">
        <v>-25.907</v>
      </c>
      <c r="U91" s="90">
        <v>-5.4</v>
      </c>
      <c r="V91" s="91">
        <v>-5.4</v>
      </c>
      <c r="W91" s="91">
        <f t="shared" si="1"/>
        <v>-6.2888404649690415</v>
      </c>
    </row>
    <row r="92" spans="1:23" x14ac:dyDescent="0.35">
      <c r="A92" s="81" t="s">
        <v>569</v>
      </c>
      <c r="B92" s="81" t="s">
        <v>653</v>
      </c>
      <c r="C92" s="89">
        <v>-1.7564836758548363</v>
      </c>
      <c r="D92" s="90">
        <v>-1.6866052500791207</v>
      </c>
      <c r="E92" s="91">
        <v>0.46596555472186996</v>
      </c>
      <c r="G92" s="103" t="s">
        <v>422</v>
      </c>
      <c r="H92" s="101">
        <v>68.290636352612694</v>
      </c>
      <c r="I92" s="93">
        <v>100</v>
      </c>
      <c r="J92" s="94">
        <v>20</v>
      </c>
      <c r="K92" s="81"/>
      <c r="L92" s="89">
        <v>6.7436269408569842</v>
      </c>
      <c r="M92" s="90">
        <v>4.1869122037746749</v>
      </c>
      <c r="N92" s="90">
        <v>2.8839688442816156</v>
      </c>
      <c r="O92" s="90">
        <v>3.2480000000000002</v>
      </c>
      <c r="P92" s="90">
        <v>1.877</v>
      </c>
      <c r="Q92" s="90">
        <v>-2.734</v>
      </c>
      <c r="R92" s="90">
        <v>-1.304</v>
      </c>
      <c r="S92" s="90">
        <v>-1.9710000000000001</v>
      </c>
      <c r="T92" s="90">
        <v>-3.9020000000000001</v>
      </c>
      <c r="U92" s="90">
        <v>2.1019999999999999</v>
      </c>
      <c r="V92" s="91">
        <v>2.093</v>
      </c>
      <c r="W92" s="91">
        <f t="shared" si="1"/>
        <v>-0.61031984767862535</v>
      </c>
    </row>
    <row r="93" spans="1:23" x14ac:dyDescent="0.35">
      <c r="A93" s="81" t="s">
        <v>569</v>
      </c>
      <c r="B93" s="81" t="s">
        <v>654</v>
      </c>
      <c r="C93" s="89">
        <v>2.2030305181955034</v>
      </c>
      <c r="D93" s="90">
        <v>1.043410797540445</v>
      </c>
      <c r="E93" s="91">
        <v>1.5173155129903693</v>
      </c>
      <c r="G93" s="103" t="s">
        <v>567</v>
      </c>
      <c r="H93" s="101">
        <v>56.232966845120316</v>
      </c>
      <c r="I93" s="93">
        <v>130</v>
      </c>
      <c r="J93" s="94">
        <v>32</v>
      </c>
      <c r="K93" s="81"/>
      <c r="L93" s="89">
        <v>7.9938156931364137</v>
      </c>
      <c r="M93" s="90">
        <v>8.6872878163968235</v>
      </c>
      <c r="N93" s="90">
        <v>0.70139310028752089</v>
      </c>
      <c r="O93" s="90">
        <v>7.0000000000000001E-3</v>
      </c>
      <c r="P93" s="90">
        <v>-1.63</v>
      </c>
      <c r="Q93" s="90">
        <v>2.4689999999999999</v>
      </c>
      <c r="R93" s="90">
        <v>1.242</v>
      </c>
      <c r="S93" s="90">
        <v>-2.516</v>
      </c>
      <c r="T93" s="90">
        <v>-2.9670000000000001</v>
      </c>
      <c r="U93" s="90">
        <v>5.0110000000000001</v>
      </c>
      <c r="V93" s="91">
        <v>4.8109999999999999</v>
      </c>
      <c r="W93" s="91">
        <f t="shared" si="1"/>
        <v>1.2803631552654071</v>
      </c>
    </row>
    <row r="94" spans="1:23" x14ac:dyDescent="0.35">
      <c r="A94" s="81" t="s">
        <v>569</v>
      </c>
      <c r="B94" s="81" t="s">
        <v>655</v>
      </c>
      <c r="C94" s="89">
        <v>5.1304452243001952</v>
      </c>
      <c r="D94" s="90">
        <v>3.4484900722276279</v>
      </c>
      <c r="E94" s="91">
        <v>1.2335060569262035</v>
      </c>
      <c r="G94" s="103" t="s">
        <v>567</v>
      </c>
      <c r="H94" s="101">
        <v>48.008478383672035</v>
      </c>
      <c r="I94" s="93">
        <v>140</v>
      </c>
      <c r="J94" s="94">
        <v>38</v>
      </c>
      <c r="K94" s="81"/>
      <c r="L94" s="89">
        <v>274.10446739057375</v>
      </c>
      <c r="M94" s="90">
        <v>-13.994834968637873</v>
      </c>
      <c r="N94" s="90">
        <v>-10.842440326997824</v>
      </c>
      <c r="O94" s="90">
        <v>-0.84299999999999997</v>
      </c>
      <c r="P94" s="90">
        <v>-1.4910000000000001</v>
      </c>
      <c r="Q94" s="90">
        <v>32.491999999999997</v>
      </c>
      <c r="R94" s="90">
        <v>7.9409999999999998</v>
      </c>
      <c r="S94" s="90">
        <v>-11.196</v>
      </c>
      <c r="T94" s="90">
        <v>-29.456</v>
      </c>
      <c r="U94" s="90">
        <v>28.335000000000001</v>
      </c>
      <c r="V94" s="91">
        <v>-12.813000000000001</v>
      </c>
      <c r="W94" s="91">
        <f t="shared" si="1"/>
        <v>2.3409980645769157</v>
      </c>
    </row>
    <row r="95" spans="1:23" x14ac:dyDescent="0.35">
      <c r="A95" s="81" t="s">
        <v>227</v>
      </c>
      <c r="B95" s="81" t="s">
        <v>656</v>
      </c>
      <c r="C95" s="89">
        <v>2.5853990379055336</v>
      </c>
      <c r="D95" s="90">
        <v>3.2350334175799356</v>
      </c>
      <c r="E95" s="91">
        <v>3.2063173772679532</v>
      </c>
      <c r="G95" s="103" t="s">
        <v>571</v>
      </c>
      <c r="H95" s="101">
        <v>80.769738018881156</v>
      </c>
      <c r="I95" s="93">
        <v>45</v>
      </c>
      <c r="J95" s="94">
        <v>30</v>
      </c>
      <c r="K95" s="81"/>
      <c r="L95" s="89">
        <v>3.8333027642866848</v>
      </c>
      <c r="M95" s="90">
        <v>3.5584246313476826</v>
      </c>
      <c r="N95" s="90">
        <v>3.5079712171273361</v>
      </c>
      <c r="O95" s="90">
        <v>2.024</v>
      </c>
      <c r="P95" s="90">
        <v>2.5190000000000001</v>
      </c>
      <c r="Q95" s="90">
        <v>4.282</v>
      </c>
      <c r="R95" s="90">
        <v>3.9929999999999999</v>
      </c>
      <c r="S95" s="90">
        <v>4.625</v>
      </c>
      <c r="T95" s="90">
        <v>-2.1999999999999999E-2</v>
      </c>
      <c r="U95" s="90">
        <v>5.9809999999999999</v>
      </c>
      <c r="V95" s="91">
        <v>1.8879999999999999</v>
      </c>
      <c r="W95" s="91">
        <f t="shared" si="1"/>
        <v>3.2206753974239444</v>
      </c>
    </row>
    <row r="96" spans="1:23" x14ac:dyDescent="0.35">
      <c r="A96" s="81" t="s">
        <v>227</v>
      </c>
      <c r="B96" s="81" t="s">
        <v>657</v>
      </c>
      <c r="C96" s="89">
        <v>1.9225945961039326</v>
      </c>
      <c r="D96" s="90">
        <v>1.8607829332780268</v>
      </c>
      <c r="E96" s="91">
        <v>2.36159954003623</v>
      </c>
      <c r="G96" s="103" t="s">
        <v>415</v>
      </c>
      <c r="H96" s="101">
        <v>96.778306193425522</v>
      </c>
      <c r="I96" s="93">
        <v>9</v>
      </c>
      <c r="J96" s="94">
        <v>7</v>
      </c>
      <c r="K96" s="81"/>
      <c r="L96" s="89">
        <v>1.6499020297865346</v>
      </c>
      <c r="M96" s="90">
        <v>3.1717904991600552</v>
      </c>
      <c r="N96" s="90">
        <v>2.6230860157719222</v>
      </c>
      <c r="O96" s="90">
        <v>2.2679999999999998</v>
      </c>
      <c r="P96" s="90">
        <v>4.9779999999999998</v>
      </c>
      <c r="Q96" s="90">
        <v>1.3169999999999999</v>
      </c>
      <c r="R96" s="90">
        <v>1.2190000000000001</v>
      </c>
      <c r="S96" s="90">
        <v>2.3199999999999998</v>
      </c>
      <c r="T96" s="90">
        <v>-0.79700000000000004</v>
      </c>
      <c r="U96" s="90">
        <v>5.1029999999999998</v>
      </c>
      <c r="V96" s="91">
        <v>1.5489999999999999</v>
      </c>
      <c r="W96" s="91">
        <f t="shared" si="1"/>
        <v>2.1111912366571284</v>
      </c>
    </row>
    <row r="97" spans="1:23" x14ac:dyDescent="0.35">
      <c r="A97" s="81" t="s">
        <v>569</v>
      </c>
      <c r="B97" s="81" t="s">
        <v>658</v>
      </c>
      <c r="C97" s="89">
        <v>0.34284241084634459</v>
      </c>
      <c r="D97" s="90">
        <v>1.7120658983774018</v>
      </c>
      <c r="E97" s="91">
        <v>2.5217225637742979</v>
      </c>
      <c r="G97" s="103" t="s">
        <v>567</v>
      </c>
      <c r="H97" s="101">
        <v>48.940679032016362</v>
      </c>
      <c r="I97" s="93">
        <v>139</v>
      </c>
      <c r="J97" s="94">
        <v>37</v>
      </c>
      <c r="K97" s="81"/>
      <c r="L97" s="89">
        <v>3.0111464075530683</v>
      </c>
      <c r="M97" s="90">
        <v>2.3003869344771051</v>
      </c>
      <c r="N97" s="90">
        <v>3.3392022440733014</v>
      </c>
      <c r="O97" s="90">
        <v>3.1320000000000001</v>
      </c>
      <c r="P97" s="90">
        <v>3.9929999999999999</v>
      </c>
      <c r="Q97" s="90">
        <v>3.9329999999999998</v>
      </c>
      <c r="R97" s="90">
        <v>3.194</v>
      </c>
      <c r="S97" s="90">
        <v>4.4109999999999996</v>
      </c>
      <c r="T97" s="90">
        <v>-7.1379999999999999</v>
      </c>
      <c r="U97" s="90">
        <v>5.74</v>
      </c>
      <c r="V97" s="91">
        <v>4.21</v>
      </c>
      <c r="W97" s="91">
        <f t="shared" si="1"/>
        <v>2.1168942310758498</v>
      </c>
    </row>
    <row r="98" spans="1:23" x14ac:dyDescent="0.35">
      <c r="A98" s="81" t="s">
        <v>569</v>
      </c>
      <c r="B98" s="81" t="s">
        <v>659</v>
      </c>
      <c r="C98" s="89">
        <v>1.446318587345985</v>
      </c>
      <c r="D98" s="90">
        <v>2.8212259957555386</v>
      </c>
      <c r="E98" s="91">
        <v>3.4233840163588436</v>
      </c>
      <c r="G98" s="103" t="s">
        <v>398</v>
      </c>
      <c r="H98" s="101">
        <v>72.879134631330203</v>
      </c>
      <c r="I98" s="93">
        <v>77</v>
      </c>
      <c r="J98" s="94">
        <v>8</v>
      </c>
      <c r="K98" s="81"/>
      <c r="L98" s="89">
        <v>1.8857995075156477</v>
      </c>
      <c r="M98" s="90">
        <v>5.1999999956050429</v>
      </c>
      <c r="N98" s="90">
        <v>5.7000000050572197</v>
      </c>
      <c r="O98" s="90">
        <v>2.95</v>
      </c>
      <c r="P98" s="90">
        <v>2.27</v>
      </c>
      <c r="Q98" s="90">
        <v>4</v>
      </c>
      <c r="R98" s="90">
        <v>4.3920000000000003</v>
      </c>
      <c r="S98" s="90">
        <v>5.4480000000000004</v>
      </c>
      <c r="T98" s="90">
        <v>0.91300000000000003</v>
      </c>
      <c r="U98" s="90">
        <v>4.5670000000000002</v>
      </c>
      <c r="V98" s="91">
        <v>0.8</v>
      </c>
      <c r="W98" s="91">
        <f t="shared" si="1"/>
        <v>3.1223050060571911</v>
      </c>
    </row>
    <row r="99" spans="1:23" x14ac:dyDescent="0.35">
      <c r="A99" s="81" t="s">
        <v>565</v>
      </c>
      <c r="B99" s="81" t="s">
        <v>660</v>
      </c>
      <c r="C99" s="89">
        <v>1.9142421361718398</v>
      </c>
      <c r="D99" s="90">
        <v>3.0011020126644361</v>
      </c>
      <c r="E99" s="91">
        <v>4.0922822936961589</v>
      </c>
      <c r="G99" s="103" t="s">
        <v>398</v>
      </c>
      <c r="H99" s="101">
        <v>76.114633172938127</v>
      </c>
      <c r="I99" s="93">
        <v>66</v>
      </c>
      <c r="J99" s="94">
        <v>9</v>
      </c>
      <c r="K99" s="81"/>
      <c r="L99" s="89">
        <v>5.4734541925385383</v>
      </c>
      <c r="M99" s="90">
        <v>4.6937225255789317</v>
      </c>
      <c r="N99" s="90">
        <v>6.0067219455820462</v>
      </c>
      <c r="O99" s="90">
        <v>5.0069999999999997</v>
      </c>
      <c r="P99" s="90">
        <v>4.45</v>
      </c>
      <c r="Q99" s="90">
        <v>5.8129999999999997</v>
      </c>
      <c r="R99" s="90">
        <v>4.843</v>
      </c>
      <c r="S99" s="90">
        <v>4.4130000000000003</v>
      </c>
      <c r="T99" s="90">
        <v>-5.5339999999999998</v>
      </c>
      <c r="U99" s="90">
        <v>3.0920000000000001</v>
      </c>
      <c r="V99" s="91">
        <v>8.6940000000000008</v>
      </c>
      <c r="W99" s="91">
        <f t="shared" si="1"/>
        <v>3.5466921531802975</v>
      </c>
    </row>
    <row r="100" spans="1:23" x14ac:dyDescent="0.35">
      <c r="A100" s="81" t="s">
        <v>569</v>
      </c>
      <c r="B100" s="81" t="s">
        <v>661</v>
      </c>
      <c r="C100" s="89">
        <v>1.8165870919236937</v>
      </c>
      <c r="D100" s="90">
        <v>2.9671130334121942</v>
      </c>
      <c r="E100" s="91">
        <v>4.1460050619633648</v>
      </c>
      <c r="G100" s="103" t="s">
        <v>567</v>
      </c>
      <c r="H100" s="101">
        <v>43.633236095724527</v>
      </c>
      <c r="I100" s="93">
        <v>146</v>
      </c>
      <c r="J100" s="94">
        <v>41</v>
      </c>
      <c r="K100" s="81"/>
      <c r="L100" s="89">
        <v>-0.83662749707312833</v>
      </c>
      <c r="M100" s="90">
        <v>2.3037669581925009</v>
      </c>
      <c r="N100" s="90">
        <v>7.1014223480749816</v>
      </c>
      <c r="O100" s="90">
        <v>6.1719999999999997</v>
      </c>
      <c r="P100" s="90">
        <v>5.8520000000000003</v>
      </c>
      <c r="Q100" s="90">
        <v>5.3049999999999997</v>
      </c>
      <c r="R100" s="90">
        <v>4.7460000000000004</v>
      </c>
      <c r="S100" s="90">
        <v>4.7649999999999997</v>
      </c>
      <c r="T100" s="90">
        <v>-1.244</v>
      </c>
      <c r="U100" s="90">
        <v>3.0550000000000002</v>
      </c>
      <c r="V100" s="91">
        <v>3.7040000000000002</v>
      </c>
      <c r="W100" s="91">
        <f t="shared" si="1"/>
        <v>3.5565590476877795</v>
      </c>
    </row>
    <row r="101" spans="1:23" x14ac:dyDescent="0.35">
      <c r="A101" s="81" t="s">
        <v>227</v>
      </c>
      <c r="B101" s="81" t="s">
        <v>662</v>
      </c>
      <c r="C101" s="89">
        <v>2.6124059576447589</v>
      </c>
      <c r="D101" s="90">
        <v>4.3931536419201889</v>
      </c>
      <c r="E101" s="91">
        <v>5.6722564665051767</v>
      </c>
      <c r="G101" s="103" t="s">
        <v>571</v>
      </c>
      <c r="H101" s="101">
        <v>86.894246999173433</v>
      </c>
      <c r="I101" s="93">
        <v>33</v>
      </c>
      <c r="J101" s="94">
        <v>22</v>
      </c>
      <c r="K101" s="81"/>
      <c r="L101" s="89">
        <v>4.1177072993516513</v>
      </c>
      <c r="M101" s="90">
        <v>5.4733556954527041</v>
      </c>
      <c r="N101" s="90">
        <v>7.6335381123007346</v>
      </c>
      <c r="O101" s="90">
        <v>9.6080000000000005</v>
      </c>
      <c r="P101" s="90">
        <v>3.3809999999999998</v>
      </c>
      <c r="Q101" s="90">
        <v>10.869</v>
      </c>
      <c r="R101" s="90">
        <v>6.1929999999999996</v>
      </c>
      <c r="S101" s="90">
        <v>7.0090000000000003</v>
      </c>
      <c r="T101" s="90">
        <v>-8.6120000000000001</v>
      </c>
      <c r="U101" s="90">
        <v>11.805999999999999</v>
      </c>
      <c r="V101" s="91">
        <v>6.851</v>
      </c>
      <c r="W101" s="91">
        <f t="shared" si="1"/>
        <v>5.0327050542126823</v>
      </c>
    </row>
    <row r="102" spans="1:23" x14ac:dyDescent="0.35">
      <c r="A102" s="81" t="s">
        <v>569</v>
      </c>
      <c r="B102" s="81" t="s">
        <v>663</v>
      </c>
      <c r="C102" s="89">
        <v>10.380851809157976</v>
      </c>
      <c r="D102" s="90">
        <v>8.3436024853472226</v>
      </c>
      <c r="E102" s="91">
        <v>5.9978829377542953</v>
      </c>
      <c r="G102" s="103" t="s">
        <v>422</v>
      </c>
      <c r="H102" s="101">
        <v>67.535233245846925</v>
      </c>
      <c r="I102" s="93">
        <v>103</v>
      </c>
      <c r="J102" s="94">
        <v>23</v>
      </c>
      <c r="K102" s="81"/>
      <c r="L102" s="89">
        <v>4.4700131823368974</v>
      </c>
      <c r="M102" s="90">
        <v>4.150813186271721</v>
      </c>
      <c r="N102" s="90">
        <v>4.2748232713028473</v>
      </c>
      <c r="O102" s="90">
        <v>5.3760000000000003</v>
      </c>
      <c r="P102" s="90">
        <v>1.2609999999999999</v>
      </c>
      <c r="Q102" s="90">
        <v>6.2709999999999999</v>
      </c>
      <c r="R102" s="90">
        <v>4.7729999999999997</v>
      </c>
      <c r="S102" s="90">
        <v>5.4290000000000003</v>
      </c>
      <c r="T102" s="90">
        <v>-0.93799999999999994</v>
      </c>
      <c r="U102" s="90">
        <v>2.4449999999999998</v>
      </c>
      <c r="V102" s="91">
        <v>4.96</v>
      </c>
      <c r="W102" s="91">
        <f t="shared" si="1"/>
        <v>7.1707427115507585</v>
      </c>
    </row>
    <row r="103" spans="1:23" x14ac:dyDescent="0.35">
      <c r="A103" s="81" t="s">
        <v>569</v>
      </c>
      <c r="B103" s="81" t="s">
        <v>664</v>
      </c>
      <c r="C103" s="89">
        <v>-1.3801179259189</v>
      </c>
      <c r="D103" s="90">
        <v>1.2027047615812192</v>
      </c>
      <c r="E103" s="91">
        <v>2.4249070445692134</v>
      </c>
      <c r="G103" s="103" t="s">
        <v>571</v>
      </c>
      <c r="H103" s="101">
        <v>86.159393229935986</v>
      </c>
      <c r="I103" s="93">
        <v>35</v>
      </c>
      <c r="J103" s="94">
        <v>1</v>
      </c>
      <c r="K103" s="81"/>
      <c r="L103" s="89">
        <v>3.4961183375797935</v>
      </c>
      <c r="M103" s="90">
        <v>3.3604061030308432</v>
      </c>
      <c r="N103" s="90">
        <v>3.7445757725785316</v>
      </c>
      <c r="O103" s="90">
        <v>3.6909999999999998</v>
      </c>
      <c r="P103" s="90">
        <v>3.8620000000000001</v>
      </c>
      <c r="Q103" s="90">
        <v>3.9380000000000002</v>
      </c>
      <c r="R103" s="90">
        <v>4.0069999999999997</v>
      </c>
      <c r="S103" s="90">
        <v>2.891</v>
      </c>
      <c r="T103" s="90">
        <v>-14.598000000000001</v>
      </c>
      <c r="U103" s="90">
        <v>3.4990000000000001</v>
      </c>
      <c r="V103" s="91">
        <v>8.3000000000000007</v>
      </c>
      <c r="W103" s="91">
        <f t="shared" si="1"/>
        <v>1.8138059030752163</v>
      </c>
    </row>
    <row r="104" spans="1:23" x14ac:dyDescent="0.35">
      <c r="A104" s="81" t="s">
        <v>573</v>
      </c>
      <c r="B104" s="81" t="s">
        <v>665</v>
      </c>
      <c r="C104" s="89">
        <v>-0.23058449292154837</v>
      </c>
      <c r="D104" s="90">
        <v>0.18053445950247937</v>
      </c>
      <c r="E104" s="91">
        <v>1.3300326593307599</v>
      </c>
      <c r="G104" s="103" t="s">
        <v>398</v>
      </c>
      <c r="H104" s="101">
        <v>70.665681404041052</v>
      </c>
      <c r="I104" s="93">
        <v>87</v>
      </c>
      <c r="J104" s="94">
        <v>11</v>
      </c>
      <c r="K104" s="81"/>
      <c r="L104" s="89">
        <v>3.6423226794134638</v>
      </c>
      <c r="M104" s="90">
        <v>1.3540919615167941</v>
      </c>
      <c r="N104" s="90">
        <v>2.8043401283809737</v>
      </c>
      <c r="O104" s="90">
        <v>3.2930000000000001</v>
      </c>
      <c r="P104" s="90">
        <v>2.6309999999999998</v>
      </c>
      <c r="Q104" s="90">
        <v>2.113</v>
      </c>
      <c r="R104" s="90">
        <v>2.1949999999999998</v>
      </c>
      <c r="S104" s="90">
        <v>-0.19900000000000001</v>
      </c>
      <c r="T104" s="90">
        <v>-7.9880000000000004</v>
      </c>
      <c r="U104" s="90">
        <v>4.7210000000000001</v>
      </c>
      <c r="V104" s="91">
        <v>3.0659999999999998</v>
      </c>
      <c r="W104" s="91">
        <f t="shared" si="1"/>
        <v>0.75528355941661962</v>
      </c>
    </row>
    <row r="105" spans="1:23" x14ac:dyDescent="0.35">
      <c r="A105" s="81" t="s">
        <v>227</v>
      </c>
      <c r="B105" s="81" t="s">
        <v>666</v>
      </c>
      <c r="C105" s="89">
        <v>-0.11659435485397163</v>
      </c>
      <c r="D105" s="90">
        <v>1.5069892590011902</v>
      </c>
      <c r="E105" s="91">
        <v>3.001683990106474</v>
      </c>
      <c r="G105" s="103" t="s">
        <v>571</v>
      </c>
      <c r="H105" s="101">
        <v>79.52270940766131</v>
      </c>
      <c r="I105" s="93">
        <v>52</v>
      </c>
      <c r="J105" s="94">
        <v>33</v>
      </c>
      <c r="K105" s="81"/>
      <c r="L105" s="89">
        <v>-0.58973412591981322</v>
      </c>
      <c r="M105" s="90">
        <v>9.0438654824314977</v>
      </c>
      <c r="N105" s="90">
        <v>4.9996256689180685</v>
      </c>
      <c r="O105" s="90">
        <v>-0.33800000000000002</v>
      </c>
      <c r="P105" s="90">
        <v>4.4089999999999998</v>
      </c>
      <c r="Q105" s="90">
        <v>4.2</v>
      </c>
      <c r="R105" s="90">
        <v>4.0999999999999996</v>
      </c>
      <c r="S105" s="90">
        <v>3.6</v>
      </c>
      <c r="T105" s="90">
        <v>-8.3000000000000007</v>
      </c>
      <c r="U105" s="90">
        <v>13.945</v>
      </c>
      <c r="V105" s="91">
        <v>-5.5759999999999996</v>
      </c>
      <c r="W105" s="91">
        <f t="shared" si="1"/>
        <v>2.2543366245538321</v>
      </c>
    </row>
    <row r="106" spans="1:23" x14ac:dyDescent="0.35">
      <c r="A106" s="81" t="s">
        <v>565</v>
      </c>
      <c r="B106" s="81" t="s">
        <v>667</v>
      </c>
      <c r="C106" s="89">
        <v>0.5652165458427838</v>
      </c>
      <c r="D106" s="90">
        <v>3.0624452280082259</v>
      </c>
      <c r="E106" s="91">
        <v>4.33160969781623</v>
      </c>
      <c r="G106" s="103" t="s">
        <v>571</v>
      </c>
      <c r="H106" s="101">
        <v>78.890549447741549</v>
      </c>
      <c r="I106" s="93">
        <v>56</v>
      </c>
      <c r="J106" s="94">
        <v>8</v>
      </c>
      <c r="K106" s="81"/>
      <c r="L106" s="89">
        <v>12.319819848483753</v>
      </c>
      <c r="M106" s="90">
        <v>11.648916189886327</v>
      </c>
      <c r="N106" s="90">
        <v>7.8852254815193961</v>
      </c>
      <c r="O106" s="90">
        <v>2.41</v>
      </c>
      <c r="P106" s="90">
        <v>1.49</v>
      </c>
      <c r="Q106" s="90">
        <v>5.6369999999999996</v>
      </c>
      <c r="R106" s="90">
        <v>7.7450000000000001</v>
      </c>
      <c r="S106" s="90">
        <v>5.6020000000000003</v>
      </c>
      <c r="T106" s="90">
        <v>-4.5579999999999998</v>
      </c>
      <c r="U106" s="90">
        <v>1.637</v>
      </c>
      <c r="V106" s="91">
        <v>4.8460000000000001</v>
      </c>
      <c r="W106" s="91">
        <f t="shared" si="1"/>
        <v>3.6970274629122279</v>
      </c>
    </row>
    <row r="107" spans="1:23" x14ac:dyDescent="0.35">
      <c r="A107" s="81" t="s">
        <v>569</v>
      </c>
      <c r="B107" s="81" t="s">
        <v>668</v>
      </c>
      <c r="C107" s="89">
        <v>2.7484311837486786</v>
      </c>
      <c r="D107" s="90">
        <v>3.8040844105169391</v>
      </c>
      <c r="E107" s="91">
        <v>4.437166103247403</v>
      </c>
      <c r="G107" s="103" t="s">
        <v>398</v>
      </c>
      <c r="H107" s="101">
        <v>76.129604349240608</v>
      </c>
      <c r="I107" s="93">
        <v>65</v>
      </c>
      <c r="J107" s="94">
        <v>4</v>
      </c>
      <c r="K107" s="81"/>
      <c r="L107" s="89">
        <v>1.2735415748875247</v>
      </c>
      <c r="M107" s="90">
        <v>4.8919045547561728</v>
      </c>
      <c r="N107" s="90">
        <v>5.1501913509219497</v>
      </c>
      <c r="O107" s="90">
        <v>4.3449999999999998</v>
      </c>
      <c r="P107" s="90">
        <v>0.52100000000000002</v>
      </c>
      <c r="Q107" s="90">
        <v>5.0579999999999998</v>
      </c>
      <c r="R107" s="90">
        <v>3.0659999999999998</v>
      </c>
      <c r="S107" s="90">
        <v>2.891</v>
      </c>
      <c r="T107" s="90">
        <v>-7.1870000000000003</v>
      </c>
      <c r="U107" s="90">
        <v>7.93</v>
      </c>
      <c r="V107" s="91">
        <v>1.135</v>
      </c>
      <c r="W107" s="91">
        <f t="shared" si="1"/>
        <v>4.1206252568821711</v>
      </c>
    </row>
    <row r="108" spans="1:23" x14ac:dyDescent="0.35">
      <c r="A108" s="81" t="s">
        <v>569</v>
      </c>
      <c r="B108" s="81" t="s">
        <v>669</v>
      </c>
      <c r="C108" s="89">
        <v>1.7345974801987962</v>
      </c>
      <c r="D108" s="90">
        <v>2.1902907307407293</v>
      </c>
      <c r="E108" s="91">
        <v>3.9391606371984134</v>
      </c>
      <c r="G108" s="103" t="s">
        <v>422</v>
      </c>
      <c r="H108" s="101">
        <v>66.134592515292979</v>
      </c>
      <c r="I108" s="93">
        <v>110</v>
      </c>
      <c r="J108" s="94">
        <v>25</v>
      </c>
      <c r="K108" s="81"/>
      <c r="L108" s="89">
        <v>7.2584392525877934</v>
      </c>
      <c r="M108" s="90">
        <v>6.9636071348707169</v>
      </c>
      <c r="N108" s="90">
        <v>7.3985127971386246</v>
      </c>
      <c r="O108" s="90">
        <v>6.7229999999999999</v>
      </c>
      <c r="P108" s="90">
        <v>3.8239999999999998</v>
      </c>
      <c r="Q108" s="90">
        <v>3.7410000000000001</v>
      </c>
      <c r="R108" s="90">
        <v>3.444</v>
      </c>
      <c r="S108" s="90">
        <v>2.3149999999999999</v>
      </c>
      <c r="T108" s="90">
        <v>-1.1990000000000001</v>
      </c>
      <c r="U108" s="90">
        <v>2.3279999999999998</v>
      </c>
      <c r="V108" s="91">
        <v>4.1479999999999997</v>
      </c>
      <c r="W108" s="91">
        <f t="shared" si="1"/>
        <v>3.0647256839695713</v>
      </c>
    </row>
    <row r="109" spans="1:23" x14ac:dyDescent="0.35">
      <c r="A109" s="81" t="s">
        <v>565</v>
      </c>
      <c r="B109" s="81" t="s">
        <v>670</v>
      </c>
      <c r="C109" s="89">
        <v>-4.7700497073887238</v>
      </c>
      <c r="D109" s="90">
        <v>-0.38368451177455132</v>
      </c>
      <c r="E109" s="91">
        <v>3.2897594501001937</v>
      </c>
      <c r="G109" s="103" t="s">
        <v>422</v>
      </c>
      <c r="H109" s="101">
        <v>65.606474585171327</v>
      </c>
      <c r="I109" s="93">
        <v>111</v>
      </c>
      <c r="J109" s="94">
        <v>22</v>
      </c>
      <c r="K109" s="81"/>
      <c r="L109" s="89">
        <v>6.4857540044064299</v>
      </c>
      <c r="M109" s="90">
        <v>7.8986694782381086</v>
      </c>
      <c r="N109" s="90">
        <v>8.1996637504261933</v>
      </c>
      <c r="O109" s="90">
        <v>7.4729999999999999</v>
      </c>
      <c r="P109" s="90">
        <v>6.4080000000000004</v>
      </c>
      <c r="Q109" s="90">
        <v>5.75</v>
      </c>
      <c r="R109" s="90">
        <v>6.4050000000000002</v>
      </c>
      <c r="S109" s="90">
        <v>6.75</v>
      </c>
      <c r="T109" s="90">
        <v>3.1890000000000001</v>
      </c>
      <c r="U109" s="90">
        <v>-17.937999999999999</v>
      </c>
      <c r="V109" s="91">
        <v>1.9710000000000001</v>
      </c>
      <c r="W109" s="91">
        <f t="shared" si="1"/>
        <v>1.4530374691628212</v>
      </c>
    </row>
    <row r="110" spans="1:23" x14ac:dyDescent="0.35">
      <c r="A110" s="81" t="s">
        <v>569</v>
      </c>
      <c r="B110" s="81" t="s">
        <v>671</v>
      </c>
      <c r="C110" s="89">
        <v>5.9000128031017951</v>
      </c>
      <c r="D110" s="90">
        <v>3.7913046668829331</v>
      </c>
      <c r="E110" s="91">
        <v>3.4125855123770643</v>
      </c>
      <c r="G110" s="103" t="s">
        <v>398</v>
      </c>
      <c r="H110" s="101">
        <v>72.202169838266542</v>
      </c>
      <c r="I110" s="93">
        <v>79</v>
      </c>
      <c r="J110" s="94">
        <v>10</v>
      </c>
      <c r="K110" s="81"/>
      <c r="L110" s="89">
        <v>5.061682013267613</v>
      </c>
      <c r="M110" s="90">
        <v>5.6147197006409399</v>
      </c>
      <c r="N110" s="90">
        <v>5.7577888470497651</v>
      </c>
      <c r="O110" s="90">
        <v>4.2640000000000002</v>
      </c>
      <c r="P110" s="90">
        <v>3.4000000000000002E-2</v>
      </c>
      <c r="Q110" s="90">
        <v>-1.0269999999999999</v>
      </c>
      <c r="R110" s="90">
        <v>1.06</v>
      </c>
      <c r="S110" s="90">
        <v>-0.83899999999999997</v>
      </c>
      <c r="T110" s="90">
        <v>-8.0359999999999996</v>
      </c>
      <c r="U110" s="90">
        <v>2.6560000000000001</v>
      </c>
      <c r="V110" s="91">
        <v>3.8420000000000001</v>
      </c>
      <c r="W110" s="91">
        <f t="shared" si="1"/>
        <v>3.6019450896299987</v>
      </c>
    </row>
    <row r="111" spans="1:23" x14ac:dyDescent="0.35">
      <c r="A111" s="81" t="s">
        <v>565</v>
      </c>
      <c r="B111" s="81" t="s">
        <v>672</v>
      </c>
      <c r="C111" s="89">
        <v>2.509308980392877</v>
      </c>
      <c r="D111" s="90">
        <v>4.3365366697670549</v>
      </c>
      <c r="E111" s="91">
        <v>4.4414058742941132</v>
      </c>
      <c r="G111" s="103" t="s">
        <v>567</v>
      </c>
      <c r="H111" s="101">
        <v>47.880656607147813</v>
      </c>
      <c r="I111" s="93">
        <v>141</v>
      </c>
      <c r="J111" s="94">
        <v>29</v>
      </c>
      <c r="K111" s="81"/>
      <c r="L111" s="89">
        <v>4.6701221485020756</v>
      </c>
      <c r="M111" s="90">
        <v>3.525153173819251</v>
      </c>
      <c r="N111" s="90">
        <v>6.0114828408077567</v>
      </c>
      <c r="O111" s="90">
        <v>3.976</v>
      </c>
      <c r="P111" s="90">
        <v>0.433</v>
      </c>
      <c r="Q111" s="90">
        <v>8.9770000000000003</v>
      </c>
      <c r="R111" s="90">
        <v>7.6219999999999999</v>
      </c>
      <c r="S111" s="90">
        <v>6.657</v>
      </c>
      <c r="T111" s="90">
        <v>-2.37</v>
      </c>
      <c r="U111" s="90">
        <v>4.2469999999999999</v>
      </c>
      <c r="V111" s="91">
        <v>5.8380000000000001</v>
      </c>
      <c r="W111" s="91">
        <f t="shared" si="1"/>
        <v>4.3889712720305845</v>
      </c>
    </row>
    <row r="112" spans="1:23" x14ac:dyDescent="0.35">
      <c r="A112" s="81" t="s">
        <v>227</v>
      </c>
      <c r="B112" s="81" t="s">
        <v>673</v>
      </c>
      <c r="C112" s="89">
        <v>1.7497887812736312</v>
      </c>
      <c r="D112" s="90">
        <v>1.8172353151896914</v>
      </c>
      <c r="E112" s="91">
        <v>1.7415218308118652</v>
      </c>
      <c r="G112" s="103" t="s">
        <v>415</v>
      </c>
      <c r="H112" s="101">
        <v>97.320188246923195</v>
      </c>
      <c r="I112" s="93">
        <v>6</v>
      </c>
      <c r="J112" s="94">
        <v>4</v>
      </c>
      <c r="K112" s="81"/>
      <c r="L112" s="89">
        <v>-1.0303540066027346</v>
      </c>
      <c r="M112" s="90">
        <v>-0.13017522863902575</v>
      </c>
      <c r="N112" s="90">
        <v>1.4233954098743582</v>
      </c>
      <c r="O112" s="90">
        <v>1.958</v>
      </c>
      <c r="P112" s="90">
        <v>2.1920000000000002</v>
      </c>
      <c r="Q112" s="90">
        <v>2.911</v>
      </c>
      <c r="R112" s="90">
        <v>2.3610000000000002</v>
      </c>
      <c r="S112" s="90">
        <v>1.956</v>
      </c>
      <c r="T112" s="90">
        <v>-3.9129999999999998</v>
      </c>
      <c r="U112" s="90">
        <v>4.883</v>
      </c>
      <c r="V112" s="91">
        <v>4.5179999999999998</v>
      </c>
      <c r="W112" s="91">
        <f t="shared" si="1"/>
        <v>1.7793785730007783</v>
      </c>
    </row>
    <row r="113" spans="1:23" x14ac:dyDescent="0.35">
      <c r="A113" s="81" t="s">
        <v>565</v>
      </c>
      <c r="B113" s="81" t="s">
        <v>674</v>
      </c>
      <c r="C113" s="89">
        <v>1.6101427265492019</v>
      </c>
      <c r="D113" s="90">
        <v>2.5126996765094445</v>
      </c>
      <c r="E113" s="91">
        <v>2.926527233523446</v>
      </c>
      <c r="G113" s="103" t="s">
        <v>415</v>
      </c>
      <c r="H113" s="101">
        <v>98.673978139326721</v>
      </c>
      <c r="I113" s="93">
        <v>1</v>
      </c>
      <c r="J113" s="94">
        <v>1</v>
      </c>
      <c r="K113" s="81"/>
      <c r="L113" s="89">
        <v>2.2395634845413639</v>
      </c>
      <c r="M113" s="90">
        <v>2.6288005896782796</v>
      </c>
      <c r="N113" s="90">
        <v>3.6255957672075687</v>
      </c>
      <c r="O113" s="90">
        <v>3.6909999999999998</v>
      </c>
      <c r="P113" s="90">
        <v>3.8839999999999999</v>
      </c>
      <c r="Q113" s="90">
        <v>3.46</v>
      </c>
      <c r="R113" s="90">
        <v>3.524</v>
      </c>
      <c r="S113" s="90">
        <v>3.0750000000000002</v>
      </c>
      <c r="T113" s="90">
        <v>-1.4770000000000001</v>
      </c>
      <c r="U113" s="90">
        <v>6.0880000000000001</v>
      </c>
      <c r="V113" s="91">
        <v>2.4350000000000001</v>
      </c>
      <c r="W113" s="91">
        <f t="shared" si="1"/>
        <v>2.7196134550164452</v>
      </c>
    </row>
    <row r="114" spans="1:23" x14ac:dyDescent="0.35">
      <c r="A114" s="81" t="s">
        <v>573</v>
      </c>
      <c r="B114" s="81" t="s">
        <v>675</v>
      </c>
      <c r="C114" s="89">
        <v>4.0750139508862748</v>
      </c>
      <c r="D114" s="90">
        <v>0.946067021483743</v>
      </c>
      <c r="E114" s="91">
        <v>2.8253976939387693</v>
      </c>
      <c r="G114" s="103" t="s">
        <v>422</v>
      </c>
      <c r="H114" s="101">
        <v>64.641996561099731</v>
      </c>
      <c r="I114" s="93">
        <v>115</v>
      </c>
      <c r="J114" s="94">
        <v>15</v>
      </c>
      <c r="K114" s="81"/>
      <c r="L114" s="89">
        <v>6.4967472990321502</v>
      </c>
      <c r="M114" s="90">
        <v>4.9267922688301464</v>
      </c>
      <c r="N114" s="90">
        <v>4.7858161704434874</v>
      </c>
      <c r="O114" s="90">
        <v>4.7919999999999998</v>
      </c>
      <c r="P114" s="90">
        <v>4.5629999999999997</v>
      </c>
      <c r="Q114" s="90">
        <v>4.6310000000000002</v>
      </c>
      <c r="R114" s="90">
        <v>-3.363</v>
      </c>
      <c r="S114" s="90">
        <v>-3.78</v>
      </c>
      <c r="T114" s="90">
        <v>-1.7889999999999999</v>
      </c>
      <c r="U114" s="90">
        <v>10.345000000000001</v>
      </c>
      <c r="V114" s="91">
        <v>4.024</v>
      </c>
      <c r="W114" s="91">
        <f t="shared" si="1"/>
        <v>1.8857323577112561</v>
      </c>
    </row>
    <row r="115" spans="1:23" x14ac:dyDescent="0.35">
      <c r="A115" s="81" t="s">
        <v>569</v>
      </c>
      <c r="B115" s="81" t="s">
        <v>676</v>
      </c>
      <c r="C115" s="89">
        <v>5.2681473931170952</v>
      </c>
      <c r="D115" s="90">
        <v>5.8171216819006277</v>
      </c>
      <c r="E115" s="91">
        <v>5.6255556295670361</v>
      </c>
      <c r="G115" s="103" t="s">
        <v>422</v>
      </c>
      <c r="H115" s="101">
        <v>68.812447501404833</v>
      </c>
      <c r="I115" s="93">
        <v>98</v>
      </c>
      <c r="J115" s="94">
        <v>19</v>
      </c>
      <c r="K115" s="81"/>
      <c r="L115" s="89">
        <v>10.599907397446637</v>
      </c>
      <c r="M115" s="90">
        <v>5.5657295960540178</v>
      </c>
      <c r="N115" s="90">
        <v>6.5644262265084619</v>
      </c>
      <c r="O115" s="90">
        <v>4.3929999999999998</v>
      </c>
      <c r="P115" s="90">
        <v>5.7409999999999997</v>
      </c>
      <c r="Q115" s="90">
        <v>5.0010000000000003</v>
      </c>
      <c r="R115" s="90">
        <v>7.0069999999999997</v>
      </c>
      <c r="S115" s="90">
        <v>6.1429999999999998</v>
      </c>
      <c r="T115" s="90">
        <v>3.55</v>
      </c>
      <c r="U115" s="90">
        <v>1.399</v>
      </c>
      <c r="V115" s="91">
        <v>11.111000000000001</v>
      </c>
      <c r="W115" s="91">
        <f t="shared" si="1"/>
        <v>5.7213386557338319</v>
      </c>
    </row>
    <row r="116" spans="1:23" x14ac:dyDescent="0.35">
      <c r="A116" s="81" t="s">
        <v>569</v>
      </c>
      <c r="B116" s="81" t="s">
        <v>677</v>
      </c>
      <c r="C116" s="89">
        <v>1.6711254984559387</v>
      </c>
      <c r="D116" s="90">
        <v>1.8286894595159531</v>
      </c>
      <c r="E116" s="91">
        <v>2.3705025942777347</v>
      </c>
      <c r="G116" s="103" t="s">
        <v>567</v>
      </c>
      <c r="H116" s="101">
        <v>54.117482987279544</v>
      </c>
      <c r="I116" s="93">
        <v>136</v>
      </c>
      <c r="J116" s="94">
        <v>35</v>
      </c>
      <c r="K116" s="81"/>
      <c r="L116" s="89">
        <v>4.2300611751055515</v>
      </c>
      <c r="M116" s="90">
        <v>6.6713353928837664</v>
      </c>
      <c r="N116" s="90">
        <v>6.3097186557238203</v>
      </c>
      <c r="O116" s="90">
        <v>2.653</v>
      </c>
      <c r="P116" s="90">
        <v>-1.617</v>
      </c>
      <c r="Q116" s="90">
        <v>0.80600000000000005</v>
      </c>
      <c r="R116" s="90">
        <v>1.923</v>
      </c>
      <c r="S116" s="90">
        <v>2.2080000000000002</v>
      </c>
      <c r="T116" s="90">
        <v>-1.794</v>
      </c>
      <c r="U116" s="90">
        <v>3.6469999999999998</v>
      </c>
      <c r="V116" s="91">
        <v>3.2519999999999998</v>
      </c>
      <c r="W116" s="91">
        <f t="shared" si="1"/>
        <v>2.0995960268968439</v>
      </c>
    </row>
    <row r="117" spans="1:23" x14ac:dyDescent="0.35">
      <c r="A117" s="81" t="s">
        <v>227</v>
      </c>
      <c r="B117" s="81" t="s">
        <v>678</v>
      </c>
      <c r="C117" s="89">
        <v>-7.5001429328758196E-2</v>
      </c>
      <c r="D117" s="90">
        <v>1.3021650287798892</v>
      </c>
      <c r="E117" s="91">
        <v>2.0797979747829265</v>
      </c>
      <c r="G117" s="103" t="s">
        <v>571</v>
      </c>
      <c r="H117" s="101">
        <v>78.35616814320835</v>
      </c>
      <c r="I117" s="93">
        <v>58</v>
      </c>
      <c r="J117" s="94">
        <v>35</v>
      </c>
      <c r="K117" s="81"/>
      <c r="L117" s="89">
        <v>-0.45618322360793873</v>
      </c>
      <c r="M117" s="90">
        <v>2.9252576645048585</v>
      </c>
      <c r="N117" s="90">
        <v>3.6291235127637393</v>
      </c>
      <c r="O117" s="90">
        <v>3.8559999999999999</v>
      </c>
      <c r="P117" s="90">
        <v>2.8479999999999999</v>
      </c>
      <c r="Q117" s="90">
        <v>1.0820000000000001</v>
      </c>
      <c r="R117" s="90">
        <v>2.8809999999999998</v>
      </c>
      <c r="S117" s="90">
        <v>3.91</v>
      </c>
      <c r="T117" s="90">
        <v>-4.6879999999999997</v>
      </c>
      <c r="U117" s="90">
        <v>3.931</v>
      </c>
      <c r="V117" s="91">
        <v>2.2170000000000001</v>
      </c>
      <c r="W117" s="91">
        <f t="shared" si="1"/>
        <v>1.6909815017814078</v>
      </c>
    </row>
    <row r="118" spans="1:23" x14ac:dyDescent="0.35">
      <c r="A118" s="81" t="s">
        <v>227</v>
      </c>
      <c r="B118" s="81" t="s">
        <v>679</v>
      </c>
      <c r="C118" s="89">
        <v>2.1276786032802697</v>
      </c>
      <c r="D118" s="90">
        <v>2.0038500872442633</v>
      </c>
      <c r="E118" s="91">
        <v>1.8376731142071945</v>
      </c>
      <c r="G118" s="103" t="s">
        <v>415</v>
      </c>
      <c r="H118" s="101">
        <v>96.569623372049904</v>
      </c>
      <c r="I118" s="93">
        <v>10</v>
      </c>
      <c r="J118" s="94">
        <v>8</v>
      </c>
      <c r="K118" s="81"/>
      <c r="L118" s="89">
        <v>2.7030738548426481</v>
      </c>
      <c r="M118" s="90">
        <v>1.0340729135363009</v>
      </c>
      <c r="N118" s="90">
        <v>1.9695443007938924</v>
      </c>
      <c r="O118" s="90">
        <v>1.857</v>
      </c>
      <c r="P118" s="90">
        <v>1.165</v>
      </c>
      <c r="Q118" s="90">
        <v>2.464</v>
      </c>
      <c r="R118" s="90">
        <v>0.82899999999999996</v>
      </c>
      <c r="S118" s="90">
        <v>1.1240000000000001</v>
      </c>
      <c r="T118" s="90">
        <v>-1.278</v>
      </c>
      <c r="U118" s="90">
        <v>3.8980000000000001</v>
      </c>
      <c r="V118" s="91">
        <v>3.2810000000000001</v>
      </c>
      <c r="W118" s="91">
        <f t="shared" si="1"/>
        <v>1.9207616007257289</v>
      </c>
    </row>
    <row r="119" spans="1:23" x14ac:dyDescent="0.35">
      <c r="A119" s="81" t="s">
        <v>580</v>
      </c>
      <c r="B119" s="81" t="s">
        <v>680</v>
      </c>
      <c r="C119" s="89">
        <v>1.2841572452507943</v>
      </c>
      <c r="D119" s="90">
        <v>3.5695383112497314</v>
      </c>
      <c r="E119" s="91">
        <v>3.4884405409466579</v>
      </c>
      <c r="G119" s="103" t="s">
        <v>571</v>
      </c>
      <c r="H119" s="101">
        <v>83.929015692724803</v>
      </c>
      <c r="I119" s="93">
        <v>38</v>
      </c>
      <c r="J119" s="94">
        <v>3</v>
      </c>
      <c r="K119" s="81"/>
      <c r="L119" s="89">
        <v>9.3317368265983944</v>
      </c>
      <c r="M119" s="90">
        <v>4.373453291056836</v>
      </c>
      <c r="N119" s="90">
        <v>2.7522002596044053</v>
      </c>
      <c r="O119" s="90">
        <v>5.0170000000000003</v>
      </c>
      <c r="P119" s="90">
        <v>5.0460000000000003</v>
      </c>
      <c r="Q119" s="90">
        <v>0.30399999999999999</v>
      </c>
      <c r="R119" s="90">
        <v>1.2869999999999999</v>
      </c>
      <c r="S119" s="90">
        <v>-1.1299999999999999</v>
      </c>
      <c r="T119" s="90">
        <v>-3.2</v>
      </c>
      <c r="U119" s="90">
        <v>2.9020000000000001</v>
      </c>
      <c r="V119" s="91">
        <v>4.3109999999999999</v>
      </c>
      <c r="W119" s="91">
        <f t="shared" si="1"/>
        <v>3.5289894260981947</v>
      </c>
    </row>
    <row r="120" spans="1:23" x14ac:dyDescent="0.35">
      <c r="A120" s="81" t="s">
        <v>565</v>
      </c>
      <c r="B120" s="81" t="s">
        <v>681</v>
      </c>
      <c r="C120" s="89">
        <v>-2.8988961286927073</v>
      </c>
      <c r="D120" s="90">
        <v>0.9425802646799708</v>
      </c>
      <c r="E120" s="91">
        <v>2.8446311877570185</v>
      </c>
      <c r="G120" s="103" t="s">
        <v>398</v>
      </c>
      <c r="H120" s="101">
        <v>69.599146780385112</v>
      </c>
      <c r="I120" s="93">
        <v>90</v>
      </c>
      <c r="J120" s="94">
        <v>17</v>
      </c>
      <c r="K120" s="81"/>
      <c r="L120" s="89">
        <v>2.8731257161786412</v>
      </c>
      <c r="M120" s="90">
        <v>4.4745926000517917</v>
      </c>
      <c r="N120" s="90">
        <v>5.7909341243793389</v>
      </c>
      <c r="O120" s="90">
        <v>4.0579999999999998</v>
      </c>
      <c r="P120" s="90">
        <v>4.5629999999999997</v>
      </c>
      <c r="Q120" s="90">
        <v>4.609</v>
      </c>
      <c r="R120" s="90">
        <v>6.0960000000000001</v>
      </c>
      <c r="S120" s="90">
        <v>3.12</v>
      </c>
      <c r="T120" s="90">
        <v>-0.94299999999999995</v>
      </c>
      <c r="U120" s="90">
        <v>5.742</v>
      </c>
      <c r="V120" s="91">
        <v>5.9669999999999996</v>
      </c>
      <c r="W120" s="91">
        <f t="shared" si="1"/>
        <v>1.8936057262184947</v>
      </c>
    </row>
    <row r="121" spans="1:23" x14ac:dyDescent="0.35">
      <c r="A121" s="81" t="s">
        <v>573</v>
      </c>
      <c r="B121" s="81" t="s">
        <v>682</v>
      </c>
      <c r="C121" s="89">
        <v>1.349334889011633</v>
      </c>
      <c r="D121" s="90">
        <v>2.1324418529624634</v>
      </c>
      <c r="E121" s="91">
        <v>3.875737232948695</v>
      </c>
      <c r="G121" s="103" t="s">
        <v>422</v>
      </c>
      <c r="H121" s="101">
        <v>61.957917699729606</v>
      </c>
      <c r="I121" s="93">
        <v>122</v>
      </c>
      <c r="J121" s="94">
        <v>19</v>
      </c>
      <c r="K121" s="81"/>
      <c r="L121" s="89">
        <v>9.7789039456094482</v>
      </c>
      <c r="M121" s="90">
        <v>6.9032725658169563</v>
      </c>
      <c r="N121" s="90">
        <v>5.0667432180278205</v>
      </c>
      <c r="O121" s="90">
        <v>5.7329999999999997</v>
      </c>
      <c r="P121" s="90">
        <v>4.9530000000000003</v>
      </c>
      <c r="Q121" s="90">
        <v>5.5910000000000002</v>
      </c>
      <c r="R121" s="90">
        <v>3.6850000000000001</v>
      </c>
      <c r="S121" s="90">
        <v>2.98</v>
      </c>
      <c r="T121" s="90">
        <v>-17.945</v>
      </c>
      <c r="U121" s="90">
        <v>15.336</v>
      </c>
      <c r="V121" s="91">
        <v>10</v>
      </c>
      <c r="W121" s="91">
        <f t="shared" si="1"/>
        <v>3.0040895429555792</v>
      </c>
    </row>
    <row r="122" spans="1:23" x14ac:dyDescent="0.35">
      <c r="A122" s="81" t="s">
        <v>565</v>
      </c>
      <c r="B122" s="81" t="s">
        <v>683</v>
      </c>
      <c r="C122" s="89">
        <v>0.50696592980361554</v>
      </c>
      <c r="D122" s="90">
        <v>1.127965129390196</v>
      </c>
      <c r="E122" s="91">
        <v>3.7955054005958777</v>
      </c>
      <c r="G122" s="103" t="s">
        <v>567</v>
      </c>
      <c r="H122" s="101">
        <v>55.401075093758223</v>
      </c>
      <c r="I122" s="93">
        <v>131</v>
      </c>
      <c r="J122" s="94">
        <v>27</v>
      </c>
      <c r="K122" s="81"/>
      <c r="L122" s="89">
        <v>4.6571195968623904</v>
      </c>
      <c r="M122" s="90">
        <v>3.8249463280067437</v>
      </c>
      <c r="N122" s="90">
        <v>13.543770621654581</v>
      </c>
      <c r="O122" s="90">
        <v>6.5759999999999996</v>
      </c>
      <c r="P122" s="90">
        <v>5.492</v>
      </c>
      <c r="Q122" s="90">
        <v>3.5350000000000001</v>
      </c>
      <c r="R122" s="90">
        <v>-0.27900000000000003</v>
      </c>
      <c r="S122" s="90">
        <v>4.4800000000000004</v>
      </c>
      <c r="T122" s="90">
        <v>-3.1669999999999998</v>
      </c>
      <c r="U122" s="90">
        <v>7.0000000000000007E-2</v>
      </c>
      <c r="V122" s="91">
        <v>4.5359999999999996</v>
      </c>
      <c r="W122" s="91">
        <f t="shared" si="1"/>
        <v>2.4617352649930369</v>
      </c>
    </row>
    <row r="123" spans="1:23" x14ac:dyDescent="0.35">
      <c r="A123" s="81" t="s">
        <v>573</v>
      </c>
      <c r="B123" s="81" t="s">
        <v>684</v>
      </c>
      <c r="C123" s="89">
        <v>1.1388134852348575</v>
      </c>
      <c r="D123" s="90">
        <v>1.2311721995777125</v>
      </c>
      <c r="E123" s="91">
        <v>3.152890592174673</v>
      </c>
      <c r="G123" s="103" t="s">
        <v>422</v>
      </c>
      <c r="H123" s="101">
        <v>63.814130726333779</v>
      </c>
      <c r="I123" s="93">
        <v>118</v>
      </c>
      <c r="J123" s="94">
        <v>17</v>
      </c>
      <c r="K123" s="81"/>
      <c r="L123" s="89">
        <v>-0.53851294250305837</v>
      </c>
      <c r="M123" s="90">
        <v>8.4174952847030529</v>
      </c>
      <c r="N123" s="90">
        <v>4.8608903705532152</v>
      </c>
      <c r="O123" s="90">
        <v>2.9569999999999999</v>
      </c>
      <c r="P123" s="90">
        <v>4.2679999999999998</v>
      </c>
      <c r="Q123" s="90">
        <v>4.8099999999999996</v>
      </c>
      <c r="R123" s="90">
        <v>3.2040000000000002</v>
      </c>
      <c r="S123" s="90">
        <v>-0.40200000000000002</v>
      </c>
      <c r="T123" s="90">
        <v>-0.82</v>
      </c>
      <c r="U123" s="90">
        <v>4.0170000000000003</v>
      </c>
      <c r="V123" s="91">
        <v>0.2</v>
      </c>
      <c r="W123" s="91">
        <f t="shared" si="1"/>
        <v>2.1920313958761928</v>
      </c>
    </row>
    <row r="124" spans="1:23" x14ac:dyDescent="0.35">
      <c r="A124" s="81" t="s">
        <v>573</v>
      </c>
      <c r="B124" s="81" t="s">
        <v>685</v>
      </c>
      <c r="C124" s="89">
        <v>1.205712245399182</v>
      </c>
      <c r="D124" s="90">
        <v>1.959755918859285</v>
      </c>
      <c r="E124" s="91">
        <v>2.7687545080362863</v>
      </c>
      <c r="G124" s="103" t="s">
        <v>422</v>
      </c>
      <c r="H124" s="101">
        <v>62.494421901152251</v>
      </c>
      <c r="I124" s="93">
        <v>121</v>
      </c>
      <c r="J124" s="94">
        <v>18</v>
      </c>
      <c r="K124" s="81"/>
      <c r="L124" s="89">
        <v>6.1397247056043467</v>
      </c>
      <c r="M124" s="90">
        <v>5.8525182108492944</v>
      </c>
      <c r="N124" s="90">
        <v>2.3821573718054045</v>
      </c>
      <c r="O124" s="90">
        <v>3.2519999999999998</v>
      </c>
      <c r="P124" s="90">
        <v>3.9529999999999998</v>
      </c>
      <c r="Q124" s="90">
        <v>2.5190000000000001</v>
      </c>
      <c r="R124" s="90">
        <v>3.9769999999999999</v>
      </c>
      <c r="S124" s="90">
        <v>2.2330000000000001</v>
      </c>
      <c r="T124" s="90">
        <v>-11.013999999999999</v>
      </c>
      <c r="U124" s="90">
        <v>13.551</v>
      </c>
      <c r="V124" s="91">
        <v>2.7010000000000001</v>
      </c>
      <c r="W124" s="91">
        <f t="shared" si="1"/>
        <v>2.3642552134477857</v>
      </c>
    </row>
    <row r="125" spans="1:23" x14ac:dyDescent="0.35">
      <c r="A125" s="81" t="s">
        <v>565</v>
      </c>
      <c r="B125" s="81" t="s">
        <v>686</v>
      </c>
      <c r="C125" s="89">
        <v>0.96069279950485864</v>
      </c>
      <c r="D125" s="90">
        <v>3.0362820733681239</v>
      </c>
      <c r="E125" s="91">
        <v>4.8545875775876546</v>
      </c>
      <c r="G125" s="103" t="s">
        <v>398</v>
      </c>
      <c r="H125" s="101">
        <v>74.806556985260698</v>
      </c>
      <c r="I125" s="93">
        <v>69</v>
      </c>
      <c r="J125" s="94">
        <v>10</v>
      </c>
      <c r="K125" s="81"/>
      <c r="L125" s="89">
        <v>6.8969517105747951</v>
      </c>
      <c r="M125" s="90">
        <v>6.7505313017782687</v>
      </c>
      <c r="N125" s="90">
        <v>6.3479874825028357</v>
      </c>
      <c r="O125" s="90">
        <v>6.3479999999999999</v>
      </c>
      <c r="P125" s="90">
        <v>7.149</v>
      </c>
      <c r="Q125" s="90">
        <v>6.931</v>
      </c>
      <c r="R125" s="90">
        <v>6.3410000000000002</v>
      </c>
      <c r="S125" s="90">
        <v>6.1189999999999998</v>
      </c>
      <c r="T125" s="90">
        <v>-9.5180000000000007</v>
      </c>
      <c r="U125" s="90">
        <v>5.7030000000000003</v>
      </c>
      <c r="V125" s="91">
        <v>7.5990000000000002</v>
      </c>
      <c r="W125" s="91">
        <f t="shared" si="1"/>
        <v>3.9454348254778893</v>
      </c>
    </row>
    <row r="126" spans="1:23" x14ac:dyDescent="0.35">
      <c r="A126" s="81" t="s">
        <v>227</v>
      </c>
      <c r="B126" s="81" t="s">
        <v>687</v>
      </c>
      <c r="C126" s="89">
        <v>3.162865203018228</v>
      </c>
      <c r="D126" s="90">
        <v>3.8363783613865499</v>
      </c>
      <c r="E126" s="91">
        <v>3.5697088266716248</v>
      </c>
      <c r="G126" s="103" t="s">
        <v>571</v>
      </c>
      <c r="H126" s="101">
        <v>85.420553644487129</v>
      </c>
      <c r="I126" s="93">
        <v>36</v>
      </c>
      <c r="J126" s="94">
        <v>23</v>
      </c>
      <c r="K126" s="81"/>
      <c r="L126" s="89">
        <v>1.6079066445646626</v>
      </c>
      <c r="M126" s="90">
        <v>1.3918923212492256</v>
      </c>
      <c r="N126" s="90">
        <v>3.3184475370007722</v>
      </c>
      <c r="O126" s="90">
        <v>4.383</v>
      </c>
      <c r="P126" s="90">
        <v>2.9540000000000002</v>
      </c>
      <c r="Q126" s="90">
        <v>5.14</v>
      </c>
      <c r="R126" s="90">
        <v>5.9450000000000003</v>
      </c>
      <c r="S126" s="90">
        <v>4.45</v>
      </c>
      <c r="T126" s="90">
        <v>-2.02</v>
      </c>
      <c r="U126" s="90">
        <v>6.8479999999999999</v>
      </c>
      <c r="V126" s="91">
        <v>4.8739999999999997</v>
      </c>
      <c r="W126" s="91">
        <f t="shared" si="1"/>
        <v>3.7030435940290873</v>
      </c>
    </row>
    <row r="127" spans="1:23" x14ac:dyDescent="0.35">
      <c r="A127" s="81" t="s">
        <v>227</v>
      </c>
      <c r="B127" s="81" t="s">
        <v>688</v>
      </c>
      <c r="C127" s="89">
        <v>1.0661443105445922</v>
      </c>
      <c r="D127" s="90">
        <v>1.7172276328006886</v>
      </c>
      <c r="E127" s="91">
        <v>1.5719478894561822</v>
      </c>
      <c r="G127" s="103" t="s">
        <v>415</v>
      </c>
      <c r="H127" s="101">
        <v>91.026987497789847</v>
      </c>
      <c r="I127" s="93">
        <v>25</v>
      </c>
      <c r="J127" s="94">
        <v>16</v>
      </c>
      <c r="K127" s="81"/>
      <c r="L127" s="89">
        <v>-4.0572943594235547</v>
      </c>
      <c r="M127" s="90">
        <v>-0.92264378725787455</v>
      </c>
      <c r="N127" s="90">
        <v>0.79219053837650444</v>
      </c>
      <c r="O127" s="90">
        <v>1.792</v>
      </c>
      <c r="P127" s="90">
        <v>2.0190000000000001</v>
      </c>
      <c r="Q127" s="90">
        <v>3.5059999999999998</v>
      </c>
      <c r="R127" s="90">
        <v>2.8490000000000002</v>
      </c>
      <c r="S127" s="90">
        <v>2.6829999999999998</v>
      </c>
      <c r="T127" s="90">
        <v>-8.3010000000000002</v>
      </c>
      <c r="U127" s="90">
        <v>5.5030000000000001</v>
      </c>
      <c r="V127" s="91">
        <v>6.726</v>
      </c>
      <c r="W127" s="91">
        <f t="shared" si="1"/>
        <v>1.6445877611284354</v>
      </c>
    </row>
    <row r="128" spans="1:23" x14ac:dyDescent="0.35">
      <c r="A128" s="81" t="s">
        <v>580</v>
      </c>
      <c r="B128" s="81" t="s">
        <v>689</v>
      </c>
      <c r="C128" s="89">
        <v>0.67674745765720079</v>
      </c>
      <c r="D128" s="90">
        <v>0.80775193577011795</v>
      </c>
      <c r="E128" s="91">
        <v>2.0997114519337501</v>
      </c>
      <c r="G128" s="103" t="s">
        <v>571</v>
      </c>
      <c r="H128" s="101">
        <v>78.783055534449289</v>
      </c>
      <c r="I128" s="93">
        <v>57</v>
      </c>
      <c r="J128" s="94">
        <v>6</v>
      </c>
      <c r="K128" s="81"/>
      <c r="L128" s="89">
        <v>4.730011843607838</v>
      </c>
      <c r="M128" s="90">
        <v>5.5560406430660754</v>
      </c>
      <c r="N128" s="90">
        <v>5.3343232919645871</v>
      </c>
      <c r="O128" s="90">
        <v>4.7530000000000001</v>
      </c>
      <c r="P128" s="90">
        <v>3.0640000000000001</v>
      </c>
      <c r="Q128" s="90">
        <v>-1.498</v>
      </c>
      <c r="R128" s="90">
        <v>1.2350000000000001</v>
      </c>
      <c r="S128" s="90">
        <v>0.68799999999999994</v>
      </c>
      <c r="T128" s="90">
        <v>-3.5579999999999998</v>
      </c>
      <c r="U128" s="90">
        <v>1.589</v>
      </c>
      <c r="V128" s="91">
        <v>4.2409999999999997</v>
      </c>
      <c r="W128" s="91">
        <f t="shared" si="1"/>
        <v>1.453731693851934</v>
      </c>
    </row>
    <row r="129" spans="1:23" x14ac:dyDescent="0.35">
      <c r="A129" s="81" t="s">
        <v>227</v>
      </c>
      <c r="B129" s="81" t="s">
        <v>690</v>
      </c>
      <c r="C129" s="89">
        <v>1.9886029006319417</v>
      </c>
      <c r="D129" s="90">
        <v>2.9733514596169686</v>
      </c>
      <c r="E129" s="91">
        <v>3.7501787507027151</v>
      </c>
      <c r="G129" s="103" t="s">
        <v>571</v>
      </c>
      <c r="H129" s="101">
        <v>84.261081453729389</v>
      </c>
      <c r="I129" s="93">
        <v>37</v>
      </c>
      <c r="J129" s="94">
        <v>24</v>
      </c>
      <c r="K129" s="81"/>
      <c r="L129" s="89">
        <v>2.0771650065377472</v>
      </c>
      <c r="M129" s="90">
        <v>3.5145518040847694</v>
      </c>
      <c r="N129" s="90">
        <v>3.4108091001793088</v>
      </c>
      <c r="O129" s="90">
        <v>3.1629999999999998</v>
      </c>
      <c r="P129" s="90">
        <v>2.8530000000000002</v>
      </c>
      <c r="Q129" s="90">
        <v>8.2129999999999992</v>
      </c>
      <c r="R129" s="90">
        <v>6.03</v>
      </c>
      <c r="S129" s="90">
        <v>3.8439999999999999</v>
      </c>
      <c r="T129" s="90">
        <v>-3.6920000000000002</v>
      </c>
      <c r="U129" s="90">
        <v>5.8739999999999997</v>
      </c>
      <c r="V129" s="91">
        <v>4.7910000000000004</v>
      </c>
      <c r="W129" s="91">
        <f t="shared" si="1"/>
        <v>3.3617651051598418</v>
      </c>
    </row>
    <row r="130" spans="1:23" x14ac:dyDescent="0.35">
      <c r="A130" s="81" t="s">
        <v>227</v>
      </c>
      <c r="B130" s="81" t="s">
        <v>691</v>
      </c>
      <c r="C130" s="89">
        <v>0.31321455831558875</v>
      </c>
      <c r="D130" s="90">
        <v>1.1211784185926943</v>
      </c>
      <c r="E130" s="91">
        <v>0.80914098391451361</v>
      </c>
      <c r="G130" s="103" t="s">
        <v>398</v>
      </c>
      <c r="H130" s="101">
        <v>76.528749373407479</v>
      </c>
      <c r="I130" s="93">
        <v>64</v>
      </c>
      <c r="J130" s="94">
        <v>36</v>
      </c>
      <c r="K130" s="81"/>
      <c r="L130" s="89">
        <v>4.0240861571797915</v>
      </c>
      <c r="M130" s="90">
        <v>1.7554221491628001</v>
      </c>
      <c r="N130" s="90">
        <v>0.736267221403759</v>
      </c>
      <c r="O130" s="90">
        <v>-1.9730000000000001</v>
      </c>
      <c r="P130" s="90">
        <v>0.19400000000000001</v>
      </c>
      <c r="Q130" s="90">
        <v>1.8260000000000001</v>
      </c>
      <c r="R130" s="90">
        <v>2.8069999999999999</v>
      </c>
      <c r="S130" s="90">
        <v>2.198</v>
      </c>
      <c r="T130" s="90">
        <v>-2.6539999999999999</v>
      </c>
      <c r="U130" s="90">
        <v>5.6239999999999997</v>
      </c>
      <c r="V130" s="91">
        <v>-2.0510000000000002</v>
      </c>
      <c r="W130" s="91">
        <f t="shared" si="1"/>
        <v>0.96515970125360395</v>
      </c>
    </row>
    <row r="131" spans="1:23" x14ac:dyDescent="0.35">
      <c r="A131" s="81" t="s">
        <v>569</v>
      </c>
      <c r="B131" s="81" t="s">
        <v>692</v>
      </c>
      <c r="C131" s="89">
        <v>4.5886571318858538</v>
      </c>
      <c r="D131" s="90">
        <v>6.3388189685080754</v>
      </c>
      <c r="E131" s="91">
        <v>6.1347836953729917</v>
      </c>
      <c r="G131" s="103" t="s">
        <v>398</v>
      </c>
      <c r="H131" s="101">
        <v>76.577775011818801</v>
      </c>
      <c r="I131" s="93">
        <v>63</v>
      </c>
      <c r="J131" s="94">
        <v>3</v>
      </c>
      <c r="K131" s="81"/>
      <c r="L131" s="89">
        <v>8.6415388651712988</v>
      </c>
      <c r="M131" s="90">
        <v>4.7198554996618309</v>
      </c>
      <c r="N131" s="90">
        <v>6.1642772027561934</v>
      </c>
      <c r="O131" s="90">
        <v>8.8539999999999992</v>
      </c>
      <c r="P131" s="90">
        <v>5.9720000000000004</v>
      </c>
      <c r="Q131" s="90">
        <v>3.9729999999999999</v>
      </c>
      <c r="R131" s="90">
        <v>8.5779999999999994</v>
      </c>
      <c r="S131" s="90">
        <v>9.4689999999999994</v>
      </c>
      <c r="T131" s="90">
        <v>-3.3570000000000002</v>
      </c>
      <c r="U131" s="90">
        <v>10.874000000000001</v>
      </c>
      <c r="V131" s="91">
        <v>6.7629999999999999</v>
      </c>
      <c r="W131" s="91">
        <f t="shared" si="1"/>
        <v>6.2368013319405335</v>
      </c>
    </row>
    <row r="132" spans="1:23" x14ac:dyDescent="0.35">
      <c r="A132" s="81" t="s">
        <v>580</v>
      </c>
      <c r="B132" s="81" t="s">
        <v>693</v>
      </c>
      <c r="C132" s="89">
        <v>2.4790435166051283</v>
      </c>
      <c r="D132" s="90">
        <v>2.0533451948943071</v>
      </c>
      <c r="E132" s="91">
        <v>2.158001329255721</v>
      </c>
      <c r="G132" s="103" t="s">
        <v>571</v>
      </c>
      <c r="H132" s="101">
        <v>76.963439522680929</v>
      </c>
      <c r="I132" s="93">
        <v>61</v>
      </c>
      <c r="J132" s="94">
        <v>8</v>
      </c>
      <c r="K132" s="81"/>
      <c r="L132" s="89">
        <v>5.4114449021643543</v>
      </c>
      <c r="M132" s="90">
        <v>2.6992547225567329</v>
      </c>
      <c r="N132" s="90">
        <v>3.6524816975790095</v>
      </c>
      <c r="O132" s="90">
        <v>4.6900000000000004</v>
      </c>
      <c r="P132" s="90">
        <v>2.363</v>
      </c>
      <c r="Q132" s="90">
        <v>-7.0000000000000007E-2</v>
      </c>
      <c r="R132" s="90">
        <v>2.762</v>
      </c>
      <c r="S132" s="90">
        <v>0.83199999999999996</v>
      </c>
      <c r="T132" s="90">
        <v>-4.3410000000000002</v>
      </c>
      <c r="U132" s="90">
        <v>3.9220000000000002</v>
      </c>
      <c r="V132" s="91">
        <v>8.7439999999999998</v>
      </c>
      <c r="W132" s="91">
        <f t="shared" si="1"/>
        <v>2.105673262075014</v>
      </c>
    </row>
    <row r="133" spans="1:23" x14ac:dyDescent="0.35">
      <c r="A133" s="81" t="s">
        <v>569</v>
      </c>
      <c r="B133" s="81" t="s">
        <v>694</v>
      </c>
      <c r="C133" s="89">
        <v>4.0137946463164598</v>
      </c>
      <c r="D133" s="90">
        <v>4.5694149693751296</v>
      </c>
      <c r="E133" s="91">
        <v>5.2331571951220512</v>
      </c>
      <c r="G133" s="103" t="s">
        <v>398</v>
      </c>
      <c r="H133" s="101">
        <v>69.313365081609845</v>
      </c>
      <c r="I133" s="93">
        <v>93</v>
      </c>
      <c r="J133" s="94">
        <v>15</v>
      </c>
      <c r="K133" s="81"/>
      <c r="L133" s="89">
        <v>5.1173942367478444</v>
      </c>
      <c r="M133" s="90">
        <v>2.8221056497235883</v>
      </c>
      <c r="N133" s="90">
        <v>6.6135001033739647</v>
      </c>
      <c r="O133" s="90">
        <v>6.367</v>
      </c>
      <c r="P133" s="90">
        <v>6.3559999999999999</v>
      </c>
      <c r="Q133" s="90">
        <v>7.407</v>
      </c>
      <c r="R133" s="90">
        <v>6.2089999999999996</v>
      </c>
      <c r="S133" s="90">
        <v>4.6139999999999999</v>
      </c>
      <c r="T133" s="90">
        <v>1.3260000000000001</v>
      </c>
      <c r="U133" s="90">
        <v>6.0670000000000002</v>
      </c>
      <c r="V133" s="91">
        <v>4.7089999999999996</v>
      </c>
      <c r="W133" s="91">
        <f t="shared" si="1"/>
        <v>4.9012860822485909</v>
      </c>
    </row>
    <row r="134" spans="1:23" x14ac:dyDescent="0.35">
      <c r="A134" s="81" t="s">
        <v>227</v>
      </c>
      <c r="B134" s="81" t="s">
        <v>695</v>
      </c>
      <c r="C134" s="89">
        <v>2.9071913241700997</v>
      </c>
      <c r="D134" s="90">
        <v>3.5107747978878168</v>
      </c>
      <c r="E134" s="91">
        <v>2.5987412011468258</v>
      </c>
      <c r="G134" s="103" t="s">
        <v>398</v>
      </c>
      <c r="H134" s="101">
        <v>74.50245157918026</v>
      </c>
      <c r="I134" s="93">
        <v>71</v>
      </c>
      <c r="J134" s="94">
        <v>38</v>
      </c>
      <c r="K134" s="81"/>
      <c r="L134" s="89">
        <v>-0.68154236933475798</v>
      </c>
      <c r="M134" s="90">
        <v>2.892636733558092</v>
      </c>
      <c r="N134" s="90">
        <v>-1.5895103199025831</v>
      </c>
      <c r="O134" s="90">
        <v>1.776</v>
      </c>
      <c r="P134" s="90">
        <v>3.339</v>
      </c>
      <c r="Q134" s="90">
        <v>2.101</v>
      </c>
      <c r="R134" s="90">
        <v>4.4950000000000001</v>
      </c>
      <c r="S134" s="90">
        <v>4.3319999999999999</v>
      </c>
      <c r="T134" s="90">
        <v>-0.90300000000000002</v>
      </c>
      <c r="U134" s="90">
        <v>7.55</v>
      </c>
      <c r="V134" s="91">
        <v>2.2509999999999999</v>
      </c>
      <c r="W134" s="91">
        <f t="shared" si="1"/>
        <v>3.0547579995173213</v>
      </c>
    </row>
    <row r="135" spans="1:23" x14ac:dyDescent="0.35">
      <c r="A135" s="81" t="s">
        <v>569</v>
      </c>
      <c r="B135" s="81" t="s">
        <v>696</v>
      </c>
      <c r="C135" s="89">
        <v>1.6001817079933423</v>
      </c>
      <c r="D135" s="90">
        <v>2.5822705421283176</v>
      </c>
      <c r="E135" s="90">
        <v>2.323464181185142</v>
      </c>
      <c r="G135" s="103" t="s">
        <v>567</v>
      </c>
      <c r="H135" s="101">
        <v>58.993492167204309</v>
      </c>
      <c r="I135" s="93">
        <v>126</v>
      </c>
      <c r="J135" s="93">
        <v>30</v>
      </c>
      <c r="K135" s="108"/>
      <c r="L135" s="89">
        <v>15.18176908302255</v>
      </c>
      <c r="M135" s="90">
        <v>20.715768285872748</v>
      </c>
      <c r="N135" s="90">
        <v>4.5567723661529431</v>
      </c>
      <c r="O135" s="90">
        <v>-20.492999999999999</v>
      </c>
      <c r="P135" s="90">
        <v>6.3540000000000001</v>
      </c>
      <c r="Q135" s="90">
        <v>3.7650000000000001</v>
      </c>
      <c r="R135" s="90">
        <v>3.4649999999999999</v>
      </c>
      <c r="S135" s="90">
        <v>5.2539999999999996</v>
      </c>
      <c r="T135" s="90">
        <v>-1.9690000000000001</v>
      </c>
      <c r="U135" s="90">
        <v>4.1050000000000004</v>
      </c>
      <c r="V135" s="90">
        <v>2.766</v>
      </c>
      <c r="W135" s="91">
        <f t="shared" si="1"/>
        <v>2.4528673616567298</v>
      </c>
    </row>
    <row r="136" spans="1:23" x14ac:dyDescent="0.35">
      <c r="A136" s="81" t="s">
        <v>565</v>
      </c>
      <c r="B136" s="81" t="s">
        <v>697</v>
      </c>
      <c r="C136" s="89">
        <v>2.254611894692915</v>
      </c>
      <c r="D136" s="90">
        <v>2.3804077568891469</v>
      </c>
      <c r="E136" s="90">
        <v>3.1207966515608421</v>
      </c>
      <c r="G136" s="103" t="s">
        <v>415</v>
      </c>
      <c r="H136" s="101">
        <v>97.805585083414968</v>
      </c>
      <c r="I136" s="93">
        <v>4</v>
      </c>
      <c r="J136" s="93">
        <v>2</v>
      </c>
      <c r="K136" s="108"/>
      <c r="L136" s="89">
        <v>4.461608951013317</v>
      </c>
      <c r="M136" s="90">
        <v>4.8372986457609866</v>
      </c>
      <c r="N136" s="90">
        <v>3.9380027286605586</v>
      </c>
      <c r="O136" s="90">
        <v>2.9769999999999999</v>
      </c>
      <c r="P136" s="90">
        <v>3.6019999999999999</v>
      </c>
      <c r="Q136" s="90">
        <v>4.5449999999999999</v>
      </c>
      <c r="R136" s="90">
        <v>3.5750000000000002</v>
      </c>
      <c r="S136" s="90">
        <v>1.331</v>
      </c>
      <c r="T136" s="90">
        <v>-3.9009999999999998</v>
      </c>
      <c r="U136" s="90">
        <v>8.8819999999999997</v>
      </c>
      <c r="V136" s="90">
        <v>3.6469999999999998</v>
      </c>
      <c r="W136" s="91">
        <f t="shared" si="1"/>
        <v>2.7506022042249945</v>
      </c>
    </row>
    <row r="137" spans="1:23" x14ac:dyDescent="0.35">
      <c r="A137" s="81" t="s">
        <v>227</v>
      </c>
      <c r="B137" s="81" t="s">
        <v>698</v>
      </c>
      <c r="C137" s="89">
        <v>0.39781205843958389</v>
      </c>
      <c r="D137" s="90">
        <v>0.97590941056187042</v>
      </c>
      <c r="E137" s="90">
        <v>1.8214852479931931</v>
      </c>
      <c r="G137" s="103" t="s">
        <v>571</v>
      </c>
      <c r="H137" s="101">
        <v>80.276897229698847</v>
      </c>
      <c r="I137" s="93">
        <v>47</v>
      </c>
      <c r="J137" s="93">
        <v>32</v>
      </c>
      <c r="K137" s="108"/>
      <c r="L137" s="89">
        <v>1.8958108123027844</v>
      </c>
      <c r="M137" s="90">
        <v>0.67084458223160615</v>
      </c>
      <c r="N137" s="90">
        <v>2.7524343314004627</v>
      </c>
      <c r="O137" s="90">
        <v>5.1669999999999998</v>
      </c>
      <c r="P137" s="90">
        <v>1.944</v>
      </c>
      <c r="Q137" s="90">
        <v>2.9380000000000002</v>
      </c>
      <c r="R137" s="90">
        <v>4.0309999999999997</v>
      </c>
      <c r="S137" s="90">
        <v>2.5190000000000001</v>
      </c>
      <c r="T137" s="90">
        <v>-3.375</v>
      </c>
      <c r="U137" s="90">
        <v>3.0139999999999998</v>
      </c>
      <c r="V137" s="90">
        <v>1.6679999999999999</v>
      </c>
      <c r="W137" s="91">
        <f t="shared" si="1"/>
        <v>1.3986973292775318</v>
      </c>
    </row>
    <row r="138" spans="1:23" x14ac:dyDescent="0.35">
      <c r="A138" s="81" t="s">
        <v>227</v>
      </c>
      <c r="B138" s="81" t="s">
        <v>699</v>
      </c>
      <c r="C138" s="89">
        <v>2.9453399614758569</v>
      </c>
      <c r="D138" s="90">
        <v>3.265722456681952</v>
      </c>
      <c r="E138" s="90">
        <v>2.8132202997918521</v>
      </c>
      <c r="G138" s="103" t="s">
        <v>415</v>
      </c>
      <c r="H138" s="101">
        <v>88.920325519387234</v>
      </c>
      <c r="I138" s="93">
        <v>30</v>
      </c>
      <c r="J138" s="93">
        <v>19</v>
      </c>
      <c r="K138" s="108"/>
      <c r="L138" s="89">
        <v>-2.6394387292630763</v>
      </c>
      <c r="M138" s="90">
        <v>-1.029283831306939</v>
      </c>
      <c r="N138" s="90">
        <v>2.7681580195902979</v>
      </c>
      <c r="O138" s="90">
        <v>2.21</v>
      </c>
      <c r="P138" s="90">
        <v>3.1920000000000002</v>
      </c>
      <c r="Q138" s="90">
        <v>4.8159999999999998</v>
      </c>
      <c r="R138" s="90">
        <v>4.4550000000000001</v>
      </c>
      <c r="S138" s="90">
        <v>3.4510000000000001</v>
      </c>
      <c r="T138" s="90">
        <v>-4.3209999999999997</v>
      </c>
      <c r="U138" s="90">
        <v>8.2110000000000003</v>
      </c>
      <c r="V138" s="90">
        <v>5.3739999999999997</v>
      </c>
      <c r="W138" s="91">
        <f t="shared" si="1"/>
        <v>3.0394713782369021</v>
      </c>
    </row>
    <row r="139" spans="1:23" x14ac:dyDescent="0.35">
      <c r="A139" s="81" t="s">
        <v>569</v>
      </c>
      <c r="B139" s="81" t="s">
        <v>700</v>
      </c>
      <c r="C139" s="89">
        <v>8.8409433265779214E-2</v>
      </c>
      <c r="D139" s="90">
        <v>2.1857023030043443</v>
      </c>
      <c r="E139" s="90">
        <v>1.8249844059199605</v>
      </c>
      <c r="G139" s="103" t="s">
        <v>398</v>
      </c>
      <c r="H139" s="101">
        <v>75.182844770260857</v>
      </c>
      <c r="I139" s="93">
        <v>68</v>
      </c>
      <c r="J139" s="93">
        <v>5</v>
      </c>
      <c r="K139" s="108"/>
      <c r="L139" s="89">
        <v>2.2133548084844037</v>
      </c>
      <c r="M139" s="90">
        <v>2.4852005003105813</v>
      </c>
      <c r="N139" s="90">
        <v>1.8469916036571876</v>
      </c>
      <c r="O139" s="90">
        <v>1.3220000000000001</v>
      </c>
      <c r="P139" s="90">
        <v>0.66500000000000004</v>
      </c>
      <c r="Q139" s="90">
        <v>1.1579999999999999</v>
      </c>
      <c r="R139" s="90">
        <v>1.522</v>
      </c>
      <c r="S139" s="90">
        <v>0.30299999999999999</v>
      </c>
      <c r="T139" s="90">
        <v>-6.3419999999999996</v>
      </c>
      <c r="U139" s="90">
        <v>4.9130000000000003</v>
      </c>
      <c r="V139" s="90">
        <v>2.0419999999999998</v>
      </c>
      <c r="W139" s="91">
        <f t="shared" ref="W139:W165" si="2">AVERAGE(D139,E139)</f>
        <v>2.0053433544621524</v>
      </c>
    </row>
    <row r="140" spans="1:23" x14ac:dyDescent="0.35">
      <c r="A140" s="81" t="s">
        <v>227</v>
      </c>
      <c r="B140" s="81" t="s">
        <v>701</v>
      </c>
      <c r="C140" s="89">
        <v>-0.43793400391870518</v>
      </c>
      <c r="D140" s="90">
        <v>0.55931383652465527</v>
      </c>
      <c r="E140" s="90">
        <v>1.23940470018431</v>
      </c>
      <c r="G140" s="103" t="s">
        <v>415</v>
      </c>
      <c r="H140" s="101">
        <v>90.367632171249966</v>
      </c>
      <c r="I140" s="93">
        <v>27</v>
      </c>
      <c r="J140" s="93">
        <v>17</v>
      </c>
      <c r="K140" s="108"/>
      <c r="L140" s="89">
        <v>-2.9594413017355699</v>
      </c>
      <c r="M140" s="90">
        <v>-1.4353942591932869</v>
      </c>
      <c r="N140" s="90">
        <v>1.3839079426702983</v>
      </c>
      <c r="O140" s="90">
        <v>3.8370000000000002</v>
      </c>
      <c r="P140" s="90">
        <v>3.0379999999999998</v>
      </c>
      <c r="Q140" s="90">
        <v>2.9769999999999999</v>
      </c>
      <c r="R140" s="90">
        <v>2.2829999999999999</v>
      </c>
      <c r="S140" s="90">
        <v>1.9830000000000001</v>
      </c>
      <c r="T140" s="90">
        <v>-11.324999999999999</v>
      </c>
      <c r="U140" s="90">
        <v>5.5220000000000002</v>
      </c>
      <c r="V140" s="90">
        <v>5.4749999999999996</v>
      </c>
      <c r="W140" s="91">
        <f t="shared" si="2"/>
        <v>0.89935926835448265</v>
      </c>
    </row>
    <row r="141" spans="1:23" x14ac:dyDescent="0.35">
      <c r="A141" s="81" t="s">
        <v>565</v>
      </c>
      <c r="B141" s="81" t="s">
        <v>702</v>
      </c>
      <c r="C141" s="89">
        <v>-3.0583991155611168</v>
      </c>
      <c r="D141" s="90">
        <v>7.8407546755454582E-2</v>
      </c>
      <c r="E141" s="90">
        <v>2.1593525209882225</v>
      </c>
      <c r="G141" s="103" t="s">
        <v>398</v>
      </c>
      <c r="H141" s="101">
        <v>73.00518117550061</v>
      </c>
      <c r="I141" s="93">
        <v>76</v>
      </c>
      <c r="J141" s="93">
        <v>13</v>
      </c>
      <c r="K141" s="108"/>
      <c r="L141" s="89">
        <v>9.1445722464256534</v>
      </c>
      <c r="M141" s="90">
        <v>3.3957326498342781</v>
      </c>
      <c r="N141" s="90">
        <v>4.960700591697301</v>
      </c>
      <c r="O141" s="90">
        <v>4.2060000000000004</v>
      </c>
      <c r="P141" s="90">
        <v>5.0540000000000003</v>
      </c>
      <c r="Q141" s="90">
        <v>6.4610000000000003</v>
      </c>
      <c r="R141" s="90">
        <v>2.31</v>
      </c>
      <c r="S141" s="90">
        <v>-0.22</v>
      </c>
      <c r="T141" s="90">
        <v>-3.472</v>
      </c>
      <c r="U141" s="90">
        <v>3.327</v>
      </c>
      <c r="V141" s="90">
        <v>-8.6590000000000007</v>
      </c>
      <c r="W141" s="91">
        <f t="shared" si="2"/>
        <v>1.1188800338718385</v>
      </c>
    </row>
    <row r="142" spans="1:23" x14ac:dyDescent="0.35">
      <c r="A142" s="81" t="s">
        <v>569</v>
      </c>
      <c r="B142" s="81" t="s">
        <v>703</v>
      </c>
      <c r="C142" s="89">
        <v>-2.6688383810210325</v>
      </c>
      <c r="D142" s="90">
        <v>-1.5401833642449736</v>
      </c>
      <c r="E142" s="90">
        <v>1.2842213840550842</v>
      </c>
      <c r="G142" s="103" t="s">
        <v>567</v>
      </c>
      <c r="H142" s="101">
        <v>29.302112762792021</v>
      </c>
      <c r="I142" s="93">
        <v>156</v>
      </c>
      <c r="J142" s="93">
        <v>47</v>
      </c>
      <c r="K142" s="108"/>
      <c r="L142" s="89">
        <v>-1.4398357186292348</v>
      </c>
      <c r="M142" s="90">
        <v>4.3946958327458523</v>
      </c>
      <c r="N142" s="90">
        <v>2.6794256681504725</v>
      </c>
      <c r="O142" s="90">
        <v>4.9059999999999997</v>
      </c>
      <c r="P142" s="90">
        <v>4.7</v>
      </c>
      <c r="Q142" s="90">
        <v>0.76800000000000002</v>
      </c>
      <c r="R142" s="90">
        <v>-2.29</v>
      </c>
      <c r="S142" s="90">
        <v>-2.5</v>
      </c>
      <c r="T142" s="90">
        <v>-3.63</v>
      </c>
      <c r="U142" s="90">
        <v>0.5</v>
      </c>
      <c r="V142" s="90">
        <v>-2.5</v>
      </c>
      <c r="W142" s="91">
        <f t="shared" si="2"/>
        <v>-0.12798099009494468</v>
      </c>
    </row>
    <row r="143" spans="1:23" x14ac:dyDescent="0.35">
      <c r="A143" s="81" t="s">
        <v>573</v>
      </c>
      <c r="B143" s="81" t="s">
        <v>704</v>
      </c>
      <c r="C143" s="89">
        <v>-6.0912921553037958</v>
      </c>
      <c r="D143" s="90">
        <v>-2.539464764773447</v>
      </c>
      <c r="E143" s="90">
        <v>-1.6533032843941364</v>
      </c>
      <c r="G143" s="103" t="s">
        <v>398</v>
      </c>
      <c r="H143" s="101">
        <v>69.385821977853183</v>
      </c>
      <c r="I143" s="93">
        <v>92</v>
      </c>
      <c r="J143" s="93">
        <v>12</v>
      </c>
      <c r="K143" s="108"/>
      <c r="L143" s="89">
        <v>2.6903497466884523</v>
      </c>
      <c r="M143" s="90">
        <v>2.9334416518612043</v>
      </c>
      <c r="N143" s="90">
        <v>0.25550303164546423</v>
      </c>
      <c r="O143" s="90">
        <v>-3.4140000000000001</v>
      </c>
      <c r="P143" s="90">
        <v>-4.9119999999999999</v>
      </c>
      <c r="Q143" s="90">
        <v>1.5660000000000001</v>
      </c>
      <c r="R143" s="90">
        <v>4.9480000000000004</v>
      </c>
      <c r="S143" s="90">
        <v>1.0980000000000001</v>
      </c>
      <c r="T143" s="90">
        <v>-15.906000000000001</v>
      </c>
      <c r="U143" s="90">
        <v>-2.742</v>
      </c>
      <c r="V143" s="90">
        <v>1.3280000000000001</v>
      </c>
      <c r="W143" s="91">
        <f t="shared" si="2"/>
        <v>-2.0963840245837915</v>
      </c>
    </row>
    <row r="144" spans="1:23" x14ac:dyDescent="0.35">
      <c r="A144" s="81" t="s">
        <v>227</v>
      </c>
      <c r="B144" s="81" t="s">
        <v>705</v>
      </c>
      <c r="C144" s="89">
        <v>1.8041121232050594</v>
      </c>
      <c r="D144" s="90">
        <v>1.5622302939160004</v>
      </c>
      <c r="E144" s="90">
        <v>2.0743232215396867</v>
      </c>
      <c r="G144" s="103" t="s">
        <v>415</v>
      </c>
      <c r="H144" s="101">
        <v>96.904206369440487</v>
      </c>
      <c r="I144" s="93">
        <v>7</v>
      </c>
      <c r="J144" s="93">
        <v>5</v>
      </c>
      <c r="K144" s="108"/>
      <c r="L144" s="89">
        <v>-0.58830456899072281</v>
      </c>
      <c r="M144" s="90">
        <v>1.1877757159060018</v>
      </c>
      <c r="N144" s="90">
        <v>2.6577982753164227</v>
      </c>
      <c r="O144" s="90">
        <v>4.4889999999999999</v>
      </c>
      <c r="P144" s="90">
        <v>2.0710000000000002</v>
      </c>
      <c r="Q144" s="90">
        <v>2.5680000000000001</v>
      </c>
      <c r="R144" s="90">
        <v>1.95</v>
      </c>
      <c r="S144" s="90">
        <v>1.986</v>
      </c>
      <c r="T144" s="90">
        <v>-2.17</v>
      </c>
      <c r="U144" s="90">
        <v>5.3860000000000001</v>
      </c>
      <c r="V144" s="90">
        <v>2.6419999999999999</v>
      </c>
      <c r="W144" s="91">
        <f t="shared" si="2"/>
        <v>1.8182767577278436</v>
      </c>
    </row>
    <row r="145" spans="1:23" x14ac:dyDescent="0.35">
      <c r="A145" s="81" t="s">
        <v>227</v>
      </c>
      <c r="B145" s="81" t="s">
        <v>706</v>
      </c>
      <c r="C145" s="89">
        <v>1.2890197152698013</v>
      </c>
      <c r="D145" s="90">
        <v>2.1594279609995271</v>
      </c>
      <c r="E145" s="90">
        <v>1.9949438623463989</v>
      </c>
      <c r="G145" s="103" t="s">
        <v>415</v>
      </c>
      <c r="H145" s="101">
        <v>98.385388118004073</v>
      </c>
      <c r="I145" s="93">
        <v>2</v>
      </c>
      <c r="J145" s="93">
        <v>1</v>
      </c>
      <c r="K145" s="108"/>
      <c r="L145" s="89">
        <v>1.0060240943135659</v>
      </c>
      <c r="M145" s="90">
        <v>1.852039766494749</v>
      </c>
      <c r="N145" s="90">
        <v>2.4492180871562819</v>
      </c>
      <c r="O145" s="90">
        <v>1.59</v>
      </c>
      <c r="P145" s="90">
        <v>2.073</v>
      </c>
      <c r="Q145" s="90">
        <v>1.427</v>
      </c>
      <c r="R145" s="90">
        <v>2.867</v>
      </c>
      <c r="S145" s="90">
        <v>1.161</v>
      </c>
      <c r="T145" s="90">
        <v>-2.5070000000000001</v>
      </c>
      <c r="U145" s="90">
        <v>4.2210000000000001</v>
      </c>
      <c r="V145" s="90">
        <v>2.1339999999999999</v>
      </c>
      <c r="W145" s="91">
        <f t="shared" si="2"/>
        <v>2.077185911672963</v>
      </c>
    </row>
    <row r="146" spans="1:23" x14ac:dyDescent="0.35">
      <c r="A146" s="81" t="s">
        <v>565</v>
      </c>
      <c r="B146" s="81" t="s">
        <v>707</v>
      </c>
      <c r="C146" s="89">
        <v>4.1942484708972883</v>
      </c>
      <c r="D146" s="90">
        <v>3.7202264352869774</v>
      </c>
      <c r="E146" s="90">
        <v>3.3189477234561782</v>
      </c>
      <c r="G146" s="103" t="s">
        <v>398</v>
      </c>
      <c r="H146" s="101">
        <v>74.109663332036064</v>
      </c>
      <c r="I146" s="93">
        <v>72</v>
      </c>
      <c r="J146" s="93">
        <v>11</v>
      </c>
      <c r="K146" s="108"/>
      <c r="L146" s="89">
        <v>2.2704029453876053</v>
      </c>
      <c r="M146" s="90">
        <v>2.5430680885972134</v>
      </c>
      <c r="N146" s="90">
        <v>4.9538203190596066</v>
      </c>
      <c r="O146" s="90">
        <v>1.466</v>
      </c>
      <c r="P146" s="90">
        <v>2.165</v>
      </c>
      <c r="Q146" s="90">
        <v>3.3109999999999999</v>
      </c>
      <c r="R146" s="90">
        <v>2.7869999999999999</v>
      </c>
      <c r="S146" s="90">
        <v>3.0640000000000001</v>
      </c>
      <c r="T146" s="90">
        <v>3.387</v>
      </c>
      <c r="U146" s="90">
        <v>6.5279999999999996</v>
      </c>
      <c r="V146" s="90">
        <v>2.452</v>
      </c>
      <c r="W146" s="91">
        <f t="shared" si="2"/>
        <v>3.5195870793715778</v>
      </c>
    </row>
    <row r="147" spans="1:23" x14ac:dyDescent="0.35">
      <c r="A147" s="81" t="s">
        <v>565</v>
      </c>
      <c r="B147" s="81" t="s">
        <v>708</v>
      </c>
      <c r="C147" s="89">
        <v>7.1805428191797027</v>
      </c>
      <c r="D147" s="90">
        <v>7.3081795758255463</v>
      </c>
      <c r="E147" s="90">
        <v>7.0632908095879854</v>
      </c>
      <c r="G147" s="103" t="s">
        <v>422</v>
      </c>
      <c r="H147" s="101">
        <v>65.502149613905985</v>
      </c>
      <c r="I147" s="93">
        <v>113</v>
      </c>
      <c r="J147" s="93">
        <v>23</v>
      </c>
      <c r="K147" s="108"/>
      <c r="L147" s="89">
        <v>7.4999994632152305</v>
      </c>
      <c r="M147" s="90">
        <v>7.3999997470037826</v>
      </c>
      <c r="N147" s="90">
        <v>6.7000006901625362</v>
      </c>
      <c r="O147" s="90">
        <v>6</v>
      </c>
      <c r="P147" s="90">
        <v>6.9</v>
      </c>
      <c r="Q147" s="90">
        <v>7.1</v>
      </c>
      <c r="R147" s="90">
        <v>7.6</v>
      </c>
      <c r="S147" s="90">
        <v>7.4</v>
      </c>
      <c r="T147" s="90">
        <v>4.3899999999999997</v>
      </c>
      <c r="U147" s="90">
        <v>9.4</v>
      </c>
      <c r="V147" s="90">
        <v>8</v>
      </c>
      <c r="W147" s="91">
        <f t="shared" si="2"/>
        <v>7.1857351927067654</v>
      </c>
    </row>
    <row r="148" spans="1:23" x14ac:dyDescent="0.35">
      <c r="A148" s="81" t="s">
        <v>569</v>
      </c>
      <c r="B148" s="81" t="s">
        <v>709</v>
      </c>
      <c r="C148" s="89">
        <v>3.6476767570704727</v>
      </c>
      <c r="D148" s="90">
        <v>4.4330707554891102</v>
      </c>
      <c r="E148" s="90">
        <v>5.5432278987954442</v>
      </c>
      <c r="G148" s="103" t="s">
        <v>422</v>
      </c>
      <c r="H148" s="101">
        <v>68.134404341049418</v>
      </c>
      <c r="I148" s="93">
        <v>101</v>
      </c>
      <c r="J148" s="93">
        <v>21</v>
      </c>
      <c r="K148" s="108"/>
      <c r="L148" s="89">
        <v>4.500153559821273</v>
      </c>
      <c r="M148" s="90">
        <v>6.7815856006531599</v>
      </c>
      <c r="N148" s="90">
        <v>6.732461868324811</v>
      </c>
      <c r="O148" s="90">
        <v>6.1609999999999996</v>
      </c>
      <c r="P148" s="90">
        <v>6.867</v>
      </c>
      <c r="Q148" s="90">
        <v>6.7729999999999997</v>
      </c>
      <c r="R148" s="90">
        <v>6.9589999999999996</v>
      </c>
      <c r="S148" s="90">
        <v>6.9889999999999999</v>
      </c>
      <c r="T148" s="90">
        <v>4.8159999999999998</v>
      </c>
      <c r="U148" s="90">
        <v>4.9470000000000001</v>
      </c>
      <c r="V148" s="90">
        <v>4.6879999999999997</v>
      </c>
      <c r="W148" s="91">
        <f t="shared" si="2"/>
        <v>4.9881493271422777</v>
      </c>
    </row>
    <row r="149" spans="1:23" x14ac:dyDescent="0.35">
      <c r="A149" s="81" t="s">
        <v>565</v>
      </c>
      <c r="B149" s="81" t="s">
        <v>710</v>
      </c>
      <c r="C149" s="89">
        <v>-0.75178730142027028</v>
      </c>
      <c r="D149" s="90">
        <v>0.80617945124625834</v>
      </c>
      <c r="E149" s="90">
        <v>1.8254251122560072</v>
      </c>
      <c r="G149" s="103" t="s">
        <v>422</v>
      </c>
      <c r="H149" s="101">
        <v>67.301316099527455</v>
      </c>
      <c r="I149" s="93">
        <v>104</v>
      </c>
      <c r="J149" s="93">
        <v>19</v>
      </c>
      <c r="K149" s="108"/>
      <c r="L149" s="89">
        <v>7.2427962024964359</v>
      </c>
      <c r="M149" s="90">
        <v>2.6874955632055553</v>
      </c>
      <c r="N149" s="90">
        <v>0.98442510993386245</v>
      </c>
      <c r="O149" s="90">
        <v>3.1339999999999999</v>
      </c>
      <c r="P149" s="90">
        <v>3.4350000000000001</v>
      </c>
      <c r="Q149" s="90">
        <v>4.1779999999999999</v>
      </c>
      <c r="R149" s="90">
        <v>4.2229999999999999</v>
      </c>
      <c r="S149" s="90">
        <v>2.1150000000000002</v>
      </c>
      <c r="T149" s="90">
        <v>-6.1609999999999996</v>
      </c>
      <c r="U149" s="90">
        <v>1.5629999999999999</v>
      </c>
      <c r="V149" s="90">
        <v>2.6440000000000001</v>
      </c>
      <c r="W149" s="91">
        <f t="shared" si="2"/>
        <v>1.3158022817511328</v>
      </c>
    </row>
    <row r="150" spans="1:23" x14ac:dyDescent="0.35">
      <c r="A150" s="81" t="s">
        <v>569</v>
      </c>
      <c r="B150" s="81" t="s">
        <v>711</v>
      </c>
      <c r="C150" s="89">
        <v>4.1237007551626403</v>
      </c>
      <c r="D150" s="90">
        <v>4.5599643087248731</v>
      </c>
      <c r="E150" s="90">
        <v>5.0461931715429786</v>
      </c>
      <c r="G150" s="103" t="s">
        <v>398</v>
      </c>
      <c r="H150" s="101">
        <v>71.06383353175876</v>
      </c>
      <c r="I150" s="93">
        <v>84</v>
      </c>
      <c r="J150" s="93">
        <v>12</v>
      </c>
      <c r="K150" s="108"/>
      <c r="L150" s="89">
        <v>6.543507029266066</v>
      </c>
      <c r="M150" s="90">
        <v>6.1123430766482372</v>
      </c>
      <c r="N150" s="90">
        <v>5.9205885732303445</v>
      </c>
      <c r="O150" s="90">
        <v>5.74</v>
      </c>
      <c r="P150" s="90">
        <v>5.6</v>
      </c>
      <c r="Q150" s="90">
        <v>4.3479999999999999</v>
      </c>
      <c r="R150" s="90">
        <v>4.9669999999999996</v>
      </c>
      <c r="S150" s="90">
        <v>5.4640000000000004</v>
      </c>
      <c r="T150" s="90">
        <v>1.758</v>
      </c>
      <c r="U150" s="90">
        <v>5.2590000000000003</v>
      </c>
      <c r="V150" s="90">
        <v>5.399</v>
      </c>
      <c r="W150" s="91">
        <f t="shared" si="2"/>
        <v>4.8030787401339259</v>
      </c>
    </row>
    <row r="151" spans="1:23" x14ac:dyDescent="0.35">
      <c r="A151" s="81" t="s">
        <v>573</v>
      </c>
      <c r="B151" s="81" t="s">
        <v>712</v>
      </c>
      <c r="C151" s="89">
        <v>-2.1662761553291388</v>
      </c>
      <c r="D151" s="90">
        <v>-0.32249691451342599</v>
      </c>
      <c r="E151" s="90">
        <v>-0.73360970360328848</v>
      </c>
      <c r="G151" s="103" t="s">
        <v>422</v>
      </c>
      <c r="H151" s="101">
        <v>65.576173252463747</v>
      </c>
      <c r="I151" s="93">
        <v>112</v>
      </c>
      <c r="J151" s="93">
        <v>14</v>
      </c>
      <c r="K151" s="108"/>
      <c r="L151" s="89">
        <v>1.2699643652024184</v>
      </c>
      <c r="M151" s="90">
        <v>2.2290748047658071</v>
      </c>
      <c r="N151" s="90">
        <v>-0.91254496880826241</v>
      </c>
      <c r="O151" s="90">
        <v>-0.75600000000000001</v>
      </c>
      <c r="P151" s="90">
        <v>-6.7640000000000002</v>
      </c>
      <c r="Q151" s="90">
        <v>-4.7069999999999999</v>
      </c>
      <c r="R151" s="90">
        <v>-0.871</v>
      </c>
      <c r="S151" s="90">
        <v>0.11</v>
      </c>
      <c r="T151" s="90">
        <v>-7.6779999999999999</v>
      </c>
      <c r="U151" s="90">
        <v>-1.0269999999999999</v>
      </c>
      <c r="V151" s="90">
        <v>2.4809999999999999</v>
      </c>
      <c r="W151" s="91">
        <f t="shared" si="2"/>
        <v>-0.52805330905835723</v>
      </c>
    </row>
    <row r="152" spans="1:23" x14ac:dyDescent="0.35">
      <c r="A152" s="81" t="s">
        <v>569</v>
      </c>
      <c r="B152" s="81" t="s">
        <v>713</v>
      </c>
      <c r="C152" s="89">
        <v>-0.76139414796470017</v>
      </c>
      <c r="D152" s="90">
        <v>1.515468696628397</v>
      </c>
      <c r="E152" s="90">
        <v>1.7677168413122724</v>
      </c>
      <c r="G152" s="103" t="s">
        <v>422</v>
      </c>
      <c r="H152" s="101">
        <v>68.074683718311135</v>
      </c>
      <c r="I152" s="93">
        <v>102</v>
      </c>
      <c r="J152" s="93">
        <v>22</v>
      </c>
      <c r="K152" s="108"/>
      <c r="L152" s="89">
        <v>3.9976740023093633</v>
      </c>
      <c r="M152" s="90">
        <v>2.8755238423073424</v>
      </c>
      <c r="N152" s="90">
        <v>2.9713983451090038</v>
      </c>
      <c r="O152" s="90">
        <v>0.96799999999999997</v>
      </c>
      <c r="P152" s="90">
        <v>1.117</v>
      </c>
      <c r="Q152" s="90">
        <v>2.238</v>
      </c>
      <c r="R152" s="90">
        <v>2.625</v>
      </c>
      <c r="S152" s="90">
        <v>1.5880000000000001</v>
      </c>
      <c r="T152" s="90">
        <v>-8.8179999999999996</v>
      </c>
      <c r="U152" s="90">
        <v>4.4050000000000002</v>
      </c>
      <c r="V152" s="90">
        <v>2.5219999999999998</v>
      </c>
      <c r="W152" s="91">
        <f t="shared" si="2"/>
        <v>1.6415927689703347</v>
      </c>
    </row>
    <row r="153" spans="1:23" x14ac:dyDescent="0.35">
      <c r="A153" s="81" t="s">
        <v>580</v>
      </c>
      <c r="B153" s="81" t="s">
        <v>714</v>
      </c>
      <c r="C153" s="89">
        <v>6.2162334826369348</v>
      </c>
      <c r="D153" s="90">
        <v>4.4468380199269797</v>
      </c>
      <c r="E153" s="90">
        <v>5.2521474880545149</v>
      </c>
      <c r="G153" s="103" t="s">
        <v>571</v>
      </c>
      <c r="H153" s="101">
        <v>79.725975588542326</v>
      </c>
      <c r="I153" s="93">
        <v>49</v>
      </c>
      <c r="J153" s="93">
        <v>4</v>
      </c>
      <c r="K153" s="108"/>
      <c r="L153" s="89">
        <v>4.7899402070344061</v>
      </c>
      <c r="M153" s="90">
        <v>8.4913093926863557</v>
      </c>
      <c r="N153" s="90">
        <v>5.1666907030455222</v>
      </c>
      <c r="O153" s="90">
        <v>6.0839999999999996</v>
      </c>
      <c r="P153" s="90">
        <v>3.323</v>
      </c>
      <c r="Q153" s="90">
        <v>7.5019999999999998</v>
      </c>
      <c r="R153" s="90">
        <v>2.98</v>
      </c>
      <c r="S153" s="90">
        <v>0.78400000000000003</v>
      </c>
      <c r="T153" s="90">
        <v>1.94</v>
      </c>
      <c r="U153" s="90">
        <v>11.353</v>
      </c>
      <c r="V153" s="90">
        <v>5.5659999999999998</v>
      </c>
      <c r="W153" s="91">
        <f t="shared" si="2"/>
        <v>4.8494927539907469</v>
      </c>
    </row>
    <row r="154" spans="1:23" x14ac:dyDescent="0.35">
      <c r="A154" s="81" t="s">
        <v>565</v>
      </c>
      <c r="B154" s="81" t="s">
        <v>715</v>
      </c>
      <c r="C154" s="89">
        <v>5.7825311290508274</v>
      </c>
      <c r="D154" s="90">
        <v>5.9692666570670072</v>
      </c>
      <c r="E154" s="90">
        <v>6.9419375690879193</v>
      </c>
      <c r="G154" s="103" t="s">
        <v>398</v>
      </c>
      <c r="H154" s="101">
        <v>73.971445285212496</v>
      </c>
      <c r="I154" s="93">
        <v>74</v>
      </c>
      <c r="J154" s="93">
        <v>12</v>
      </c>
      <c r="K154" s="108"/>
      <c r="L154" s="89">
        <v>11.099999961554488</v>
      </c>
      <c r="M154" s="90">
        <v>10.200000101398992</v>
      </c>
      <c r="N154" s="90">
        <v>10.299999970545908</v>
      </c>
      <c r="O154" s="90">
        <v>2.9860000000000002</v>
      </c>
      <c r="P154" s="90">
        <v>-0.97699999999999998</v>
      </c>
      <c r="Q154" s="90">
        <v>4.7069999999999999</v>
      </c>
      <c r="R154" s="90">
        <v>0.88200000000000001</v>
      </c>
      <c r="S154" s="90">
        <v>-3.3889999999999998</v>
      </c>
      <c r="T154" s="90">
        <v>-2.9369999999999998</v>
      </c>
      <c r="U154" s="90">
        <v>4.62</v>
      </c>
      <c r="V154" s="90">
        <v>1.7889999999999999</v>
      </c>
      <c r="W154" s="91">
        <f t="shared" si="2"/>
        <v>6.4556021130774628</v>
      </c>
    </row>
    <row r="155" spans="1:23" x14ac:dyDescent="0.35">
      <c r="A155" s="81" t="s">
        <v>569</v>
      </c>
      <c r="B155" s="81" t="s">
        <v>716</v>
      </c>
      <c r="C155" s="89">
        <v>3.8036415692147996</v>
      </c>
      <c r="D155" s="90">
        <v>4.8231874950755982</v>
      </c>
      <c r="E155" s="90">
        <v>4.6664450945707259</v>
      </c>
      <c r="G155" s="103" t="s">
        <v>398</v>
      </c>
      <c r="H155" s="101">
        <v>69.556086736265442</v>
      </c>
      <c r="I155" s="93">
        <v>91</v>
      </c>
      <c r="J155" s="93">
        <v>14</v>
      </c>
      <c r="K155" s="108"/>
      <c r="L155" s="89">
        <v>3.8374556059033003</v>
      </c>
      <c r="M155" s="90">
        <v>3.586905826320109</v>
      </c>
      <c r="N155" s="90">
        <v>5.1063073243118193</v>
      </c>
      <c r="O155" s="90">
        <v>8.0060000000000002</v>
      </c>
      <c r="P155" s="90">
        <v>0.159</v>
      </c>
      <c r="Q155" s="90">
        <v>6.83</v>
      </c>
      <c r="R155" s="90">
        <v>5.5019999999999998</v>
      </c>
      <c r="S155" s="90">
        <v>7.782</v>
      </c>
      <c r="T155" s="90">
        <v>-1.3009999999999999</v>
      </c>
      <c r="U155" s="90">
        <v>6.0039999999999996</v>
      </c>
      <c r="V155" s="90">
        <v>4.9329999999999998</v>
      </c>
      <c r="W155" s="91">
        <f t="shared" si="2"/>
        <v>4.7448162948231616</v>
      </c>
    </row>
    <row r="156" spans="1:23" x14ac:dyDescent="0.35">
      <c r="A156" s="81" t="s">
        <v>227</v>
      </c>
      <c r="B156" s="81" t="s">
        <v>717</v>
      </c>
      <c r="C156" s="89">
        <v>-11.461901799668306</v>
      </c>
      <c r="D156" s="90">
        <v>-5.8295559101049328</v>
      </c>
      <c r="E156" s="90">
        <v>-4.15839598326132</v>
      </c>
      <c r="G156" s="103" t="s">
        <v>398</v>
      </c>
      <c r="H156" s="101">
        <v>74.079326507080765</v>
      </c>
      <c r="I156" s="93">
        <v>73</v>
      </c>
      <c r="J156" s="93">
        <v>39</v>
      </c>
      <c r="K156" s="108"/>
      <c r="L156" s="89">
        <v>0.23868172076808841</v>
      </c>
      <c r="M156" s="90">
        <v>-2.66978900718703E-2</v>
      </c>
      <c r="N156" s="90">
        <v>-6.5526312936576572</v>
      </c>
      <c r="O156" s="90">
        <v>-9.7880000000000003</v>
      </c>
      <c r="P156" s="90">
        <v>2.4169999999999998</v>
      </c>
      <c r="Q156" s="90">
        <v>2.36</v>
      </c>
      <c r="R156" s="90">
        <v>3.488</v>
      </c>
      <c r="S156" s="90">
        <v>3.1989999999999998</v>
      </c>
      <c r="T156" s="90">
        <v>-3.7530000000000001</v>
      </c>
      <c r="U156" s="90">
        <v>3.3530000000000002</v>
      </c>
      <c r="V156" s="90">
        <v>-30.26</v>
      </c>
      <c r="W156" s="91">
        <f t="shared" si="2"/>
        <v>-4.9939759466831264</v>
      </c>
    </row>
    <row r="157" spans="1:23" x14ac:dyDescent="0.35">
      <c r="A157" s="81" t="s">
        <v>580</v>
      </c>
      <c r="B157" s="81" t="s">
        <v>718</v>
      </c>
      <c r="C157" s="89">
        <v>1.9883983839421138</v>
      </c>
      <c r="D157" s="90">
        <v>1.9344501122165347</v>
      </c>
      <c r="E157" s="90">
        <v>2.9471413005852209</v>
      </c>
      <c r="G157" s="103" t="s">
        <v>415</v>
      </c>
      <c r="H157" s="101">
        <v>91.971735408895199</v>
      </c>
      <c r="I157" s="93">
        <v>22</v>
      </c>
      <c r="J157" s="93">
        <v>1</v>
      </c>
      <c r="K157" s="108"/>
      <c r="L157" s="89">
        <v>4.4846260849086921</v>
      </c>
      <c r="M157" s="90">
        <v>5.0533458252665762</v>
      </c>
      <c r="N157" s="90">
        <v>4.2843036857947956</v>
      </c>
      <c r="O157" s="90">
        <v>6.7869999999999999</v>
      </c>
      <c r="P157" s="90">
        <v>5.5609999999999999</v>
      </c>
      <c r="Q157" s="90">
        <v>0.73499999999999999</v>
      </c>
      <c r="R157" s="90">
        <v>1.3140000000000001</v>
      </c>
      <c r="S157" s="90">
        <v>1.1080000000000001</v>
      </c>
      <c r="T157" s="90">
        <v>-4.9569999999999999</v>
      </c>
      <c r="U157" s="90">
        <v>3.9159999999999999</v>
      </c>
      <c r="V157" s="90">
        <v>7.4109999999999996</v>
      </c>
      <c r="W157" s="91">
        <f t="shared" si="2"/>
        <v>2.4407957064008778</v>
      </c>
    </row>
    <row r="158" spans="1:23" x14ac:dyDescent="0.35">
      <c r="A158" s="81" t="s">
        <v>227</v>
      </c>
      <c r="B158" s="81" t="s">
        <v>719</v>
      </c>
      <c r="C158" s="89">
        <v>-0.15570963242206304</v>
      </c>
      <c r="D158" s="90">
        <v>0.73784192060712961</v>
      </c>
      <c r="E158" s="90">
        <v>1.4574433295258649</v>
      </c>
      <c r="G158" s="103" t="s">
        <v>415</v>
      </c>
      <c r="H158" s="101">
        <v>95.869504572225566</v>
      </c>
      <c r="I158" s="93">
        <v>16</v>
      </c>
      <c r="J158" s="93">
        <v>11</v>
      </c>
      <c r="K158" s="108"/>
      <c r="L158" s="89">
        <v>1.4789239471568232</v>
      </c>
      <c r="M158" s="90">
        <v>2.1394857010831609</v>
      </c>
      <c r="N158" s="90">
        <v>2.6074759063105102</v>
      </c>
      <c r="O158" s="90">
        <v>2.3929999999999998</v>
      </c>
      <c r="P158" s="90">
        <v>2.165</v>
      </c>
      <c r="Q158" s="90">
        <v>2.444</v>
      </c>
      <c r="R158" s="90">
        <v>1.7050000000000001</v>
      </c>
      <c r="S158" s="90">
        <v>1.6040000000000001</v>
      </c>
      <c r="T158" s="90">
        <v>-11.031000000000001</v>
      </c>
      <c r="U158" s="90">
        <v>7.5970000000000004</v>
      </c>
      <c r="V158" s="90">
        <v>4.0449999999999999</v>
      </c>
      <c r="W158" s="91">
        <f t="shared" si="2"/>
        <v>1.0976426250664972</v>
      </c>
    </row>
    <row r="159" spans="1:23" x14ac:dyDescent="0.35">
      <c r="A159" s="81" t="s">
        <v>573</v>
      </c>
      <c r="B159" s="81" t="s">
        <v>720</v>
      </c>
      <c r="C159" s="89">
        <v>1.6858959431595322</v>
      </c>
      <c r="D159" s="90">
        <v>2.0522235488571683</v>
      </c>
      <c r="E159" s="90">
        <v>2.1214909700318696</v>
      </c>
      <c r="G159" s="103" t="s">
        <v>415</v>
      </c>
      <c r="H159" s="101">
        <v>95.916666666666671</v>
      </c>
      <c r="I159" s="93">
        <v>14</v>
      </c>
      <c r="J159" s="93">
        <v>1</v>
      </c>
      <c r="K159" s="108"/>
      <c r="L159" s="89">
        <v>2.249545852369943</v>
      </c>
      <c r="M159" s="90">
        <v>1.8420810710110016</v>
      </c>
      <c r="N159" s="90">
        <v>2.4519730353603584</v>
      </c>
      <c r="O159" s="90">
        <v>2.7069999999999999</v>
      </c>
      <c r="P159" s="90">
        <v>1.6679999999999999</v>
      </c>
      <c r="Q159" s="90">
        <v>2.242</v>
      </c>
      <c r="R159" s="90">
        <v>2.9449999999999998</v>
      </c>
      <c r="S159" s="90">
        <v>2.2949999999999999</v>
      </c>
      <c r="T159" s="90">
        <v>-2.7679999999999998</v>
      </c>
      <c r="U159" s="90">
        <v>5.9470000000000001</v>
      </c>
      <c r="V159" s="90">
        <v>2.0680000000000001</v>
      </c>
      <c r="W159" s="91">
        <f t="shared" si="2"/>
        <v>2.0868572594445189</v>
      </c>
    </row>
    <row r="160" spans="1:23" x14ac:dyDescent="0.35">
      <c r="A160" s="81" t="s">
        <v>573</v>
      </c>
      <c r="B160" s="81" t="s">
        <v>721</v>
      </c>
      <c r="C160" s="89">
        <v>0.91343850289404838</v>
      </c>
      <c r="D160" s="90">
        <v>2.2569945604846264</v>
      </c>
      <c r="E160" s="90">
        <v>2.3762166744240032</v>
      </c>
      <c r="G160" s="103" t="s">
        <v>571</v>
      </c>
      <c r="H160" s="101">
        <v>81.172173305315454</v>
      </c>
      <c r="I160" s="93">
        <v>43</v>
      </c>
      <c r="J160" s="93">
        <v>5</v>
      </c>
      <c r="K160" s="108"/>
      <c r="L160" s="89">
        <v>3.5381787068568795</v>
      </c>
      <c r="M160" s="90">
        <v>4.6375386431141186</v>
      </c>
      <c r="N160" s="90">
        <v>3.2387912162160193</v>
      </c>
      <c r="O160" s="90">
        <v>0.371</v>
      </c>
      <c r="P160" s="90">
        <v>1.69</v>
      </c>
      <c r="Q160" s="90">
        <v>1.6279999999999999</v>
      </c>
      <c r="R160" s="90">
        <v>0.47799999999999998</v>
      </c>
      <c r="S160" s="90">
        <v>0.35</v>
      </c>
      <c r="T160" s="90">
        <v>-6.1150000000000002</v>
      </c>
      <c r="U160" s="90">
        <v>4.4020000000000001</v>
      </c>
      <c r="V160" s="90">
        <v>4.8860000000000001</v>
      </c>
      <c r="W160" s="91">
        <f t="shared" si="2"/>
        <v>2.3166056174543148</v>
      </c>
    </row>
    <row r="161" spans="1:23" x14ac:dyDescent="0.35">
      <c r="A161" s="81" t="s">
        <v>565</v>
      </c>
      <c r="B161" s="81" t="s">
        <v>722</v>
      </c>
      <c r="C161" s="89">
        <v>4.966226080132774</v>
      </c>
      <c r="D161" s="90">
        <v>5.1922367720162121</v>
      </c>
      <c r="E161" s="90">
        <v>5.7634254597189516</v>
      </c>
      <c r="G161" s="103" t="s">
        <v>422</v>
      </c>
      <c r="H161" s="101">
        <v>68.759088115548678</v>
      </c>
      <c r="I161" s="93">
        <v>99</v>
      </c>
      <c r="J161" s="93">
        <v>18</v>
      </c>
      <c r="K161" s="108"/>
      <c r="L161" s="89">
        <v>7.1024448870695505</v>
      </c>
      <c r="M161" s="90">
        <v>7.2965503696402285</v>
      </c>
      <c r="N161" s="90">
        <v>6.8738384408295845</v>
      </c>
      <c r="O161" s="90">
        <v>7.2190000000000003</v>
      </c>
      <c r="P161" s="90">
        <v>5.9320000000000004</v>
      </c>
      <c r="Q161" s="90">
        <v>4.3949999999999996</v>
      </c>
      <c r="R161" s="90">
        <v>5.88</v>
      </c>
      <c r="S161" s="90">
        <v>5.9820000000000002</v>
      </c>
      <c r="T161" s="90">
        <v>1.996</v>
      </c>
      <c r="U161" s="90">
        <v>7.4029999999999996</v>
      </c>
      <c r="V161" s="90">
        <v>5.6689999999999996</v>
      </c>
      <c r="W161" s="91">
        <f t="shared" si="2"/>
        <v>5.4778311158675823</v>
      </c>
    </row>
    <row r="162" spans="1:23" x14ac:dyDescent="0.35">
      <c r="A162" s="81" t="s">
        <v>565</v>
      </c>
      <c r="B162" s="81" t="s">
        <v>723</v>
      </c>
      <c r="C162" s="89">
        <v>6.367284609117374</v>
      </c>
      <c r="D162" s="90">
        <v>8.0753375154714711</v>
      </c>
      <c r="E162" s="90">
        <v>8.6445538917790046</v>
      </c>
      <c r="G162" s="103" t="s">
        <v>422</v>
      </c>
      <c r="H162" s="101">
        <v>62.623537935388953</v>
      </c>
      <c r="I162" s="93">
        <v>120</v>
      </c>
      <c r="J162" s="93">
        <v>24</v>
      </c>
      <c r="K162" s="108"/>
      <c r="L162" s="89">
        <v>12.410056463111571</v>
      </c>
      <c r="M162" s="90">
        <v>7.2891294784445284</v>
      </c>
      <c r="N162" s="90">
        <v>9.6841913021478785</v>
      </c>
      <c r="O162" s="90">
        <v>6.9870000000000001</v>
      </c>
      <c r="P162" s="90">
        <v>6.69</v>
      </c>
      <c r="Q162" s="90">
        <v>6.94</v>
      </c>
      <c r="R162" s="90">
        <v>7.4649999999999999</v>
      </c>
      <c r="S162" s="90">
        <v>7.359</v>
      </c>
      <c r="T162" s="90">
        <v>2.867</v>
      </c>
      <c r="U162" s="90">
        <v>2.5619999999999998</v>
      </c>
      <c r="V162" s="90">
        <v>8.0180000000000007</v>
      </c>
      <c r="W162" s="91">
        <f t="shared" si="2"/>
        <v>8.3599457036252378</v>
      </c>
    </row>
    <row r="163" spans="1:23" x14ac:dyDescent="0.35">
      <c r="A163" s="81" t="s">
        <v>580</v>
      </c>
      <c r="B163" s="81" t="s">
        <v>724</v>
      </c>
      <c r="C163" s="89">
        <v>-1.1017371120758623</v>
      </c>
      <c r="D163" s="90">
        <v>-1.4008554823266794</v>
      </c>
      <c r="E163" s="90">
        <v>0.43888765074564517</v>
      </c>
      <c r="G163" s="103" t="s">
        <v>567</v>
      </c>
      <c r="H163" s="101">
        <v>44.737558430285063</v>
      </c>
      <c r="I163" s="93">
        <v>145</v>
      </c>
      <c r="J163" s="93">
        <v>11</v>
      </c>
      <c r="K163" s="108"/>
      <c r="L163" s="89">
        <v>16.665428768467855</v>
      </c>
      <c r="M163" s="90">
        <v>1.9894927620720551</v>
      </c>
      <c r="N163" s="90">
        <v>2.3769293269800476</v>
      </c>
      <c r="O163" s="90">
        <v>-27.995000000000001</v>
      </c>
      <c r="P163" s="90">
        <v>-9.375</v>
      </c>
      <c r="Q163" s="90">
        <v>-5.0720000000000001</v>
      </c>
      <c r="R163" s="90">
        <v>0.752</v>
      </c>
      <c r="S163" s="90">
        <v>1.4</v>
      </c>
      <c r="T163" s="90">
        <v>-8.5</v>
      </c>
      <c r="U163" s="90">
        <v>-1</v>
      </c>
      <c r="V163" s="90">
        <v>1.5</v>
      </c>
      <c r="W163" s="91">
        <f t="shared" si="2"/>
        <v>-0.48098391579051714</v>
      </c>
    </row>
    <row r="164" spans="1:23" x14ac:dyDescent="0.35">
      <c r="A164" s="81" t="s">
        <v>569</v>
      </c>
      <c r="B164" s="81" t="s">
        <v>725</v>
      </c>
      <c r="C164" s="89">
        <v>1.6991659105087376</v>
      </c>
      <c r="D164" s="90">
        <v>2.110140268966143</v>
      </c>
      <c r="E164" s="90">
        <v>3.0449788505192199</v>
      </c>
      <c r="G164" s="103" t="s">
        <v>422</v>
      </c>
      <c r="H164" s="101">
        <v>61.004320674622747</v>
      </c>
      <c r="I164" s="93">
        <v>124</v>
      </c>
      <c r="J164" s="93">
        <v>29</v>
      </c>
      <c r="K164" s="108"/>
      <c r="L164" s="89">
        <v>7.5975932105319126</v>
      </c>
      <c r="M164" s="90">
        <v>5.0572317397973361</v>
      </c>
      <c r="N164" s="90">
        <v>4.6979923625298614</v>
      </c>
      <c r="O164" s="90">
        <v>2.92</v>
      </c>
      <c r="P164" s="90">
        <v>3.7770000000000001</v>
      </c>
      <c r="Q164" s="90">
        <v>3.504</v>
      </c>
      <c r="R164" s="90">
        <v>4.0350000000000001</v>
      </c>
      <c r="S164" s="90">
        <v>1.4410000000000001</v>
      </c>
      <c r="T164" s="90">
        <v>-2.7850000000000001</v>
      </c>
      <c r="U164" s="90">
        <v>4.5990000000000002</v>
      </c>
      <c r="V164" s="90">
        <v>3.4409999999999998</v>
      </c>
      <c r="W164" s="91">
        <f t="shared" si="2"/>
        <v>2.5775595597426815</v>
      </c>
    </row>
    <row r="165" spans="1:23" x14ac:dyDescent="0.35">
      <c r="A165" s="81" t="s">
        <v>569</v>
      </c>
      <c r="B165" s="81" t="s">
        <v>726</v>
      </c>
      <c r="C165" s="89">
        <v>3.5464749905308901</v>
      </c>
      <c r="D165" s="90">
        <v>2.7818952866475843</v>
      </c>
      <c r="E165" s="90">
        <v>2.7261309103552733</v>
      </c>
      <c r="G165" s="103" t="s">
        <v>567</v>
      </c>
      <c r="H165" s="101">
        <v>55.033873809516088</v>
      </c>
      <c r="I165" s="93">
        <v>133</v>
      </c>
      <c r="J165" s="93">
        <v>33</v>
      </c>
      <c r="K165" s="108"/>
      <c r="L165" s="89">
        <v>17.615397198362849</v>
      </c>
      <c r="M165" s="90">
        <v>10.75800212279124</v>
      </c>
      <c r="N165" s="90">
        <v>3.9762602630956336</v>
      </c>
      <c r="O165" s="90">
        <v>1.794</v>
      </c>
      <c r="P165" s="90">
        <v>0.47799999999999998</v>
      </c>
      <c r="Q165" s="90">
        <v>4.9829999999999997</v>
      </c>
      <c r="R165" s="90">
        <v>4.7320000000000002</v>
      </c>
      <c r="S165" s="90">
        <v>-6.1219999999999999</v>
      </c>
      <c r="T165" s="90">
        <v>-7.8250000000000002</v>
      </c>
      <c r="U165" s="90">
        <v>8.4619999999999997</v>
      </c>
      <c r="V165" s="90">
        <v>3.0289999999999999</v>
      </c>
      <c r="W165" s="91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28"/>
  <sheetViews>
    <sheetView zoomScale="86" zoomScaleNormal="190" workbookViewId="0">
      <selection activeCell="B13" sqref="B1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508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387</v>
      </c>
      <c r="G2" s="39" t="s">
        <v>386</v>
      </c>
      <c r="H2" s="39" t="s">
        <v>477</v>
      </c>
      <c r="I2" s="39" t="s">
        <v>409</v>
      </c>
      <c r="J2" s="39" t="s">
        <v>471</v>
      </c>
      <c r="L2" s="46" t="s">
        <v>474</v>
      </c>
      <c r="M2" s="39" t="s">
        <v>475</v>
      </c>
      <c r="N2" s="39" t="s">
        <v>476</v>
      </c>
      <c r="O2" t="s">
        <v>488</v>
      </c>
      <c r="P2" t="s">
        <v>489</v>
      </c>
      <c r="Q2" t="s">
        <v>491</v>
      </c>
    </row>
    <row r="3" spans="1:21" x14ac:dyDescent="0.35">
      <c r="A3" t="s">
        <v>431</v>
      </c>
      <c r="B3" t="s">
        <v>469</v>
      </c>
      <c r="C3" t="str" cm="1">
        <f t="array" ref="C3">_xll.FDSB(B3,"FG_COMPANY_NAME")</f>
        <v>New Zealand Dollar per U.S. Dollar</v>
      </c>
      <c r="D3" cm="1">
        <f t="array" ref="D3">_xll.FDSB(B3,"FG_PRICE(0)")</f>
        <v>1.6542597000000001</v>
      </c>
      <c r="E3" cm="1">
        <f t="array" ref="E3">_xll.FDSB(B3,"FG_PRICE_CHANGE(0,-1AY)")</f>
        <v>2.0926355999999999</v>
      </c>
      <c r="F3" cm="1">
        <f t="array" ref="F3">_xll.FDSB(B3,"FG_PRICE_CHANGE(0,-1AM)")</f>
        <v>2.0761012999999999</v>
      </c>
      <c r="G3" cm="1">
        <f t="array" ref="G3">_xll.FDSB(B3,"FG_PRICE_CHANGE(0,-3AM)")</f>
        <v>3.9288639999999999</v>
      </c>
      <c r="H3" cm="1">
        <f t="array" ref="H3">_xll.FDSB(B3,"FG_PRICE_CHANGE(0,-6AM)")</f>
        <v>-1.8941283</v>
      </c>
      <c r="I3" cm="1">
        <f t="array" ref="I3">_xll.FDS(B3,"STD(FG_PRICE_CHANGE(0,-1AY,AM))")</f>
        <v>2.4802436612182501</v>
      </c>
      <c r="J3" cm="1">
        <f t="array" ref="J3">_xll.FDS(B3,"STD(FG_PRICE_CHANGE(0,-3AY,M))")*SQRT(12)</f>
        <v>12.232759884598119</v>
      </c>
      <c r="L3">
        <f>(1-(_xlfn.PERCENTRANK.EXC($F$3:$F$15,F3)))*100</f>
        <v>21.499999999999996</v>
      </c>
      <c r="M3">
        <f>(1-(_xlfn.PERCENTRANK.EXC($G$3:$G$15,G3)))*100</f>
        <v>28.6</v>
      </c>
      <c r="N3">
        <f>(1-(_xlfn.PERCENTRANK.EXC($H$3:$H$15,H3)))*100</f>
        <v>71.500000000000014</v>
      </c>
      <c r="O3">
        <f>SUMPRODUCT($L$1:$N$1,L3:N3)</f>
        <v>44.340000000000011</v>
      </c>
      <c r="P3">
        <f>100- (_xlfn.PERCENTRANK.EXC($J$3:$J$15,J3)*100)</f>
        <v>7.1999999999999886</v>
      </c>
      <c r="Q3">
        <f>VLOOKUP(A3,CAD!$A$3:$J$15, 10, FALSE)</f>
        <v>7.1</v>
      </c>
      <c r="S3">
        <f t="shared" ref="S3:S11" si="0">SUMPRODUCT($O$1:$Q$1,O3:Q3)</f>
        <v>25.75</v>
      </c>
      <c r="U3" cm="1">
        <f t="array" ref="U3">_xlfn.PERCENTRANK.EXC(_xlfn._xlws.FILTER(S$3:S$15, ISNUMBER(S$3:S$15)),S3)*100</f>
        <v>14.2</v>
      </c>
    </row>
    <row r="4" spans="1:21" x14ac:dyDescent="0.35">
      <c r="A4" t="s">
        <v>44</v>
      </c>
      <c r="B4" t="s">
        <v>466</v>
      </c>
      <c r="C4" t="str" cm="1">
        <f t="array" ref="C4">_xll.FDSB(B4,"FG_COMPANY_NAME")</f>
        <v>Australian Dollar per U.S. Dollar</v>
      </c>
      <c r="D4" cm="1">
        <f t="array" ref="D4">_xll.FDSB(B4,"FG_PRICE(0)")</f>
        <v>1.5221857999999999</v>
      </c>
      <c r="E4" cm="1">
        <f t="array" ref="E4">_xll.FDSB(B4,"FG_PRICE_CHANGE(0,-1AY)")</f>
        <v>1.2481928</v>
      </c>
      <c r="F4" cm="1">
        <f t="array" ref="F4">_xll.FDSB(B4,"FG_PRICE_CHANGE(0,-1AM)")</f>
        <v>-0.39577484000000002</v>
      </c>
      <c r="G4" cm="1">
        <f t="array" ref="G4">_xll.FDSB(B4,"FG_PRICE_CHANGE(0,-3AM)")</f>
        <v>3.2955290000000002</v>
      </c>
      <c r="H4" cm="1">
        <f t="array" ref="H4">_xll.FDSB(B4,"FG_PRICE_CHANGE(0,-6AM)")</f>
        <v>-2.2832810000000001</v>
      </c>
      <c r="I4" cm="1">
        <f t="array" ref="I4">_xll.FDS(B4,"STD(FG_PRICE_CHANGE(0,-1AY,AM))")</f>
        <v>2.5564222021815501</v>
      </c>
      <c r="J4" cm="1">
        <f t="array" ref="J4">_xll.FDS(B4,"STD(FG_PRICE_CHANGE(0,-3AY,M))")*SQRT(12)</f>
        <v>10.657251729069429</v>
      </c>
      <c r="L4">
        <f t="shared" ref="L4:L15" si="1">(1-(_xlfn.PERCENTRANK.EXC($F$3:$F$15,F4)))*100</f>
        <v>71.500000000000014</v>
      </c>
      <c r="M4">
        <f t="shared" ref="M4:M15" si="2">(1-(_xlfn.PERCENTRANK.EXC($G$3:$G$15,G4)))*100</f>
        <v>42.900000000000006</v>
      </c>
      <c r="N4">
        <f t="shared" ref="N4:N15" si="3">(1-(_xlfn.PERCENTRANK.EXC($H$3:$H$15,H4)))*100</f>
        <v>78.600000000000009</v>
      </c>
      <c r="O4">
        <f t="shared" ref="O4:O11" si="4">SUMPRODUCT($L$1:$N$1,L4:N4)</f>
        <v>62.900000000000013</v>
      </c>
      <c r="P4">
        <f t="shared" ref="P4:P15" si="5">100- (_xlfn.PERCENTRANK.EXC($J$3:$J$15,J4)*100)</f>
        <v>14.299999999999997</v>
      </c>
      <c r="Q4">
        <f>VLOOKUP(A4,CAD!$A$3:$J$15, 10, FALSE)</f>
        <v>50</v>
      </c>
      <c r="S4">
        <f t="shared" si="0"/>
        <v>45.740000000000009</v>
      </c>
      <c r="U4" cm="1">
        <f t="array" ref="U4">_xlfn.PERCENTRANK.EXC(_xlfn._xlws.FILTER(S$3:S$15, ISNUMBER(S$3:S$15)),S4)*100</f>
        <v>35.699999999999996</v>
      </c>
    </row>
    <row r="5" spans="1:21" x14ac:dyDescent="0.35">
      <c r="A5" t="s">
        <v>49</v>
      </c>
      <c r="B5" t="s">
        <v>467</v>
      </c>
      <c r="C5" t="str" cm="1">
        <f t="array" ref="C5">_xll.FDSB(B5,"FG_COMPANY_NAME")</f>
        <v>Canadian Dollar per U.S. Dollar</v>
      </c>
      <c r="D5" cm="1">
        <f t="array" ref="D5">_xll.FDSB(B5,"FG_PRICE(0)")</f>
        <v>1.35375</v>
      </c>
      <c r="E5" cm="1">
        <f t="array" ref="E5">_xll.FDSB(B5,"FG_PRICE_CHANGE(0,-1AY)")</f>
        <v>-1.4092267000000001</v>
      </c>
      <c r="F5" cm="1">
        <f t="array" ref="F5">_xll.FDSB(B5,"FG_PRICE_CHANGE(0,-1AM)")</f>
        <v>0.18501281999999999</v>
      </c>
      <c r="G5" cm="1">
        <f t="array" ref="G5">_xll.FDSB(B5,"FG_PRICE_CHANGE(0,-3AM)")</f>
        <v>1.7130612999999999</v>
      </c>
      <c r="H5" cm="1">
        <f t="array" ref="H5">_xll.FDSB(B5,"FG_PRICE_CHANGE(0,-6AM)")</f>
        <v>0.30750035999999997</v>
      </c>
      <c r="I5" cm="1">
        <f t="array" ref="I5">_xll.FDS(B5,"STD(FG_PRICE_CHANGE(0,-1AY,AM))")</f>
        <v>1.5603422885864699</v>
      </c>
      <c r="J5" cm="1">
        <f t="array" ref="J5">_xll.FDS(B5,"STD(FG_PRICE_CHANGE(0,-3AY,M))")*SQRT(12)</f>
        <v>6.5261579025430958</v>
      </c>
      <c r="L5">
        <f t="shared" si="1"/>
        <v>42.900000000000006</v>
      </c>
      <c r="M5">
        <f t="shared" si="2"/>
        <v>50</v>
      </c>
      <c r="N5">
        <f t="shared" si="3"/>
        <v>14.3</v>
      </c>
      <c r="O5">
        <f t="shared" si="4"/>
        <v>34.300000000000004</v>
      </c>
      <c r="P5">
        <f t="shared" si="5"/>
        <v>71.5</v>
      </c>
      <c r="Q5">
        <f>VLOOKUP(A5,CAD!$A$3:$J$15, 10, FALSE)</f>
        <v>42.8</v>
      </c>
      <c r="S5">
        <f t="shared" si="0"/>
        <v>47.160000000000004</v>
      </c>
      <c r="U5" cm="1">
        <f t="array" ref="U5">_xlfn.PERCENTRANK.EXC(_xlfn._xlws.FILTER(S$3:S$15, ISNUMBER(S$3:S$15)),S5)*100</f>
        <v>42.8</v>
      </c>
    </row>
    <row r="6" spans="1:21" x14ac:dyDescent="0.35">
      <c r="A6" t="s">
        <v>11</v>
      </c>
      <c r="B6" t="s">
        <v>464</v>
      </c>
      <c r="C6" t="str" cm="1">
        <f t="array" ref="C6">_xll.FDSB(B6,"FG_COMPANY_NAME")</f>
        <v>Euro per U.S. Dollar</v>
      </c>
      <c r="D6" cm="1">
        <f t="array" ref="D6">_xll.FDSB(B6,"FG_PRICE(0)")</f>
        <v>0.92072549999999997</v>
      </c>
      <c r="E6" cm="1">
        <f t="array" ref="E6">_xll.FDSB(B6,"FG_PRICE_CHANGE(0,-1AY)")</f>
        <v>-0.83326100000000003</v>
      </c>
      <c r="F6" cm="1">
        <f t="array" ref="F6">_xll.FDSB(B6,"FG_PRICE_CHANGE(0,-1AM)")</f>
        <v>-0.51100254000000001</v>
      </c>
      <c r="G6" cm="1">
        <f t="array" ref="G6">_xll.FDSB(B6,"FG_PRICE_CHANGE(0,-3AM)")</f>
        <v>1.1877298000000001</v>
      </c>
      <c r="H6" cm="1">
        <f t="array" ref="H6">_xll.FDSB(B6,"FG_PRICE_CHANGE(0,-6AM)")</f>
        <v>-1.8506646</v>
      </c>
      <c r="I6" cm="1">
        <f t="array" ref="I6">_xll.FDS(B6,"STD(FG_PRICE_CHANGE(0,-1AY,AM))")</f>
        <v>1.6484797626396399</v>
      </c>
      <c r="J6" cm="1">
        <f t="array" ref="J6">_xll.FDS(B6,"STD(FG_PRICE_CHANGE(0,-3AY,M))")*SQRT(12)</f>
        <v>7.8939456392796519</v>
      </c>
      <c r="L6">
        <f t="shared" si="1"/>
        <v>92.9</v>
      </c>
      <c r="M6">
        <f t="shared" si="2"/>
        <v>64.3</v>
      </c>
      <c r="N6">
        <f t="shared" si="3"/>
        <v>64.3</v>
      </c>
      <c r="O6">
        <f t="shared" si="4"/>
        <v>70.02</v>
      </c>
      <c r="P6">
        <f t="shared" si="5"/>
        <v>57.2</v>
      </c>
      <c r="Q6">
        <f>VLOOKUP(A6,CAD!$A$3:$J$15, 10, FALSE)</f>
        <v>78.5</v>
      </c>
      <c r="S6">
        <f t="shared" si="0"/>
        <v>67.87</v>
      </c>
      <c r="U6" cm="1">
        <f t="array" ref="U6">_xlfn.PERCENTRANK.EXC(_xlfn._xlws.FILTER(S$3:S$15, ISNUMBER(S$3:S$15)),S6)*100</f>
        <v>85.7</v>
      </c>
    </row>
    <row r="7" spans="1:21" x14ac:dyDescent="0.35">
      <c r="A7" t="s">
        <v>46</v>
      </c>
      <c r="B7" t="s">
        <v>465</v>
      </c>
      <c r="C7" t="str" cm="1">
        <f t="array" ref="C7">_xll.FDSB(B7,"FG_COMPANY_NAME")</f>
        <v>Japanese Yen per U.S. Dollar</v>
      </c>
      <c r="D7" cm="1">
        <f t="array" ref="D7">_xll.FDSB(B7,"FG_PRICE(0)")</f>
        <v>151.58500000000001</v>
      </c>
      <c r="E7" cm="1">
        <f t="array" ref="E7">_xll.FDSB(B7,"FG_PRICE_CHANGE(0,-1AY)")</f>
        <v>14.598381</v>
      </c>
      <c r="F7" cm="1">
        <f t="array" ref="F7">_xll.FDSB(B7,"FG_PRICE_CHANGE(0,-1AM)")</f>
        <v>0.88852644000000003</v>
      </c>
      <c r="G7" cm="1">
        <f t="array" ref="G7">_xll.FDSB(B7,"FG_PRICE_CHANGE(0,-3AM)")</f>
        <v>6.6186069999999999</v>
      </c>
      <c r="H7" cm="1">
        <f t="array" ref="H7">_xll.FDSB(B7,"FG_PRICE_CHANGE(0,-6AM)")</f>
        <v>2.7904034000000002</v>
      </c>
      <c r="I7" cm="1">
        <f t="array" ref="I7">_xll.FDS(B7,"STD(FG_PRICE_CHANGE(0,-1AY,AM))")</f>
        <v>2.2477412086405</v>
      </c>
      <c r="J7" cm="1">
        <f t="array" ref="J7">_xll.FDS(B7,"STD(FG_PRICE_CHANGE(0,-3AY,M))")*SQRT(12)</f>
        <v>10.583389736033423</v>
      </c>
      <c r="L7">
        <f t="shared" si="1"/>
        <v>28.6</v>
      </c>
      <c r="M7">
        <f t="shared" si="2"/>
        <v>7.1999999999999957</v>
      </c>
      <c r="N7">
        <f t="shared" si="3"/>
        <v>7.1999999999999957</v>
      </c>
      <c r="O7">
        <f t="shared" si="4"/>
        <v>11.479999999999999</v>
      </c>
      <c r="P7">
        <f t="shared" si="5"/>
        <v>21.5</v>
      </c>
      <c r="Q7">
        <f>VLOOKUP(A7,CAD!$A$3:$J$15, 10, FALSE)</f>
        <v>64.2</v>
      </c>
      <c r="S7">
        <f t="shared" si="0"/>
        <v>25.03</v>
      </c>
      <c r="U7" cm="1">
        <f t="array" ref="U7">_xlfn.PERCENTRANK.EXC(_xlfn._xlws.FILTER(S$3:S$15, ISNUMBER(S$3:S$15)),S7)*100</f>
        <v>7.1</v>
      </c>
    </row>
    <row r="8" spans="1:21" x14ac:dyDescent="0.35">
      <c r="A8" t="s">
        <v>42</v>
      </c>
      <c r="B8" t="s">
        <v>470</v>
      </c>
      <c r="C8" t="str" cm="1">
        <f t="array" ref="C8">_xll.FDSB(B8,"FG_COMPANY_NAME")</f>
        <v>Swiss Franc per U.S. Dollar</v>
      </c>
      <c r="D8" cm="1">
        <f t="array" ref="D8">_xll.FDSB(B8,"FG_PRICE(0)")</f>
        <v>0.89924999999999999</v>
      </c>
      <c r="E8" cm="1">
        <f t="array" ref="E8">_xll.FDSB(B8,"FG_PRICE_CHANGE(0,-1AY)")</f>
        <v>-2.6469648000000001</v>
      </c>
      <c r="F8" cm="1">
        <f t="array" ref="F8">_xll.FDSB(B8,"FG_PRICE_CHANGE(0,-1AM)")</f>
        <v>2.0888805000000001</v>
      </c>
      <c r="G8" cm="1">
        <f t="array" ref="G8">_xll.FDSB(B8,"FG_PRICE_CHANGE(0,-3AM)")</f>
        <v>4.9422382999999996</v>
      </c>
      <c r="H8" cm="1">
        <f t="array" ref="H8">_xll.FDSB(B8,"FG_PRICE_CHANGE(0,-6AM)")</f>
        <v>-0.40425657999999998</v>
      </c>
      <c r="I8" cm="1">
        <f t="array" ref="I8">_xll.FDS(B8,"STD(FG_PRICE_CHANGE(0,-1AY,AM))")</f>
        <v>2.05634028196729</v>
      </c>
      <c r="J8" cm="1">
        <f t="array" ref="J8">_xll.FDS(B8,"STD(FG_PRICE_CHANGE(0,-3AY,M))")*SQRT(12)</f>
        <v>8.8357526025271032</v>
      </c>
      <c r="L8">
        <f t="shared" si="1"/>
        <v>14.3</v>
      </c>
      <c r="M8">
        <f t="shared" si="2"/>
        <v>21.499999999999996</v>
      </c>
      <c r="N8">
        <f t="shared" si="3"/>
        <v>50</v>
      </c>
      <c r="O8">
        <f t="shared" si="4"/>
        <v>31.46</v>
      </c>
      <c r="P8">
        <f t="shared" si="5"/>
        <v>42.900000000000006</v>
      </c>
      <c r="Q8">
        <f>VLOOKUP(A8,CAD!$A$3:$J$15, 10, FALSE)</f>
        <v>85.7</v>
      </c>
      <c r="S8">
        <f t="shared" si="0"/>
        <v>45.74</v>
      </c>
      <c r="U8" cm="1">
        <f t="array" ref="U8">_xlfn.PERCENTRANK.EXC(_xlfn._xlws.FILTER(S$3:S$15, ISNUMBER(S$3:S$15)),S8)*100</f>
        <v>28.499999999999996</v>
      </c>
    </row>
    <row r="9" spans="1:21" x14ac:dyDescent="0.35">
      <c r="A9" t="s">
        <v>48</v>
      </c>
      <c r="B9" t="s">
        <v>468</v>
      </c>
      <c r="C9" t="str" cm="1">
        <f t="array" ref="C9">_xll.FDSB(B9,"FG_COMPANY_NAME")</f>
        <v>British Pounds per U.S. Dollar</v>
      </c>
      <c r="D9" cm="1">
        <f t="array" ref="D9">_xll.FDSB(B9,"FG_PRICE(0)")</f>
        <v>0.78942173999999998</v>
      </c>
      <c r="E9" cm="1">
        <f t="array" ref="E9">_xll.FDSB(B9,"FG_PRICE_CHANGE(0,-1AY)")</f>
        <v>-3.7260770000000001</v>
      </c>
      <c r="F9" cm="1">
        <f t="array" ref="F9">_xll.FDSB(B9,"FG_PRICE_CHANGE(0,-1AM)")</f>
        <v>-0.42629242000000001</v>
      </c>
      <c r="G9" cm="1">
        <f t="array" ref="G9">_xll.FDSB(B9,"FG_PRICE_CHANGE(0,-3AM)")</f>
        <v>-0.10262728</v>
      </c>
      <c r="H9" cm="1">
        <f t="array" ref="H9">_xll.FDSB(B9,"FG_PRICE_CHANGE(0,-6AM)")</f>
        <v>-3.0037522000000001</v>
      </c>
      <c r="I9" cm="1">
        <f t="array" ref="I9">_xll.FDS(B9,"STD(FG_PRICE_CHANGE(0,-1AY,AM))")</f>
        <v>1.67905064459856</v>
      </c>
      <c r="J9" cm="1">
        <f t="array" ref="J9">_xll.FDS(B9,"STD(FG_PRICE_CHANGE(0,-3AY,M))")*SQRT(12)</f>
        <v>8.3570058740616187</v>
      </c>
      <c r="L9">
        <f t="shared" si="1"/>
        <v>78.600000000000009</v>
      </c>
      <c r="M9">
        <f t="shared" si="2"/>
        <v>92.9</v>
      </c>
      <c r="N9">
        <f t="shared" si="3"/>
        <v>85.8</v>
      </c>
      <c r="O9">
        <f>SUMPRODUCT($L$1:$N$1,L9:N9)</f>
        <v>87.200000000000017</v>
      </c>
      <c r="P9">
        <f t="shared" si="5"/>
        <v>50</v>
      </c>
      <c r="Q9">
        <f>VLOOKUP(A9,CAD!$A$3:$J$15, 10, FALSE)</f>
        <v>28.499999999999996</v>
      </c>
      <c r="S9">
        <f t="shared" si="0"/>
        <v>64.300000000000011</v>
      </c>
      <c r="U9" cm="1">
        <f t="array" ref="U9">_xlfn.PERCENTRANK.EXC(_xlfn._xlws.FILTER(S$3:S$15, ISNUMBER(S$3:S$15)),S9)*100</f>
        <v>71.399999999999991</v>
      </c>
    </row>
    <row r="10" spans="1:21" x14ac:dyDescent="0.35">
      <c r="A10" t="s">
        <v>51</v>
      </c>
      <c r="B10" t="s">
        <v>554</v>
      </c>
      <c r="C10" t="str" cm="1">
        <f t="array" ref="C10">_xll.FDSB(B10,"FG_COMPANY_NAME")</f>
        <v>U.S. Dollar per U.S. Dollar</v>
      </c>
      <c r="D10" cm="1">
        <f t="array" ref="D10">_xll.FDSB(B10,"FG_PRICE(0)")</f>
        <v>1</v>
      </c>
      <c r="E10" cm="1">
        <f t="array" ref="E10">_xll.FDSB(B10,"FG_PRICE_CHANGE(0,-1AY)")</f>
        <v>0</v>
      </c>
      <c r="F10" cm="1">
        <f t="array" ref="F10">_xll.FDSB(B10,"FG_PRICE_CHANGE(0,-1AM)")</f>
        <v>0</v>
      </c>
      <c r="G10" cm="1">
        <f t="array" ref="G10">_xll.FDSB(B10,"FG_PRICE_CHANGE(0,-3AM)")</f>
        <v>0</v>
      </c>
      <c r="H10" cm="1">
        <f t="array" ref="H10">_xll.FDSB(B10,"FG_PRICE_CHANGE(0,-6AM)")</f>
        <v>0</v>
      </c>
      <c r="I10" cm="1">
        <f t="array" ref="I10">_xll.FDS(B10,"STD(FG_PRICE_CHANGE(0,-1AY,AM))")</f>
        <v>0</v>
      </c>
      <c r="J10" cm="1">
        <f t="array" ref="J10">_xll.FDS(B10,"STD(FG_PRICE_CHANGE(0,-3AY,M))")*SQRT(12)</f>
        <v>0</v>
      </c>
      <c r="L10">
        <f t="shared" si="1"/>
        <v>64.3</v>
      </c>
      <c r="M10">
        <f t="shared" si="2"/>
        <v>85.8</v>
      </c>
      <c r="N10">
        <f t="shared" si="3"/>
        <v>35.799999999999997</v>
      </c>
      <c r="O10">
        <f t="shared" si="4"/>
        <v>61.5</v>
      </c>
      <c r="P10">
        <f t="shared" si="5"/>
        <v>92.9</v>
      </c>
      <c r="Q10">
        <f>VLOOKUP(A10,CAD!$A$3:$J$15, 10, FALSE)</f>
        <v>14.2</v>
      </c>
      <c r="S10">
        <f t="shared" si="0"/>
        <v>61.460000000000008</v>
      </c>
      <c r="U10" cm="1">
        <f t="array" ref="U10">_xlfn.PERCENTRANK.EXC(_xlfn._xlws.FILTER(S$3:S$15, ISNUMBER(S$3:S$15)),S10)*100</f>
        <v>57.099999999999994</v>
      </c>
    </row>
    <row r="11" spans="1:21" x14ac:dyDescent="0.35">
      <c r="A11" t="s">
        <v>1</v>
      </c>
      <c r="B11" t="s">
        <v>554</v>
      </c>
      <c r="C11" t="str" cm="1">
        <f t="array" ref="C11">_xll.FDSB(B11,"FG_COMPANY_NAME")</f>
        <v>U.S. Dollar per U.S. Dollar</v>
      </c>
      <c r="D11" cm="1">
        <f t="array" ref="D11">_xll.FDSB(B11,"FG_PRICE(0)")</f>
        <v>1</v>
      </c>
      <c r="E11" cm="1">
        <f t="array" ref="E11">_xll.FDSB(B11,"FG_PRICE_CHANGE(0,-1AY)")</f>
        <v>0</v>
      </c>
      <c r="F11" cm="1">
        <f t="array" ref="F11">_xll.FDSB(B11,"FG_PRICE_CHANGE(0,-1AM)")</f>
        <v>0</v>
      </c>
      <c r="G11" cm="1">
        <f t="array" ref="G11">_xll.FDSB(B11,"FG_PRICE_CHANGE(0,-3AM)")</f>
        <v>0</v>
      </c>
      <c r="H11" cm="1">
        <f t="array" ref="H11">_xll.FDSB(B11,"FG_PRICE_CHANGE(0,-6AM)")</f>
        <v>0</v>
      </c>
      <c r="I11" cm="1">
        <f t="array" ref="I11">_xll.FDS(B11,"STD(FG_PRICE_CHANGE(0,-1AY,AM))")</f>
        <v>0</v>
      </c>
      <c r="J11" cm="1">
        <f t="array" ref="J11">_xll.FDS(B11,"STD(FG_PRICE_CHANGE(0,-3AY,M))")*SQRT(12)</f>
        <v>0</v>
      </c>
      <c r="L11">
        <f t="shared" si="1"/>
        <v>64.3</v>
      </c>
      <c r="M11">
        <f t="shared" si="2"/>
        <v>85.8</v>
      </c>
      <c r="N11">
        <f t="shared" si="3"/>
        <v>35.799999999999997</v>
      </c>
      <c r="O11">
        <f t="shared" si="4"/>
        <v>61.5</v>
      </c>
      <c r="P11">
        <f t="shared" si="5"/>
        <v>92.9</v>
      </c>
      <c r="Q11">
        <f>VLOOKUP(A11,CAD!$A$3:$J$15, 10, FALSE)</f>
        <v>14.2</v>
      </c>
      <c r="S11">
        <f t="shared" si="0"/>
        <v>61.460000000000008</v>
      </c>
      <c r="U11" cm="1">
        <f t="array" ref="U11">_xlfn.PERCENTRANK.EXC(_xlfn._xlws.FILTER(S$3:S$15, ISNUMBER(S$3:S$15)),S11)*100</f>
        <v>57.099999999999994</v>
      </c>
    </row>
    <row r="12" spans="1:21" x14ac:dyDescent="0.35">
      <c r="A12" t="s">
        <v>865</v>
      </c>
      <c r="B12" t="s">
        <v>470</v>
      </c>
      <c r="C12" t="str" cm="1">
        <f t="array" ref="C12">_xll.FDSB(B12,"FG_COMPANY_NAME")</f>
        <v>Swiss Franc per U.S. Dollar</v>
      </c>
      <c r="D12" cm="1">
        <f t="array" ref="D12">_xll.FDSB(B12,"FG_PRICE(0)")</f>
        <v>0.89924999999999999</v>
      </c>
      <c r="E12" cm="1">
        <f t="array" ref="E12">_xll.FDSB(B12,"FG_PRICE_CHANGE(0,-1AY)")</f>
        <v>-2.6469648000000001</v>
      </c>
      <c r="F12" cm="1">
        <f t="array" ref="F12">_xll.FDSB(B12,"FG_PRICE_CHANGE(0,-1AM)")</f>
        <v>2.0888805000000001</v>
      </c>
      <c r="G12" cm="1">
        <f t="array" ref="G12">_xll.FDSB(B12,"FG_PRICE_CHANGE(0,-3AM)")</f>
        <v>4.9422382999999996</v>
      </c>
      <c r="H12" cm="1">
        <f t="array" ref="H12">_xll.FDSB(B12,"FG_PRICE_CHANGE(0,-6AM)")</f>
        <v>-0.40425657999999998</v>
      </c>
      <c r="I12" cm="1">
        <f t="array" ref="I12">_xll.FDS(B12,"STD(FG_PRICE_CHANGE(0,-1AY,AM))")</f>
        <v>2.05634028196729</v>
      </c>
      <c r="J12" cm="1">
        <f t="array" ref="J12">_xll.FDS(B12,"STD(FG_PRICE_CHANGE(0,-3AY,M))")*SQRT(12)</f>
        <v>8.8357526025271032</v>
      </c>
      <c r="L12">
        <f t="shared" si="1"/>
        <v>14.3</v>
      </c>
      <c r="M12">
        <f t="shared" si="2"/>
        <v>21.499999999999996</v>
      </c>
      <c r="N12">
        <f t="shared" si="3"/>
        <v>50</v>
      </c>
      <c r="O12">
        <f t="shared" ref="O12:O15" si="6">SUMPRODUCT($L$1:$N$1,L12:N12)</f>
        <v>31.46</v>
      </c>
      <c r="P12">
        <f t="shared" si="5"/>
        <v>42.900000000000006</v>
      </c>
      <c r="Q12">
        <f>VLOOKUP(A12,CAD!$A$3:$J$15, 10, FALSE)</f>
        <v>35.699999999999996</v>
      </c>
      <c r="S12">
        <f t="shared" ref="S12:S15" si="7">SUMPRODUCT($O$1:$Q$1,O12:Q12)</f>
        <v>35.74</v>
      </c>
      <c r="U12" cm="1">
        <f t="array" ref="U12">_xlfn.PERCENTRANK.EXC(_xlfn._xlws.FILTER(S$3:S$15, ISNUMBER(S$3:S$15)),S12)*100</f>
        <v>21.4</v>
      </c>
    </row>
    <row r="13" spans="1:21" s="183" customFormat="1" x14ac:dyDescent="0.35">
      <c r="A13" s="183" t="s">
        <v>867</v>
      </c>
      <c r="B13" s="183" t="s">
        <v>880</v>
      </c>
      <c r="C13" s="183" t="str" cm="1">
        <f t="array" ref="C13">_xll.FDSB(B13,"FG_COMPANY_NAME")</f>
        <v>Netherlands Antilles Guilder per U.S. Dollar</v>
      </c>
      <c r="D13" s="183" cm="1">
        <f t="array" ref="D13">_xll.FDSB(B13,"FG_PRICE(0)")</f>
        <v>1.79</v>
      </c>
      <c r="E13" s="183" cm="1">
        <f t="array" ref="E13">_xll.FDSB(B13,"FG_PRICE_CHANGE(0,-1AY)")</f>
        <v>0</v>
      </c>
      <c r="F13" s="183" cm="1">
        <f t="array" ref="F13">_xll.FDSB(B13,"FG_PRICE_CHANGE(0,-1AM)")</f>
        <v>0</v>
      </c>
      <c r="G13" s="183" cm="1">
        <f t="array" ref="G13">_xll.FDSB(B13,"FG_PRICE_CHANGE(0,-3AM)")</f>
        <v>0</v>
      </c>
      <c r="H13" s="183" cm="1">
        <f t="array" ref="H13">_xll.FDSB(B13,"FG_PRICE_CHANGE(0,-6AM)")</f>
        <v>0</v>
      </c>
      <c r="I13" s="183" cm="1">
        <f t="array" ref="I13">_xll.FDS(B13,"STD(FG_PRICE_CHANGE(0,-1AY,AM))")</f>
        <v>0</v>
      </c>
      <c r="J13" s="183" cm="1">
        <f t="array" ref="J13">_xll.FDS(B13,"STD(FG_PRICE_CHANGE(0,-3AY,M))")*SQRT(12)</f>
        <v>0</v>
      </c>
      <c r="L13" s="183">
        <f t="shared" si="1"/>
        <v>64.3</v>
      </c>
      <c r="M13" s="183">
        <f t="shared" si="2"/>
        <v>85.8</v>
      </c>
      <c r="N13" s="183">
        <f t="shared" si="3"/>
        <v>35.799999999999997</v>
      </c>
      <c r="O13" s="183">
        <f t="shared" si="6"/>
        <v>61.5</v>
      </c>
      <c r="P13" s="183">
        <f t="shared" si="5"/>
        <v>92.9</v>
      </c>
      <c r="Q13" s="183">
        <f>VLOOKUP(A13,CAD!$A$3:$J$15, 10, FALSE)</f>
        <v>92.800000000000011</v>
      </c>
      <c r="S13" s="183">
        <f t="shared" si="7"/>
        <v>77.180000000000007</v>
      </c>
      <c r="U13" s="183" cm="1">
        <f t="array" ref="U13">_xlfn.PERCENTRANK.EXC(_xlfn._xlws.FILTER(S$3:S$15, ISNUMBER(S$3:S$15)),S13)*100</f>
        <v>92.800000000000011</v>
      </c>
    </row>
    <row r="14" spans="1:21" x14ac:dyDescent="0.35">
      <c r="A14" t="s">
        <v>864</v>
      </c>
      <c r="B14" t="s">
        <v>881</v>
      </c>
      <c r="C14" t="str" cm="1">
        <f t="array" ref="C14">_xll.FDSB(B14,"FG_COMPANY_NAME")</f>
        <v>Swedish Krona per U.S. Dollar</v>
      </c>
      <c r="D14" cm="1">
        <f t="array" ref="D14">_xll.FDSB(B14,"FG_PRICE(0)")</f>
        <v>10.4627</v>
      </c>
      <c r="E14" cm="1">
        <f t="array" ref="E14">_xll.FDSB(B14,"FG_PRICE_CHANGE(0,-1AY)")</f>
        <v>1.1206388</v>
      </c>
      <c r="F14" cm="1">
        <f t="array" ref="F14">_xll.FDSB(B14,"FG_PRICE_CHANGE(0,-1AM)")</f>
        <v>0.77973603999999996</v>
      </c>
      <c r="G14" cm="1">
        <f t="array" ref="G14">_xll.FDSB(B14,"FG_PRICE_CHANGE(0,-3AM)")</f>
        <v>3.4783840000000001</v>
      </c>
      <c r="H14" cm="1">
        <f t="array" ref="H14">_xll.FDSB(B14,"FG_PRICE_CHANGE(0,-6AM)")</f>
        <v>-6.4970492999999996</v>
      </c>
      <c r="I14" cm="1">
        <f t="array" ref="I14">_xll.FDS(B14,"STD(FG_PRICE_CHANGE(0,-1AY,AM))")</f>
        <v>2.88869183613869</v>
      </c>
      <c r="J14" cm="1">
        <f t="array" ref="J14">_xll.FDS(B14,"STD(FG_PRICE_CHANGE(0,-3AY,M))")*SQRT(12)</f>
        <v>10.303259917483741</v>
      </c>
      <c r="L14">
        <f t="shared" si="1"/>
        <v>35.799999999999997</v>
      </c>
      <c r="M14">
        <f t="shared" si="2"/>
        <v>35.799999999999997</v>
      </c>
      <c r="N14">
        <f t="shared" si="3"/>
        <v>92.9</v>
      </c>
      <c r="O14">
        <f t="shared" si="6"/>
        <v>58.64</v>
      </c>
      <c r="P14">
        <f t="shared" si="5"/>
        <v>28.600000000000009</v>
      </c>
      <c r="Q14">
        <f>VLOOKUP(A14,CAD!$A$3:$J$15, 10, FALSE)</f>
        <v>71.399999999999991</v>
      </c>
      <c r="S14">
        <f t="shared" si="7"/>
        <v>52.180000000000007</v>
      </c>
      <c r="U14" cm="1">
        <f t="array" ref="U14">_xlfn.PERCENTRANK.EXC(_xlfn._xlws.FILTER(S$3:S$15, ISNUMBER(S$3:S$15)),S14)*100</f>
        <v>50</v>
      </c>
    </row>
    <row r="15" spans="1:21" x14ac:dyDescent="0.35">
      <c r="A15" t="s">
        <v>866</v>
      </c>
      <c r="B15" t="s">
        <v>882</v>
      </c>
      <c r="C15" t="str" cm="1">
        <f t="array" ref="C15">_xll.FDSB(B15,"FG_COMPANY_NAME")</f>
        <v>Italian Lira per U.S. Dollar</v>
      </c>
      <c r="D15" cm="1">
        <f t="array" ref="D15">_xll.FDSB(B15,"FG_PRICE(0)")</f>
        <v>1782.7732000000001</v>
      </c>
      <c r="E15" cm="1">
        <f t="array" ref="E15">_xll.FDSB(B15,"FG_PRICE_CHANGE(0,-1AY)")</f>
        <v>-0.83326100000000003</v>
      </c>
      <c r="F15" cm="1">
        <f t="array" ref="F15">_xll.FDSB(B15,"FG_PRICE_CHANGE(0,-1AM)")</f>
        <v>-0.51100254000000001</v>
      </c>
      <c r="G15" cm="1">
        <f t="array" ref="G15">_xll.FDSB(B15,"FG_PRICE_CHANGE(0,-3AM)")</f>
        <v>1.1877298000000001</v>
      </c>
      <c r="H15" cm="1">
        <f t="array" ref="H15">_xll.FDSB(B15,"FG_PRICE_CHANGE(0,-6AM)")</f>
        <v>-1.8506646</v>
      </c>
      <c r="I15" cm="1">
        <f t="array" ref="I15">_xll.FDS(B15,"STD(FG_PRICE_CHANGE(0,-1AY,AM))")</f>
        <v>1.64848043693628</v>
      </c>
      <c r="J15" cm="1">
        <f t="array" ref="J15">_xll.FDS(B15,"STD(FG_PRICE_CHANGE(0,-3AY,M))")*SQRT(12)</f>
        <v>7.8939448470427314</v>
      </c>
      <c r="L15">
        <f t="shared" si="1"/>
        <v>92.9</v>
      </c>
      <c r="M15">
        <f t="shared" si="2"/>
        <v>64.3</v>
      </c>
      <c r="N15">
        <f t="shared" si="3"/>
        <v>64.3</v>
      </c>
      <c r="O15">
        <f t="shared" si="6"/>
        <v>70.02</v>
      </c>
      <c r="P15">
        <f t="shared" si="5"/>
        <v>64.300000000000011</v>
      </c>
      <c r="Q15">
        <f>VLOOKUP(A15,CAD!$A$3:$J$15, 10, FALSE)</f>
        <v>57.099999999999994</v>
      </c>
      <c r="S15">
        <f t="shared" si="7"/>
        <v>65.72</v>
      </c>
      <c r="U15" cm="1">
        <f t="array" ref="U15">_xlfn.PERCENTRANK.EXC(_xlfn._xlws.FILTER(S$3:S$15, ISNUMBER(S$3:S$15)),S15)*100</f>
        <v>78.5</v>
      </c>
    </row>
    <row r="24" spans="10:10" x14ac:dyDescent="0.35">
      <c r="J24" s="53"/>
    </row>
    <row r="26" spans="10:10" x14ac:dyDescent="0.35">
      <c r="J26" s="67"/>
    </row>
    <row r="28" spans="10:10" x14ac:dyDescent="0.35">
      <c r="J28" s="6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15"/>
  <sheetViews>
    <sheetView topLeftCell="C1" zoomScale="145" zoomScaleNormal="145" workbookViewId="0">
      <selection activeCell="J8" sqref="J8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481</v>
      </c>
      <c r="G1" t="s">
        <v>482</v>
      </c>
      <c r="H1" t="s">
        <v>483</v>
      </c>
      <c r="J1" t="s">
        <v>492</v>
      </c>
    </row>
    <row r="2" spans="1:10" x14ac:dyDescent="0.35">
      <c r="C2" t="s">
        <v>484</v>
      </c>
      <c r="D2" t="s">
        <v>152</v>
      </c>
      <c r="E2" t="s">
        <v>485</v>
      </c>
      <c r="F2" t="s">
        <v>486</v>
      </c>
      <c r="G2" t="s">
        <v>479</v>
      </c>
      <c r="H2" t="s">
        <v>480</v>
      </c>
    </row>
    <row r="3" spans="1:10" x14ac:dyDescent="0.35">
      <c r="A3" t="s">
        <v>431</v>
      </c>
      <c r="B3" t="s">
        <v>469</v>
      </c>
      <c r="C3" t="str" cm="1">
        <f t="array" ref="C3">_xll.FDS($E3,"FG_COMPANY_NAME")</f>
        <v>New Zealand</v>
      </c>
      <c r="D3" t="s">
        <v>197</v>
      </c>
      <c r="E3" t="s">
        <v>198</v>
      </c>
      <c r="F3" t="str">
        <f t="shared" ref="F3:F15" si="0">_xlfn.CONCAT($F$1,D3)</f>
        <v>CAGDPY@NZ</v>
      </c>
      <c r="G3" cm="1">
        <f t="array" ref="G3">IFERROR(_xll.FDS($F3,"EE_ACTUAL_ANNUAL(MED,0)"),0)</f>
        <v>-6.9</v>
      </c>
      <c r="H3" cm="1">
        <f t="array" ref="H3">IFERROR(_xll.FDS($F3,"EE_ACTUAL_ANNUAL(MED,+1)"),0)</f>
        <v>-6.1</v>
      </c>
      <c r="J3" cm="1">
        <f t="array" ref="J3">_xlfn.PERCENTRANK.EXC(_xlfn._xlws.FILTER(H$3:H$15, ISNUMBER(H$3:H$15)),H3)*100</f>
        <v>7.1</v>
      </c>
    </row>
    <row r="4" spans="1:10" x14ac:dyDescent="0.35">
      <c r="A4" t="s">
        <v>44</v>
      </c>
      <c r="B4" t="s">
        <v>466</v>
      </c>
      <c r="C4" t="str" cm="1">
        <f t="array" ref="C4">_xll.FDS($E4,"FG_COMPANY_NAME")</f>
        <v>Australia</v>
      </c>
      <c r="D4" t="s">
        <v>113</v>
      </c>
      <c r="E4" t="s">
        <v>174</v>
      </c>
      <c r="F4" t="str">
        <f t="shared" si="0"/>
        <v>CAGDPY@AU</v>
      </c>
      <c r="G4" cm="1">
        <f t="array" ref="G4">IFERROR(_xll.FDS($F4,"EE_ACTUAL_ANNUAL(MED,0)"),0)</f>
        <v>1.2187158046039499</v>
      </c>
      <c r="H4" cm="1">
        <f t="array" ref="H4">IFERROR(_xll.FDS($F4,"EE_ACTUAL_ANNUAL(MED,+1)"),0)</f>
        <v>0.5</v>
      </c>
      <c r="J4" cm="1">
        <f t="array" ref="J4">_xlfn.PERCENTRANK.EXC(_xlfn._xlws.FILTER(H$3:H$15, ISNUMBER(H$3:H$15)),H4)*100</f>
        <v>50</v>
      </c>
    </row>
    <row r="5" spans="1:10" x14ac:dyDescent="0.35">
      <c r="A5" t="s">
        <v>49</v>
      </c>
      <c r="B5" t="s">
        <v>467</v>
      </c>
      <c r="C5" t="str" cm="1">
        <f t="array" ref="C5">_xll.FDS($E5,"FG_COMPANY_NAME")</f>
        <v>Canada</v>
      </c>
      <c r="D5" t="s">
        <v>116</v>
      </c>
      <c r="E5" t="s">
        <v>157</v>
      </c>
      <c r="F5" t="str">
        <f t="shared" si="0"/>
        <v>CAGDPY@CA</v>
      </c>
      <c r="G5" cm="1">
        <f t="array" ref="G5">IFERROR(_xll.FDS($F5,"EE_ACTUAL_ANNUAL(MED,0)"),0)</f>
        <v>-0.61472799523697397</v>
      </c>
      <c r="H5" cm="1">
        <f t="array" ref="H5">IFERROR(_xll.FDS($F5,"EE_ACTUAL_ANNUAL(MED,+1)"),0)</f>
        <v>-0.7</v>
      </c>
      <c r="J5" cm="1">
        <f t="array" ref="J5">_xlfn.PERCENTRANK.EXC(_xlfn._xlws.FILTER(H$3:H$15, ISNUMBER(H$3:H$15)),H5)*100</f>
        <v>42.8</v>
      </c>
    </row>
    <row r="6" spans="1:10" x14ac:dyDescent="0.35">
      <c r="A6" t="s">
        <v>11</v>
      </c>
      <c r="B6" t="s">
        <v>464</v>
      </c>
      <c r="C6" t="str" cm="1">
        <f t="array" ref="C6">_xll.FDS($E6,"FG_COMPANY_NAME")</f>
        <v>Germany</v>
      </c>
      <c r="D6" t="s">
        <v>102</v>
      </c>
      <c r="E6" t="s">
        <v>555</v>
      </c>
      <c r="F6" t="str">
        <f t="shared" si="0"/>
        <v>CAGDPY@DE</v>
      </c>
      <c r="G6" cm="1">
        <f t="array" ref="G6">IFERROR(_xll.FDS($F6,"EE_ACTUAL_ANNUAL(MED,0)"),0)</f>
        <v>6.0126039845649899</v>
      </c>
      <c r="H6" cm="1">
        <f t="array" ref="H6">IFERROR(_xll.FDS($F6,"EE_ACTUAL_ANNUAL(MED,+1)"),0)</f>
        <v>6.55</v>
      </c>
      <c r="J6" cm="1">
        <f t="array" ref="J6">_xlfn.PERCENTRANK.EXC(_xlfn._xlws.FILTER(H$3:H$15, ISNUMBER(H$3:H$15)),H6)*100</f>
        <v>78.5</v>
      </c>
    </row>
    <row r="7" spans="1:10" x14ac:dyDescent="0.35">
      <c r="A7" t="s">
        <v>46</v>
      </c>
      <c r="B7" t="s">
        <v>465</v>
      </c>
      <c r="C7" t="str" cm="1">
        <f t="array" ref="C7">_xll.FDS($E7,"FG_COMPANY_NAME")</f>
        <v>Japan</v>
      </c>
      <c r="D7" t="s">
        <v>114</v>
      </c>
      <c r="E7" t="s">
        <v>164</v>
      </c>
      <c r="F7" t="str">
        <f t="shared" si="0"/>
        <v>CAGDPY@JP</v>
      </c>
      <c r="G7" cm="1">
        <f t="array" ref="G7">IFERROR(_xll.FDS($F7,"EE_ACTUAL_ANNUAL(MED,0)"),0)</f>
        <v>3.55112124522863</v>
      </c>
      <c r="H7" cm="1">
        <f t="array" ref="H7">IFERROR(_xll.FDS($F7,"EE_ACTUAL_ANNUAL(MED,+1)"),0)</f>
        <v>3.4</v>
      </c>
      <c r="J7" cm="1">
        <f t="array" ref="J7">_xlfn.PERCENTRANK.EXC(_xlfn._xlws.FILTER(H$3:H$15, ISNUMBER(H$3:H$15)),H7)*100</f>
        <v>64.2</v>
      </c>
    </row>
    <row r="8" spans="1:10" x14ac:dyDescent="0.35">
      <c r="A8" t="s">
        <v>42</v>
      </c>
      <c r="B8" t="s">
        <v>470</v>
      </c>
      <c r="C8" t="str" cm="1">
        <f t="array" ref="C8">_xll.FDS($E8,"FG_COMPANY_NAME")</f>
        <v>Switzerland</v>
      </c>
      <c r="D8" t="s">
        <v>110</v>
      </c>
      <c r="E8" t="s">
        <v>276</v>
      </c>
      <c r="F8" t="str">
        <f t="shared" si="0"/>
        <v>CAGDPY@CH</v>
      </c>
      <c r="G8" cm="1">
        <f t="array" ref="G8">IFERROR(_xll.FDS($F8,"EE_ACTUAL_ANNUAL(MED,0)"),0)</f>
        <v>7.6415194131226398</v>
      </c>
      <c r="H8" cm="1">
        <f t="array" ref="H8">IFERROR(_xll.FDS($F8,"EE_ACTUAL_ANNUAL(MED,+1)"),0)</f>
        <v>8</v>
      </c>
      <c r="J8" cm="1">
        <f t="array" ref="J8">_xlfn.PERCENTRANK.EXC(_xlfn._xlws.FILTER(H$3:H$15, ISNUMBER(H$3:H$15)),H8)*100</f>
        <v>85.7</v>
      </c>
    </row>
    <row r="9" spans="1:10" x14ac:dyDescent="0.35">
      <c r="A9" t="s">
        <v>48</v>
      </c>
      <c r="B9" t="s">
        <v>468</v>
      </c>
      <c r="C9" t="str" cm="1">
        <f t="array" ref="C9">_xll.FDS($E9,"FG_COMPANY_NAME")</f>
        <v>United Kingdom</v>
      </c>
      <c r="D9" t="s">
        <v>115</v>
      </c>
      <c r="E9" t="s">
        <v>167</v>
      </c>
      <c r="F9" t="str">
        <f t="shared" si="0"/>
        <v>CAGDPY@GB</v>
      </c>
      <c r="G9" cm="1">
        <f t="array" ref="G9">IFERROR(_xll.FDS($F9,"EE_ACTUAL_ANNUAL(MED,0)"),0)</f>
        <v>-2.95</v>
      </c>
      <c r="H9" cm="1">
        <f t="array" ref="H9">IFERROR(_xll.FDS($F9,"EE_ACTUAL_ANNUAL(MED,+1)"),0)</f>
        <v>-2.95</v>
      </c>
      <c r="J9" cm="1">
        <f t="array" ref="J9">_xlfn.PERCENTRANK.EXC(_xlfn._xlws.FILTER(H$3:H$15, ISNUMBER(H$3:H$15)),H9)*100</f>
        <v>28.499999999999996</v>
      </c>
    </row>
    <row r="10" spans="1:10" x14ac:dyDescent="0.35">
      <c r="A10" t="s">
        <v>51</v>
      </c>
      <c r="B10" t="s">
        <v>554</v>
      </c>
      <c r="C10" t="str" cm="1">
        <f t="array" ref="C10">_xll.FDS($E10,"FG_COMPANY_NAME")</f>
        <v>United States</v>
      </c>
      <c r="D10" t="s">
        <v>119</v>
      </c>
      <c r="E10" t="s">
        <v>170</v>
      </c>
      <c r="F10" t="str">
        <f>_xlfn.CONCAT($F$1,D10)</f>
        <v>CAGDPY@US</v>
      </c>
      <c r="G10" cm="1">
        <f t="array" ref="G10">IFERROR(_xll.FDS($F10,"EE_ACTUAL_ANNUAL(MED,0)"),0)</f>
        <v>-2.99592521765141</v>
      </c>
      <c r="H10" cm="1">
        <f t="array" ref="H10">IFERROR(_xll.FDS($F10,"EE_ACTUAL_ANNUAL(MED,+1)"),0)</f>
        <v>-3.05</v>
      </c>
      <c r="J10" cm="1">
        <f t="array" ref="J10">_xlfn.PERCENTRANK.EXC(_xlfn._xlws.FILTER(H$3:H$15, ISNUMBER(H$3:H$15)),H10)*100</f>
        <v>14.2</v>
      </c>
    </row>
    <row r="11" spans="1:10" x14ac:dyDescent="0.35">
      <c r="A11" t="s">
        <v>1</v>
      </c>
      <c r="B11" t="s">
        <v>554</v>
      </c>
      <c r="C11" t="str" cm="1">
        <f t="array" ref="C11">_xll.FDS($E11,"FG_COMPANY_NAME")</f>
        <v>United States</v>
      </c>
      <c r="D11" t="s">
        <v>119</v>
      </c>
      <c r="E11" t="s">
        <v>170</v>
      </c>
      <c r="F11" t="str">
        <f t="shared" si="0"/>
        <v>CAGDPY@US</v>
      </c>
      <c r="G11" cm="1">
        <f t="array" ref="G11">IFERROR(_xll.FDS($F11,"EE_ACTUAL_ANNUAL(MED,0)"),0)</f>
        <v>-2.99592521765141</v>
      </c>
      <c r="H11" cm="1">
        <f t="array" ref="H11">IFERROR(_xll.FDS($F11,"EE_ACTUAL_ANNUAL(MED,+1)"),0)</f>
        <v>-3.05</v>
      </c>
      <c r="J11" cm="1">
        <f t="array" ref="J11">_xlfn.PERCENTRANK.EXC(_xlfn._xlws.FILTER(H$3:H$15, ISNUMBER(H$3:H$15)),H11)*100</f>
        <v>14.2</v>
      </c>
    </row>
    <row r="12" spans="1:10" x14ac:dyDescent="0.35">
      <c r="A12" t="s">
        <v>865</v>
      </c>
      <c r="B12" t="s">
        <v>470</v>
      </c>
      <c r="C12" t="s">
        <v>621</v>
      </c>
      <c r="D12" t="s">
        <v>106</v>
      </c>
      <c r="E12" t="s">
        <v>869</v>
      </c>
      <c r="F12" t="str">
        <f t="shared" si="0"/>
        <v>CAGDPY@FR</v>
      </c>
      <c r="G12" cm="1">
        <f t="array" ref="G12">IFERROR(_xll.FDS($F12,"EE_ACTUAL_ANNUAL(MED,0)"),0)</f>
        <v>-1.20455654888099</v>
      </c>
      <c r="H12" cm="1">
        <f t="array" ref="H12">IFERROR(_xll.FDS($F12,"EE_ACTUAL_ANNUAL(MED,+1)"),0)</f>
        <v>-1.1499999999999999</v>
      </c>
      <c r="J12" cm="1">
        <f t="array" ref="J12">_xlfn.PERCENTRANK.EXC(_xlfn._xlws.FILTER(H$3:H$15, ISNUMBER(H$3:H$15)),H12)*100</f>
        <v>35.699999999999996</v>
      </c>
    </row>
    <row r="13" spans="1:10" x14ac:dyDescent="0.35">
      <c r="A13" t="s">
        <v>867</v>
      </c>
      <c r="B13" t="s">
        <v>880</v>
      </c>
      <c r="C13" t="s">
        <v>673</v>
      </c>
      <c r="D13" t="s">
        <v>875</v>
      </c>
      <c r="E13" t="s">
        <v>870</v>
      </c>
      <c r="F13" t="str">
        <f t="shared" si="0"/>
        <v>CAGDPY@NL</v>
      </c>
      <c r="G13" cm="1">
        <f t="array" ref="G13">IFERROR(_xll.FDS($F13,"EE_ACTUAL_ANNUAL(MED,0)"),0)</f>
        <v>9.1</v>
      </c>
      <c r="H13" cm="1">
        <f t="array" ref="H13">IFERROR(_xll.FDS($F13,"EE_ACTUAL_ANNUAL(MED,+1)"),0)</f>
        <v>9</v>
      </c>
      <c r="J13" cm="1">
        <f t="array" ref="J13">_xlfn.PERCENTRANK.EXC(_xlfn._xlws.FILTER(H$3:H$15, ISNUMBER(H$3:H$15)),H13)*100</f>
        <v>92.800000000000011</v>
      </c>
    </row>
    <row r="14" spans="1:10" x14ac:dyDescent="0.35">
      <c r="A14" t="s">
        <v>864</v>
      </c>
      <c r="B14" t="s">
        <v>881</v>
      </c>
      <c r="C14" t="s">
        <v>705</v>
      </c>
      <c r="D14" t="s">
        <v>272</v>
      </c>
      <c r="E14" t="s">
        <v>273</v>
      </c>
      <c r="F14" t="str">
        <f t="shared" si="0"/>
        <v>CAGDPY@SE</v>
      </c>
      <c r="G14" cm="1">
        <f t="array" ref="G14">IFERROR(_xll.FDS($F14,"EE_ACTUAL_ANNUAL(MED,0)"),0)</f>
        <v>6.7690540119922504</v>
      </c>
      <c r="H14" cm="1">
        <f t="array" ref="H14">IFERROR(_xll.FDS($F14,"EE_ACTUAL_ANNUAL(MED,+1)"),0)</f>
        <v>5.4</v>
      </c>
      <c r="J14" cm="1">
        <f t="array" ref="J14">_xlfn.PERCENTRANK.EXC(_xlfn._xlws.FILTER(H$3:H$15, ISNUMBER(H$3:H$15)),H14)*100</f>
        <v>71.399999999999991</v>
      </c>
    </row>
    <row r="15" spans="1:10" x14ac:dyDescent="0.35">
      <c r="A15" t="s">
        <v>866</v>
      </c>
      <c r="B15" t="s">
        <v>882</v>
      </c>
      <c r="C15" t="s">
        <v>641</v>
      </c>
      <c r="D15" t="s">
        <v>876</v>
      </c>
      <c r="E15" t="s">
        <v>868</v>
      </c>
      <c r="F15" t="str">
        <f t="shared" si="0"/>
        <v>CAGDPY@IT</v>
      </c>
      <c r="G15" cm="1">
        <f t="array" ref="G15">IFERROR(_xll.FDS($F15,"EE_ACTUAL_ANNUAL(MED,0)"),0)</f>
        <v>0.16351971143805999</v>
      </c>
      <c r="H15" cm="1">
        <f t="array" ref="H15">IFERROR(_xll.FDS($F15,"EE_ACTUAL_ANNUAL(MED,+1)"),0)</f>
        <v>0.85</v>
      </c>
      <c r="J15" cm="1">
        <f t="array" ref="J15">_xlfn.PERCENTRANK.EXC(_xlfn._xlws.FILTER(H$3:H$15, ISNUMBER(H$3:H$15)),H15)*100</f>
        <v>57.099999999999994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topLeftCell="Y1" workbookViewId="0">
      <selection activeCell="AP4" sqref="AP4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>
        <v>2.7255995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>
        <v>3.5394266000000001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>
        <v>3.3710589999999998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>
        <v>3.6940187999999998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>
        <v>2.5427209999999998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9.1794989999999999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>
        <v>1.7060698000000001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>
        <v>2.0444936999999999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>
        <v>4.2739367000000001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>
        <v>5.3314000000000004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394</v>
      </c>
      <c r="B17">
        <f>MEDIAN(_xlfn.ANCHORARRAY(B4))</f>
        <v>9.2785794999999993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496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>
        <f t="shared" si="2"/>
        <v>5.3314000000000004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Q25"/>
  <sheetViews>
    <sheetView workbookViewId="0">
      <selection activeCell="K1" sqref="K1:N1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ht="25.5" customHeight="1" x14ac:dyDescent="0.35">
      <c r="A2" s="2" cm="1">
        <f t="array" ref="A2:A21">_xll.FDS(C1,"JULIAN(FMA_ROE(NTMA,-20AY,NOW,FY,""PORTAGG"",""MEANR"").dates)")</f>
        <v>38352</v>
      </c>
      <c r="B2" t="str" cm="1">
        <f t="array" ref="B2:B21">_xll.FDSB(B1,"FMA_ROE(NTMA,-20AY,NOW,FY,""PORTAGG"",""MEANR"")")</f>
        <v/>
      </c>
      <c r="C2" cm="1">
        <f t="array" ref="C2:C21">_xll.FDSB(C1,"FMA_ROE(NTMA,-20AY,NOW,FY,""PORTAGG"",""MEANR"")")</f>
        <v>15.4970825561621</v>
      </c>
      <c r="D2" cm="1">
        <f t="array" ref="D2:D21">_xll.FDSB(D1,"FMA_ROE(NTMA,-20AY,NOW,FY,""PORTAGG"",""MEANR"")")</f>
        <v>14.6738571923606</v>
      </c>
      <c r="E2" cm="1">
        <f t="array" ref="E2:E21">_xll.FDSB(E1,"FMA_ROE(NTMA,-20AY,NOW,FY,""PORTAGG"",""MEANR"")")</f>
        <v>11.827555059993299</v>
      </c>
      <c r="F2" cm="1">
        <f t="array" ref="F2:F21">_xll.FDSB(F1,"FMA_ROE(NTMA,-20AY,NOW,FY,""PORTAGG"",""MEANR"")")</f>
        <v>9.4722639547096605</v>
      </c>
      <c r="G2" cm="1">
        <f t="array" ref="G2:G21">_xll.FDSB(G1,"FMA_ROE(NTMA,-20AY,NOW,FY,""PORTAGG"",""MEANR"")")</f>
        <v>15.9587717941353</v>
      </c>
      <c r="H2" cm="1">
        <f t="array" ref="H2:H21">_xll.FDSB(H1,"FMA_ROE(NTMA,-20AY,NOW,FY,""PORTAGG"",""MEANR"")")</f>
        <v>17.001374333558701</v>
      </c>
      <c r="I2" cm="1">
        <f t="array" ref="I2:I21">_xll.FDSB(I1,"FMA_ROE(NTMA,-20AY,NOW,FY,""PORTAGG"",""MEANR"")")</f>
        <v>14.817843581598</v>
      </c>
      <c r="J2" cm="1">
        <f t="array" ref="J2:J21">_xll.FDSB(J1,"FMA_ROE(NTMA,-20AY,NOW,FY,""PORTAGG"",""MEANR"")")</f>
        <v>15.586179020045901</v>
      </c>
      <c r="K2" cm="1">
        <f t="array" ref="K2:K21">_xll.FDSB(K1,"FMA_ROE(NTMA,-20AY,NOW,FY,""PORTAGG"",""MEANR"")")</f>
        <v>15.378510988127299</v>
      </c>
      <c r="L2" cm="1">
        <f t="array" ref="L2:L21">_xll.FDSB(L1,"FMA_ROE(NTMA,-20AY,NOW,FY,""PORTAGG"",""MEANR"")")</f>
        <v>20.502702273176801</v>
      </c>
      <c r="M2" cm="1">
        <f t="array" ref="M2:M21">_xll.FDSB(M1,"FMA_ROE(NTMA,-20AY,NOW,FY,""PORTAGG"",""MEANR"")")</f>
        <v>16.226109086479301</v>
      </c>
      <c r="N2" cm="1">
        <f t="array" ref="N2:N21">_xll.FDSB(N1,"FMA_ROE(NTMA,-20AY,NOW,FY,""PORTAGG"",""MEANR"")")</f>
        <v>12.7201174133668</v>
      </c>
    </row>
    <row r="3" spans="1:14" ht="25.5" customHeight="1" x14ac:dyDescent="0.35">
      <c r="A3" s="2">
        <v>38716</v>
      </c>
      <c r="B3" t="str">
        <v/>
      </c>
      <c r="C3">
        <v>16.532509518013999</v>
      </c>
      <c r="D3">
        <v>15.7709471724654</v>
      </c>
      <c r="E3">
        <v>12.5810872006639</v>
      </c>
      <c r="F3">
        <v>9.7108092859513899</v>
      </c>
      <c r="G3">
        <v>16.670944245646201</v>
      </c>
      <c r="H3">
        <v>17.4840740170497</v>
      </c>
      <c r="I3">
        <v>15.486694777592099</v>
      </c>
      <c r="J3">
        <v>16.732203856681899</v>
      </c>
      <c r="K3">
        <v>16.630213142081299</v>
      </c>
      <c r="L3">
        <v>18.438843283905701</v>
      </c>
      <c r="M3">
        <v>17.2247287220762</v>
      </c>
      <c r="N3">
        <v>14.3538872460945</v>
      </c>
    </row>
    <row r="4" spans="1:14" ht="25.5" customHeight="1" x14ac:dyDescent="0.35">
      <c r="A4" s="2">
        <v>39080</v>
      </c>
      <c r="B4" t="str">
        <v/>
      </c>
      <c r="C4">
        <v>17.019399648616702</v>
      </c>
      <c r="D4">
        <v>15.854713654361101</v>
      </c>
      <c r="E4">
        <v>13.372977849048</v>
      </c>
      <c r="F4">
        <v>9.9459490206900902</v>
      </c>
      <c r="G4">
        <v>17.319056104251299</v>
      </c>
      <c r="H4">
        <v>19.442574250405301</v>
      </c>
      <c r="I4">
        <v>16.833970499812899</v>
      </c>
      <c r="J4">
        <v>17.387356208818399</v>
      </c>
      <c r="K4">
        <v>15.408967362426599</v>
      </c>
      <c r="L4">
        <v>17.2963282197402</v>
      </c>
      <c r="M4">
        <v>18.210010684159698</v>
      </c>
      <c r="N4">
        <v>15.068908602684299</v>
      </c>
    </row>
    <row r="5" spans="1:14" ht="25.5" customHeight="1" x14ac:dyDescent="0.35">
      <c r="A5" s="2">
        <v>39447</v>
      </c>
      <c r="B5" t="str">
        <v/>
      </c>
      <c r="C5">
        <v>15.560991405865201</v>
      </c>
      <c r="D5">
        <v>16.5705490516163</v>
      </c>
      <c r="E5">
        <v>14.712722857709</v>
      </c>
      <c r="F5">
        <v>9.9106258464836792</v>
      </c>
      <c r="G5">
        <v>18.194046530628999</v>
      </c>
      <c r="H5">
        <v>18.922548163306399</v>
      </c>
      <c r="I5">
        <v>17.9560593685279</v>
      </c>
      <c r="J5">
        <v>17.7935626477889</v>
      </c>
      <c r="K5">
        <v>15.0205314626708</v>
      </c>
      <c r="L5">
        <v>16.622012430445402</v>
      </c>
      <c r="M5">
        <v>18.887175762553799</v>
      </c>
      <c r="N5">
        <v>13.812143044596301</v>
      </c>
    </row>
    <row r="6" spans="1:14" ht="25.5" customHeight="1" x14ac:dyDescent="0.35">
      <c r="A6" s="2">
        <v>39813</v>
      </c>
      <c r="B6" t="str">
        <v/>
      </c>
      <c r="C6">
        <v>13.5690116283254</v>
      </c>
      <c r="D6">
        <v>13.8099900139916</v>
      </c>
      <c r="E6">
        <v>11.5210886767193</v>
      </c>
      <c r="F6">
        <v>6.3264501132521804</v>
      </c>
      <c r="G6">
        <v>15.513687428345399</v>
      </c>
      <c r="H6">
        <v>14.973545163604699</v>
      </c>
      <c r="I6">
        <v>16.5654843697708</v>
      </c>
      <c r="J6">
        <v>13.938459770768899</v>
      </c>
      <c r="K6">
        <v>11.8797489821456</v>
      </c>
      <c r="L6">
        <v>13.982183103512799</v>
      </c>
      <c r="M6">
        <v>13.942889841066</v>
      </c>
      <c r="N6">
        <v>10.789750222635099</v>
      </c>
    </row>
    <row r="7" spans="1:14" ht="25.5" customHeight="1" x14ac:dyDescent="0.35">
      <c r="A7" s="2">
        <v>40178</v>
      </c>
      <c r="B7" t="str">
        <v/>
      </c>
      <c r="C7">
        <v>12.8492110125335</v>
      </c>
      <c r="D7">
        <v>11.8327104416904</v>
      </c>
      <c r="E7">
        <v>11.009433764833901</v>
      </c>
      <c r="F7">
        <v>5.7137456034125096</v>
      </c>
      <c r="G7">
        <v>17.2258858021045</v>
      </c>
      <c r="H7">
        <v>14.6457818658238</v>
      </c>
      <c r="I7">
        <v>17.596574126271399</v>
      </c>
      <c r="J7">
        <v>14.004346429543</v>
      </c>
      <c r="K7">
        <v>10.993409183456601</v>
      </c>
      <c r="L7">
        <v>13.3304023919735</v>
      </c>
      <c r="M7">
        <v>10.346174503291101</v>
      </c>
      <c r="N7">
        <v>8.0585564947070996</v>
      </c>
    </row>
    <row r="8" spans="1:14" ht="25.5" customHeight="1" x14ac:dyDescent="0.35">
      <c r="A8" s="2">
        <v>40543</v>
      </c>
      <c r="B8">
        <v>10.853226729587799</v>
      </c>
      <c r="C8">
        <v>14.2386354612725</v>
      </c>
      <c r="D8">
        <v>12.6984457284378</v>
      </c>
      <c r="E8">
        <v>13.0475804034897</v>
      </c>
      <c r="F8">
        <v>7.7760884645659401</v>
      </c>
      <c r="G8">
        <v>16.663378494351999</v>
      </c>
      <c r="H8">
        <v>16.154296497439798</v>
      </c>
      <c r="I8">
        <v>20.000374237164401</v>
      </c>
      <c r="J8">
        <v>15.039943345393599</v>
      </c>
      <c r="K8">
        <v>12.025937598748101</v>
      </c>
      <c r="L8">
        <v>14.659480994909201</v>
      </c>
      <c r="M8">
        <v>15.818215992178599</v>
      </c>
      <c r="N8">
        <v>8.8199042369870302</v>
      </c>
    </row>
    <row r="9" spans="1:14" ht="25.5" customHeight="1" x14ac:dyDescent="0.35">
      <c r="A9" s="2">
        <v>40907</v>
      </c>
      <c r="B9">
        <v>10.904873441364501</v>
      </c>
      <c r="C9">
        <v>14.168071267681</v>
      </c>
      <c r="D9">
        <v>13.509284892423301</v>
      </c>
      <c r="E9">
        <v>12.3546044213534</v>
      </c>
      <c r="F9">
        <v>7.2930951173439702</v>
      </c>
      <c r="G9">
        <v>15.1353221205521</v>
      </c>
      <c r="H9">
        <v>15.199607837615799</v>
      </c>
      <c r="I9">
        <v>20.959156893823899</v>
      </c>
      <c r="J9">
        <v>15.5262408812809</v>
      </c>
      <c r="K9">
        <v>10.817665506629901</v>
      </c>
      <c r="L9">
        <v>13.0989988533626</v>
      </c>
      <c r="M9">
        <v>15.7255547384444</v>
      </c>
      <c r="N9">
        <v>8.1166013658542493</v>
      </c>
    </row>
    <row r="10" spans="1:14" ht="25.5" customHeight="1" x14ac:dyDescent="0.35">
      <c r="A10" s="2">
        <v>41274</v>
      </c>
      <c r="B10">
        <v>11.45876758647</v>
      </c>
      <c r="C10">
        <v>12.692165288154101</v>
      </c>
      <c r="D10">
        <v>12.804929450575001</v>
      </c>
      <c r="E10">
        <v>12.103787649179401</v>
      </c>
      <c r="F10">
        <v>7.6046390639022201</v>
      </c>
      <c r="G10">
        <v>15.5882414428409</v>
      </c>
      <c r="H10">
        <v>14.4781479669762</v>
      </c>
      <c r="I10">
        <v>20.792196377515399</v>
      </c>
      <c r="J10">
        <v>15.3796547722071</v>
      </c>
      <c r="K10">
        <v>10.4079638226552</v>
      </c>
      <c r="L10">
        <v>12.002383507737299</v>
      </c>
      <c r="M10">
        <v>14.800794930168999</v>
      </c>
      <c r="N10">
        <v>7.8393954249384699</v>
      </c>
    </row>
    <row r="11" spans="1:14" ht="25.5" customHeight="1" x14ac:dyDescent="0.35">
      <c r="A11" s="2">
        <v>41639</v>
      </c>
      <c r="B11">
        <v>11.083258915241499</v>
      </c>
      <c r="C11">
        <v>13.1922555858139</v>
      </c>
      <c r="D11">
        <v>12.2925364029644</v>
      </c>
      <c r="E11">
        <v>12.1465108243325</v>
      </c>
      <c r="F11">
        <v>8.9088475830290008</v>
      </c>
      <c r="G11">
        <v>15.248395144965301</v>
      </c>
      <c r="H11">
        <v>13.364031588609899</v>
      </c>
      <c r="I11">
        <v>20.047298915306001</v>
      </c>
      <c r="J11">
        <v>15.870243784691599</v>
      </c>
      <c r="K11">
        <v>10.3975296667646</v>
      </c>
      <c r="L11">
        <v>12.148614557293399</v>
      </c>
      <c r="M11">
        <v>14.1943515647563</v>
      </c>
      <c r="N11">
        <v>7.3457599670942102</v>
      </c>
    </row>
    <row r="12" spans="1:14" ht="25.5" customHeight="1" x14ac:dyDescent="0.35">
      <c r="A12" s="2">
        <v>42004</v>
      </c>
      <c r="B12">
        <v>9.9451743168813902</v>
      </c>
      <c r="C12">
        <v>12.5644042089263</v>
      </c>
      <c r="D12">
        <v>11.8034021278505</v>
      </c>
      <c r="E12">
        <v>11.887358161661499</v>
      </c>
      <c r="F12">
        <v>9.0803886544970194</v>
      </c>
      <c r="G12">
        <v>14.502800920484599</v>
      </c>
      <c r="H12">
        <v>12.232650330571399</v>
      </c>
      <c r="I12">
        <v>22.0568276514703</v>
      </c>
      <c r="J12">
        <v>15.810673900759699</v>
      </c>
      <c r="K12">
        <v>9.8706002317655095</v>
      </c>
      <c r="L12">
        <v>12.219782956479699</v>
      </c>
      <c r="M12">
        <v>13.790896513923</v>
      </c>
      <c r="N12">
        <v>7.2987048712399796</v>
      </c>
    </row>
    <row r="13" spans="1:14" ht="25.5" customHeight="1" x14ac:dyDescent="0.35">
      <c r="A13" s="2">
        <v>42369</v>
      </c>
      <c r="B13">
        <v>9.9024265265903395</v>
      </c>
      <c r="C13">
        <v>10.732136523471301</v>
      </c>
      <c r="D13">
        <v>10.9923508764539</v>
      </c>
      <c r="E13">
        <v>12.028464941777401</v>
      </c>
      <c r="F13">
        <v>8.7788981831763504</v>
      </c>
      <c r="G13">
        <v>13.2798091113486</v>
      </c>
      <c r="H13">
        <v>11.1900784012713</v>
      </c>
      <c r="I13">
        <v>21.8504635786249</v>
      </c>
      <c r="J13">
        <v>15.858031312821501</v>
      </c>
      <c r="K13">
        <v>9.8254824560818506</v>
      </c>
      <c r="L13">
        <v>12.4442703427853</v>
      </c>
      <c r="M13">
        <v>13.0367586478869</v>
      </c>
      <c r="N13">
        <v>7.2893784265994803</v>
      </c>
    </row>
    <row r="14" spans="1:14" ht="25.5" customHeight="1" x14ac:dyDescent="0.35">
      <c r="A14" s="2">
        <v>42734</v>
      </c>
      <c r="B14">
        <v>9.7998658290307095</v>
      </c>
      <c r="C14">
        <v>11.5035211675747</v>
      </c>
      <c r="D14">
        <v>11.4792366602027</v>
      </c>
      <c r="E14">
        <v>11.8967042128795</v>
      </c>
      <c r="F14">
        <v>8.62096827520989</v>
      </c>
      <c r="G14">
        <v>13.3994953105419</v>
      </c>
      <c r="H14">
        <v>12.1967915012023</v>
      </c>
      <c r="I14">
        <v>21.114607645969102</v>
      </c>
      <c r="J14">
        <v>16.049912492851799</v>
      </c>
      <c r="K14">
        <v>9.8831539131807205</v>
      </c>
      <c r="L14">
        <v>11.8415876112609</v>
      </c>
      <c r="M14">
        <v>12.322553154201101</v>
      </c>
      <c r="N14">
        <v>7.6448050780743202</v>
      </c>
    </row>
    <row r="15" spans="1:14" ht="25.5" customHeight="1" x14ac:dyDescent="0.35">
      <c r="A15" s="2">
        <v>43098</v>
      </c>
      <c r="B15">
        <v>9.8479289685659399</v>
      </c>
      <c r="C15">
        <v>11.907299006987801</v>
      </c>
      <c r="D15">
        <v>11.3979128674428</v>
      </c>
      <c r="E15">
        <v>12.246920794364801</v>
      </c>
      <c r="F15">
        <v>9.2398651910043395</v>
      </c>
      <c r="G15">
        <v>13.9322208239423</v>
      </c>
      <c r="H15">
        <v>12.7329318595365</v>
      </c>
      <c r="I15">
        <v>22.078426350894102</v>
      </c>
      <c r="J15">
        <v>16.907948658911</v>
      </c>
      <c r="K15">
        <v>10.4363064842242</v>
      </c>
      <c r="L15">
        <v>13.007558022754999</v>
      </c>
      <c r="M15">
        <v>13.8549633296522</v>
      </c>
      <c r="N15">
        <v>9.0538496506424107</v>
      </c>
    </row>
    <row r="16" spans="1:14" ht="25.5" customHeight="1" x14ac:dyDescent="0.35">
      <c r="A16" s="2">
        <v>43465</v>
      </c>
      <c r="B16">
        <v>9.5217714261901296</v>
      </c>
      <c r="C16">
        <v>12.400931175281199</v>
      </c>
      <c r="D16">
        <v>12.499008182247699</v>
      </c>
      <c r="E16">
        <v>11.651015241557801</v>
      </c>
      <c r="F16">
        <v>9.4957067852596193</v>
      </c>
      <c r="G16">
        <v>14.645799683639201</v>
      </c>
      <c r="H16">
        <v>13.1887832891224</v>
      </c>
      <c r="I16">
        <v>26.490229336787198</v>
      </c>
      <c r="J16">
        <v>18.8923615036562</v>
      </c>
      <c r="K16">
        <v>11.328389580600501</v>
      </c>
      <c r="L16">
        <v>13.222867771113201</v>
      </c>
      <c r="M16">
        <v>13.3193557094803</v>
      </c>
      <c r="N16">
        <v>10.3909656073461</v>
      </c>
    </row>
    <row r="17" spans="1:17" ht="25.5" customHeight="1" x14ac:dyDescent="0.35">
      <c r="A17" s="2">
        <v>43830</v>
      </c>
      <c r="B17">
        <v>9.0038870875203099</v>
      </c>
      <c r="C17">
        <v>11.727245321809701</v>
      </c>
      <c r="D17">
        <v>11.978678386383701</v>
      </c>
      <c r="E17">
        <v>10.4475672102116</v>
      </c>
      <c r="F17">
        <v>8.3559628430688804</v>
      </c>
      <c r="G17">
        <v>14.538819869127099</v>
      </c>
      <c r="H17">
        <v>12.871054501249599</v>
      </c>
      <c r="I17">
        <v>25.011729152832</v>
      </c>
      <c r="J17">
        <v>18.292929265587102</v>
      </c>
      <c r="K17">
        <v>10.914009651363701</v>
      </c>
      <c r="L17">
        <v>13.091763606585999</v>
      </c>
      <c r="M17">
        <v>13.411796827846301</v>
      </c>
      <c r="N17">
        <v>10.235305358457801</v>
      </c>
    </row>
    <row r="18" spans="1:17" ht="25.5" customHeight="1" x14ac:dyDescent="0.35">
      <c r="A18" s="2">
        <v>44196</v>
      </c>
      <c r="B18">
        <v>7.5322638919868998</v>
      </c>
      <c r="C18">
        <v>11.050859206460901</v>
      </c>
      <c r="D18">
        <v>11.192208682288101</v>
      </c>
      <c r="E18">
        <v>9.7140774239928902</v>
      </c>
      <c r="F18">
        <v>7.4385994017897197</v>
      </c>
      <c r="G18">
        <v>14.6677795152565</v>
      </c>
      <c r="H18">
        <v>11.205060980823401</v>
      </c>
      <c r="I18">
        <v>24.534442850508999</v>
      </c>
      <c r="J18">
        <v>17.2298191459873</v>
      </c>
      <c r="K18">
        <v>8.94242101240323</v>
      </c>
      <c r="L18">
        <v>9.7785656554204401</v>
      </c>
      <c r="M18">
        <v>11.907032685966399</v>
      </c>
      <c r="N18">
        <v>8.27578853786002</v>
      </c>
    </row>
    <row r="19" spans="1:17" ht="25.5" customHeight="1" x14ac:dyDescent="0.35">
      <c r="A19" s="2">
        <v>44561</v>
      </c>
      <c r="B19">
        <v>6.44400181202057</v>
      </c>
      <c r="C19">
        <v>12.8471719199911</v>
      </c>
      <c r="D19">
        <v>14.1061782856045</v>
      </c>
      <c r="E19">
        <v>12.1999545354885</v>
      </c>
      <c r="F19">
        <v>9.2207657607753095</v>
      </c>
      <c r="G19">
        <v>16.3837417700753</v>
      </c>
      <c r="H19">
        <v>13.922769947021701</v>
      </c>
      <c r="I19">
        <v>26.637202164256799</v>
      </c>
      <c r="J19">
        <v>20.686290277772802</v>
      </c>
      <c r="K19">
        <v>12.253958118864199</v>
      </c>
      <c r="L19">
        <v>10.899145950205799</v>
      </c>
      <c r="M19">
        <v>15.3602779404436</v>
      </c>
      <c r="N19">
        <v>11.7277999998841</v>
      </c>
    </row>
    <row r="20" spans="1:17" ht="25.5" customHeight="1" x14ac:dyDescent="0.35">
      <c r="A20" s="2">
        <v>44925</v>
      </c>
      <c r="B20">
        <v>7.7689690341126996</v>
      </c>
      <c r="C20">
        <v>14.6580605840091</v>
      </c>
      <c r="D20">
        <v>14.0029403106189</v>
      </c>
      <c r="E20">
        <v>11.818809345525199</v>
      </c>
      <c r="F20">
        <v>9.2254456272439604</v>
      </c>
      <c r="G20">
        <v>16.690651733527702</v>
      </c>
      <c r="H20">
        <v>15.858744412332101</v>
      </c>
      <c r="I20">
        <v>24.048321572288899</v>
      </c>
      <c r="J20">
        <v>20.598572537804099</v>
      </c>
      <c r="K20">
        <v>13.1475852543623</v>
      </c>
      <c r="L20">
        <v>12.015889172957699</v>
      </c>
      <c r="M20">
        <v>14.691294534808801</v>
      </c>
      <c r="N20">
        <v>13.320278986082799</v>
      </c>
    </row>
    <row r="21" spans="1:17" ht="25.5" customHeight="1" x14ac:dyDescent="0.35">
      <c r="A21" s="2">
        <v>45289</v>
      </c>
      <c r="B21">
        <v>6.5791075391831502</v>
      </c>
      <c r="C21">
        <v>13.226137995013501</v>
      </c>
      <c r="D21">
        <v>13.1440312273413</v>
      </c>
      <c r="E21">
        <v>11.9408562756701</v>
      </c>
      <c r="F21">
        <v>9.2990105044931095</v>
      </c>
      <c r="G21">
        <v>19.2996868123636</v>
      </c>
      <c r="H21">
        <v>14.732463877154</v>
      </c>
      <c r="I21">
        <v>25.301111433536601</v>
      </c>
      <c r="J21">
        <v>20.343735679668601</v>
      </c>
      <c r="K21">
        <v>13.221059503291199</v>
      </c>
      <c r="L21">
        <v>12.7459856653599</v>
      </c>
      <c r="M21">
        <v>15.368050603555201</v>
      </c>
      <c r="N21">
        <v>13.3572177464321</v>
      </c>
    </row>
    <row r="23" spans="1:17" x14ac:dyDescent="0.35">
      <c r="A23" t="s">
        <v>91</v>
      </c>
      <c r="B23" s="8">
        <f t="shared" ref="B23:N23" si="0">MIN(_xlfn.ANCHORARRAY(B2))</f>
        <v>6.44400181202057</v>
      </c>
      <c r="C23" s="8">
        <f t="shared" si="0"/>
        <v>10.732136523471301</v>
      </c>
      <c r="D23" s="8">
        <f t="shared" si="0"/>
        <v>10.9923508764539</v>
      </c>
      <c r="E23" s="8">
        <f t="shared" si="0"/>
        <v>9.7140774239928902</v>
      </c>
      <c r="F23" s="8">
        <f t="shared" si="0"/>
        <v>5.7137456034125096</v>
      </c>
      <c r="G23" s="8">
        <f t="shared" si="0"/>
        <v>13.2798091113486</v>
      </c>
      <c r="H23" s="8">
        <f t="shared" si="0"/>
        <v>11.1900784012713</v>
      </c>
      <c r="I23" s="8">
        <f t="shared" si="0"/>
        <v>14.817843581598</v>
      </c>
      <c r="J23" s="8">
        <f t="shared" si="0"/>
        <v>13.938459770768899</v>
      </c>
      <c r="K23" s="8">
        <f t="shared" si="0"/>
        <v>8.94242101240323</v>
      </c>
      <c r="L23" s="8">
        <f t="shared" si="0"/>
        <v>9.7785656554204401</v>
      </c>
      <c r="M23" s="8">
        <f t="shared" si="0"/>
        <v>10.346174503291101</v>
      </c>
      <c r="N23" s="8">
        <f t="shared" si="0"/>
        <v>7.2893784265994803</v>
      </c>
      <c r="O23" s="8"/>
      <c r="P23" s="8"/>
      <c r="Q23" s="8"/>
    </row>
    <row r="24" spans="1:17" x14ac:dyDescent="0.35">
      <c r="A24" t="s">
        <v>394</v>
      </c>
      <c r="B24" s="8">
        <f t="shared" ref="B24:N24" si="1">MEDIAN(_xlfn.ANCHORARRAY(B2))</f>
        <v>9.8238973987983247</v>
      </c>
      <c r="C24" s="8">
        <f t="shared" si="1"/>
        <v>13.020733299173699</v>
      </c>
      <c r="D24" s="8">
        <f t="shared" si="1"/>
        <v>12.7516875895064</v>
      </c>
      <c r="E24" s="8">
        <f t="shared" si="1"/>
        <v>11.98466060872375</v>
      </c>
      <c r="F24" s="8">
        <f t="shared" si="1"/>
        <v>8.994618118763011</v>
      </c>
      <c r="G24" s="8">
        <f t="shared" si="1"/>
        <v>15.55096443559315</v>
      </c>
      <c r="H24" s="8">
        <f t="shared" si="1"/>
        <v>14.561964916400001</v>
      </c>
      <c r="I24" s="8">
        <f t="shared" si="1"/>
        <v>21.036882269896502</v>
      </c>
      <c r="J24" s="8">
        <f t="shared" si="1"/>
        <v>16.391058174766847</v>
      </c>
      <c r="K24" s="8">
        <f t="shared" si="1"/>
        <v>11.16089938202855</v>
      </c>
      <c r="L24" s="8">
        <f t="shared" si="1"/>
        <v>13.049660814670499</v>
      </c>
      <c r="M24" s="8">
        <f t="shared" si="1"/>
        <v>14.44282304978255</v>
      </c>
      <c r="N24" s="8">
        <f t="shared" si="1"/>
        <v>9.6445775045501065</v>
      </c>
      <c r="O24" s="8"/>
      <c r="P24" s="8"/>
      <c r="Q24" s="8"/>
    </row>
    <row r="25" spans="1:17" x14ac:dyDescent="0.35">
      <c r="A25" t="s">
        <v>496</v>
      </c>
      <c r="B25" s="8">
        <f t="shared" ref="B25:N25" si="2">B21</f>
        <v>6.5791075391831502</v>
      </c>
      <c r="C25" s="8">
        <f t="shared" si="2"/>
        <v>13.226137995013501</v>
      </c>
      <c r="D25" s="8">
        <f t="shared" si="2"/>
        <v>13.1440312273413</v>
      </c>
      <c r="E25" s="8">
        <f t="shared" si="2"/>
        <v>11.9408562756701</v>
      </c>
      <c r="F25" s="8">
        <f t="shared" si="2"/>
        <v>9.2990105044931095</v>
      </c>
      <c r="G25" s="8">
        <f t="shared" si="2"/>
        <v>19.2996868123636</v>
      </c>
      <c r="H25" s="8">
        <f t="shared" si="2"/>
        <v>14.732463877154</v>
      </c>
      <c r="I25" s="8">
        <f t="shared" si="2"/>
        <v>25.301111433536601</v>
      </c>
      <c r="J25" s="8">
        <f t="shared" si="2"/>
        <v>20.343735679668601</v>
      </c>
      <c r="K25" s="8">
        <f t="shared" si="2"/>
        <v>13.221059503291199</v>
      </c>
      <c r="L25" s="8">
        <f t="shared" si="2"/>
        <v>12.7459856653599</v>
      </c>
      <c r="M25" s="8">
        <f t="shared" si="2"/>
        <v>15.368050603555201</v>
      </c>
      <c r="N25" s="8">
        <f t="shared" si="2"/>
        <v>13.3572177464321</v>
      </c>
      <c r="O25" s="8"/>
      <c r="P25" s="8"/>
      <c r="Q25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T20"/>
  <sheetViews>
    <sheetView topLeftCell="G1" zoomScale="88" zoomScaleNormal="10" workbookViewId="0">
      <selection activeCell="O24" sqref="O24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0" ht="18.5" x14ac:dyDescent="0.55000000000000004">
      <c r="K1" s="62" t="s">
        <v>771</v>
      </c>
      <c r="L1" s="186">
        <f ca="1">EDATE(TODAY(), -1)</f>
        <v>45344</v>
      </c>
      <c r="M1" s="116"/>
    </row>
    <row r="2" spans="1:20" ht="15" thickBot="1" x14ac:dyDescent="0.4">
      <c r="K2" s="12" t="s">
        <v>772</v>
      </c>
      <c r="L2" s="187">
        <f ca="1">EDATE(TODAY(), -4)</f>
        <v>45252</v>
      </c>
    </row>
    <row r="3" spans="1:20" ht="50.25" customHeight="1" x14ac:dyDescent="0.35">
      <c r="E3" t="s">
        <v>747</v>
      </c>
      <c r="F3" t="s">
        <v>748</v>
      </c>
      <c r="H3" t="s">
        <v>764</v>
      </c>
      <c r="I3" t="s">
        <v>561</v>
      </c>
      <c r="J3" t="s">
        <v>518</v>
      </c>
      <c r="M3" s="114" t="s">
        <v>765</v>
      </c>
      <c r="N3" t="str" cm="1">
        <f t="array" aca="1" ref="N3" ca="1">_xll.FDSRC("-","DUMMY","ECON_DATE("&amp;$L$1&amp;",,, 'MM/YYYY')")</f>
        <v>02/2024</v>
      </c>
      <c r="O3" t="str" cm="1">
        <f t="array" aca="1" ref="O3" ca="1">_xll.FDSRC("-","DUMMY","ECON_DATE("&amp;$L$2&amp;",,, 'MM/YYYY')")</f>
        <v>11/2023</v>
      </c>
      <c r="P3" s="114" t="s">
        <v>768</v>
      </c>
      <c r="Q3" s="114" t="s">
        <v>774</v>
      </c>
      <c r="R3" s="117" t="s">
        <v>775</v>
      </c>
      <c r="S3" s="117" t="s">
        <v>550</v>
      </c>
      <c r="T3" s="117" t="s">
        <v>737</v>
      </c>
    </row>
    <row r="4" spans="1:20" x14ac:dyDescent="0.35">
      <c r="A4" t="s">
        <v>431</v>
      </c>
      <c r="B4" t="s">
        <v>446</v>
      </c>
      <c r="C4" t="s">
        <v>431</v>
      </c>
      <c r="D4" t="s">
        <v>750</v>
      </c>
      <c r="E4">
        <v>53.7</v>
      </c>
      <c r="F4">
        <v>5.3</v>
      </c>
      <c r="G4" t="s">
        <v>197</v>
      </c>
      <c r="H4" s="111" t="s">
        <v>755</v>
      </c>
      <c r="I4" s="112" t="s">
        <v>674</v>
      </c>
      <c r="J4" s="113" t="str" cm="1">
        <f t="array" ref="J4">_xll.FDS(K4,"FG_COMPANY_NAME")</f>
        <v>iShares MSCI New Zealand ETF</v>
      </c>
      <c r="K4" s="113" t="s">
        <v>431</v>
      </c>
      <c r="L4" t="s">
        <v>750</v>
      </c>
      <c r="M4" cm="1">
        <f t="array" ref="M4">IF(_xll.FDSRC(,"DUMMY","ECON_EXPR_DATA('FDS_ECON["&amp;H4&amp;"]',,,M)")=0,$J$20,_xll.FDSRC(,"DUMMY","ECON_EXPR_DATA('FDS_ECON["&amp;H4&amp;"]',,,M)"))</f>
        <v>49.270940000000003</v>
      </c>
      <c r="N4" cm="1">
        <f t="array" aca="1" ref="N4" ca="1">_xll.FDSRC("-","DUMMY","ECON_EXPR_DATA('FDS_ECON["&amp;H4&amp;"]',"&amp;$N$3&amp;",,Q)")</f>
        <v>44.351115999999998</v>
      </c>
      <c r="O4" cm="1">
        <f t="array" aca="1" ref="O4" ca="1">_xll.FDSRC("-","DUMMY","ECON_EXPR_DATA('FDS_ECON["&amp;H4&amp;"]',"&amp;$O$3&amp;",,Q)")</f>
        <v>45.880732999999999</v>
      </c>
      <c r="P4">
        <f t="shared" ref="P4:P12" ca="1" si="0">IFERROR(N4-O4,$M$20)</f>
        <v>-1.5296170000000018</v>
      </c>
      <c r="Q4" cm="1">
        <f t="array" ref="Q4">_xlfn.PERCENTRANK.EXC(_xlfn._xlws.FILTER(M$4:M$16, ISNUMBER(M$4:M$16)),M4)*100</f>
        <v>57.099999999999994</v>
      </c>
      <c r="R4" cm="1">
        <f t="array" aca="1" ref="R4" ca="1">_xlfn.PERCENTRANK.EXC(_xlfn._xlws.FILTER(P$4:P$16, ISNUMBER(P$4:P$16)),P4)*100</f>
        <v>14.2</v>
      </c>
      <c r="S4">
        <f ca="1">Q4*Assumption!$E$27 + R4*Assumption!$F$27</f>
        <v>39.94</v>
      </c>
      <c r="T4" cm="1">
        <f t="array" aca="1" ref="T4" ca="1">_xlfn.PERCENTRANK.EXC(_xlfn._xlws.FILTER(S$4:S$16, ISNUMBER(S$4:S$16)),S4)*100</f>
        <v>35.699999999999996</v>
      </c>
    </row>
    <row r="5" spans="1:20" x14ac:dyDescent="0.35">
      <c r="A5" t="s">
        <v>44</v>
      </c>
      <c r="B5" t="s">
        <v>45</v>
      </c>
      <c r="C5" t="s">
        <v>44</v>
      </c>
      <c r="D5" t="s">
        <v>750</v>
      </c>
      <c r="E5">
        <v>53</v>
      </c>
      <c r="F5">
        <v>4.5</v>
      </c>
      <c r="G5" t="s">
        <v>113</v>
      </c>
      <c r="H5" s="111" t="s">
        <v>753</v>
      </c>
      <c r="I5" s="112" t="s">
        <v>576</v>
      </c>
      <c r="J5" s="113" t="str" cm="1">
        <f t="array" ref="J5">_xll.FDS(K5,"FG_COMPANY_NAME")</f>
        <v>iShares MSCI Australia ETF</v>
      </c>
      <c r="K5" s="113" t="s">
        <v>44</v>
      </c>
      <c r="L5" t="s">
        <v>750</v>
      </c>
      <c r="M5" cm="1">
        <f t="array" ref="M5">IF(_xll.FDSRC(,"DUMMY","ECON_EXPR_DATA('FDS_ECON["&amp;H5&amp;"]',,,M)")=0,$J$20,_xll.FDSRC(,"DUMMY","ECON_EXPR_DATA('FDS_ECON["&amp;H5&amp;"]',,,M)"))</f>
        <v>47.823067000000002</v>
      </c>
      <c r="N5" cm="1">
        <f t="array" aca="1" ref="N5" ca="1">_xll.FDSRC("-","DUMMY","ECON_EXPR_DATA('FDS_ECON["&amp;H5&amp;"]',"&amp;$N$3&amp;",,Q)")</f>
        <v>47.862293000000001</v>
      </c>
      <c r="O5" cm="1">
        <f t="array" aca="1" ref="O5" ca="1">_xll.FDSRC("-","DUMMY","ECON_EXPR_DATA('FDS_ECON["&amp;H5&amp;"]',"&amp;$O$3&amp;",,Q)")</f>
        <v>49.327064999999997</v>
      </c>
      <c r="P5">
        <f t="shared" ca="1" si="0"/>
        <v>-1.4647719999999964</v>
      </c>
      <c r="Q5" cm="1">
        <f t="array" ref="Q5">_xlfn.PERCENTRANK.EXC(_xlfn._xlws.FILTER(M$4:M$16, ISNUMBER(M$4:M$16)),M5)*100</f>
        <v>42.8</v>
      </c>
      <c r="R5" cm="1">
        <f t="array" aca="1" ref="R5" ca="1">_xlfn.PERCENTRANK.EXC(_xlfn._xlws.FILTER(P$4:P$16, ISNUMBER(P$4:P$16)),P5)*100</f>
        <v>21.4</v>
      </c>
      <c r="S5">
        <f ca="1">Q5*Assumption!$E$27 + R5*Assumption!$F$27</f>
        <v>34.239999999999995</v>
      </c>
      <c r="T5" cm="1">
        <f t="array" aca="1" ref="T5" ca="1">_xlfn.PERCENTRANK.EXC(_xlfn._xlws.FILTER(S$4:S$16, ISNUMBER(S$4:S$16)),S5)*100</f>
        <v>21.4</v>
      </c>
    </row>
    <row r="6" spans="1:20" x14ac:dyDescent="0.35">
      <c r="A6" t="s">
        <v>49</v>
      </c>
      <c r="B6" t="s">
        <v>50</v>
      </c>
      <c r="C6" t="s">
        <v>49</v>
      </c>
      <c r="D6" t="s">
        <v>750</v>
      </c>
      <c r="E6">
        <v>53.7</v>
      </c>
      <c r="F6">
        <v>5.3</v>
      </c>
      <c r="G6" t="s">
        <v>116</v>
      </c>
      <c r="H6" s="111" t="s">
        <v>752</v>
      </c>
      <c r="I6" s="112" t="s">
        <v>598</v>
      </c>
      <c r="J6" s="113" t="str" cm="1">
        <f t="array" ref="J6">_xll.FDS(K6,"FG_COMPANY_NAME")</f>
        <v>iShares MSCI Canada ETF</v>
      </c>
      <c r="K6" s="113" t="s">
        <v>49</v>
      </c>
      <c r="L6" t="s">
        <v>750</v>
      </c>
      <c r="M6" cm="1">
        <f t="array" ref="M6">IF(_xll.FDSRC(,"DUMMY","ECON_EXPR_DATA('FDS_ECON["&amp;H6&amp;"]',,,M)")=0,$J$20,_xll.FDSRC(,"DUMMY","ECON_EXPR_DATA('FDS_ECON["&amp;H6&amp;"]',,,M)"))</f>
        <v>49.740319999999997</v>
      </c>
      <c r="N6" cm="1">
        <f t="array" aca="1" ref="N6" ca="1">_xll.FDSRC("-","DUMMY","ECON_EXPR_DATA('FDS_ECON["&amp;H6&amp;"]',"&amp;$N$3&amp;",,Q)")</f>
        <v>47.255585000000004</v>
      </c>
      <c r="O6" cm="1">
        <f t="array" aca="1" ref="O6" ca="1">_xll.FDSRC("-","DUMMY","ECON_EXPR_DATA('FDS_ECON["&amp;H6&amp;"]',"&amp;$O$3&amp;",,Q)")</f>
        <v>48.335906999999999</v>
      </c>
      <c r="P6">
        <f t="shared" ca="1" si="0"/>
        <v>-1.0803219999999953</v>
      </c>
      <c r="Q6" cm="1">
        <f t="array" ref="Q6">_xlfn.PERCENTRANK.EXC(_xlfn._xlws.FILTER(M$4:M$16, ISNUMBER(M$4:M$16)),M6)*100</f>
        <v>71.399999999999991</v>
      </c>
      <c r="R6" cm="1">
        <f t="array" aca="1" ref="R6" ca="1">_xlfn.PERCENTRANK.EXC(_xlfn._xlws.FILTER(P$4:P$16, ISNUMBER(P$4:P$16)),P6)*100</f>
        <v>28.499999999999996</v>
      </c>
      <c r="S6">
        <f ca="1">Q6*Assumption!$E$27 + R6*Assumption!$F$27</f>
        <v>54.239999999999995</v>
      </c>
      <c r="T6" cm="1">
        <f t="array" aca="1" ref="T6" ca="1">_xlfn.PERCENTRANK.EXC(_xlfn._xlws.FILTER(S$4:S$16, ISNUMBER(S$4:S$16)),S6)*100</f>
        <v>57.099999999999994</v>
      </c>
    </row>
    <row r="7" spans="1:20" x14ac:dyDescent="0.35">
      <c r="A7" t="s">
        <v>11</v>
      </c>
      <c r="B7" t="s">
        <v>39</v>
      </c>
      <c r="C7" t="s">
        <v>11</v>
      </c>
      <c r="D7" t="s">
        <v>750</v>
      </c>
      <c r="E7">
        <v>54.2</v>
      </c>
      <c r="F7">
        <v>3.4</v>
      </c>
      <c r="G7" t="s">
        <v>102</v>
      </c>
      <c r="H7" s="111" t="s">
        <v>756</v>
      </c>
      <c r="I7" s="112" t="s">
        <v>625</v>
      </c>
      <c r="J7" s="113" t="str" cm="1">
        <f t="array" ref="J7">_xll.FDS(K7,"FG_COMPANY_NAME")</f>
        <v>iShares MSCI Germany ETF</v>
      </c>
      <c r="K7" s="113" t="s">
        <v>11</v>
      </c>
      <c r="L7" t="s">
        <v>750</v>
      </c>
      <c r="M7" cm="1">
        <f t="array" ref="M7">IF(_xll.FDSRC(,"DUMMY","ECON_EXPR_DATA('FDS_ECON["&amp;H7&amp;"]',,,M)")=0,$J$20,_xll.FDSRC(,"DUMMY","ECON_EXPR_DATA('FDS_ECON["&amp;H7&amp;"]',,,M)"))</f>
        <v>42.526249999999997</v>
      </c>
      <c r="N7" cm="1">
        <f t="array" aca="1" ref="N7" ca="1">_xll.FDSRC("-","DUMMY","ECON_EXPR_DATA('FDS_ECON["&amp;H7&amp;"]',"&amp;$N$3&amp;",,Q)")</f>
        <v>42.238945000000001</v>
      </c>
      <c r="O7" cm="1">
        <f t="array" aca="1" ref="O7" ca="1">_xll.FDSRC("-","DUMMY","ECON_EXPR_DATA('FDS_ECON["&amp;H7&amp;"]',"&amp;$O$3&amp;",,Q)")</f>
        <v>39.155673999999998</v>
      </c>
      <c r="P7">
        <f t="shared" ca="1" si="0"/>
        <v>3.0832710000000034</v>
      </c>
      <c r="Q7" cm="1">
        <f t="array" ref="Q7">_xlfn.PERCENTRANK.EXC(_xlfn._xlws.FILTER(M$4:M$16, ISNUMBER(M$4:M$16)),M7)*100</f>
        <v>7.1</v>
      </c>
      <c r="R7" cm="1">
        <f t="array" aca="1" ref="R7" ca="1">_xlfn.PERCENTRANK.EXC(_xlfn._xlws.FILTER(P$4:P$16, ISNUMBER(P$4:P$16)),P7)*100</f>
        <v>92.800000000000011</v>
      </c>
      <c r="S7">
        <f ca="1">Q7*Assumption!$E$27 + R7*Assumption!$F$27</f>
        <v>41.38</v>
      </c>
      <c r="T7" cm="1">
        <f t="array" aca="1" ref="T7" ca="1">_xlfn.PERCENTRANK.EXC(_xlfn._xlws.FILTER(S$4:S$16, ISNUMBER(S$4:S$16)),S7)*100</f>
        <v>42.8</v>
      </c>
    </row>
    <row r="8" spans="1:20" x14ac:dyDescent="0.35">
      <c r="A8" t="s">
        <v>46</v>
      </c>
      <c r="B8" t="s">
        <v>47</v>
      </c>
      <c r="C8" t="s">
        <v>46</v>
      </c>
      <c r="D8" t="s">
        <v>750</v>
      </c>
      <c r="E8">
        <v>52.9</v>
      </c>
      <c r="F8">
        <v>2.2000000000000002</v>
      </c>
      <c r="G8" t="s">
        <v>114</v>
      </c>
      <c r="H8" s="111" t="s">
        <v>754</v>
      </c>
      <c r="I8" s="112" t="s">
        <v>643</v>
      </c>
      <c r="J8" s="113" t="str" cm="1">
        <f t="array" ref="J8">_xll.FDS(K8,"FG_COMPANY_NAME")</f>
        <v>iShares MSCI Japan ETF</v>
      </c>
      <c r="K8" s="113" t="s">
        <v>46</v>
      </c>
      <c r="L8" t="s">
        <v>750</v>
      </c>
      <c r="M8" cm="1">
        <f t="array" ref="M8">IF(_xll.FDSRC(,"DUMMY","ECON_EXPR_DATA('FDS_ECON["&amp;H8&amp;"]',,,M)")=0,$J$20,_xll.FDSRC(,"DUMMY","ECON_EXPR_DATA('FDS_ECON["&amp;H8&amp;"]',,,M)"))</f>
        <v>47.182769999999998</v>
      </c>
      <c r="N8" cm="1">
        <f t="array" aca="1" ref="N8" ca="1">_xll.FDSRC("-","DUMMY","ECON_EXPR_DATA('FDS_ECON["&amp;H8&amp;"]',"&amp;$N$3&amp;",,Q)")</f>
        <v>48.318770000000001</v>
      </c>
      <c r="O8" cm="1">
        <f t="array" aca="1" ref="O8" ca="1">_xll.FDSRC("-","DUMMY","ECON_EXPR_DATA('FDS_ECON["&amp;H8&amp;"]',"&amp;$O$3&amp;",,Q)")</f>
        <v>49.252665999999998</v>
      </c>
      <c r="P8">
        <f t="shared" ca="1" si="0"/>
        <v>-0.93389599999999717</v>
      </c>
      <c r="Q8" cm="1">
        <f t="array" ref="Q8">_xlfn.PERCENTRANK.EXC(_xlfn._xlws.FILTER(M$4:M$16, ISNUMBER(M$4:M$16)),M8)*100</f>
        <v>28.499999999999996</v>
      </c>
      <c r="R8" cm="1">
        <f t="array" aca="1" ref="R8" ca="1">_xlfn.PERCENTRANK.EXC(_xlfn._xlws.FILTER(P$4:P$16, ISNUMBER(P$4:P$16)),P8)*100</f>
        <v>35.699999999999996</v>
      </c>
      <c r="S8">
        <f ca="1">Q8*Assumption!$E$27 + R8*Assumption!$F$27</f>
        <v>31.379999999999995</v>
      </c>
      <c r="T8" cm="1">
        <f t="array" aca="1" ref="T8" ca="1">_xlfn.PERCENTRANK.EXC(_xlfn._xlws.FILTER(S$4:S$16, ISNUMBER(S$4:S$16)),S8)*100</f>
        <v>14.2</v>
      </c>
    </row>
    <row r="9" spans="1:20" x14ac:dyDescent="0.35">
      <c r="A9" t="s">
        <v>42</v>
      </c>
      <c r="B9" t="s">
        <v>43</v>
      </c>
      <c r="C9" t="s">
        <v>42</v>
      </c>
      <c r="D9" t="s">
        <v>750</v>
      </c>
      <c r="E9">
        <v>53.7</v>
      </c>
      <c r="F9">
        <v>5.3</v>
      </c>
      <c r="G9" t="s">
        <v>110</v>
      </c>
      <c r="H9" s="111" t="s">
        <v>758</v>
      </c>
      <c r="I9" s="112" t="s">
        <v>706</v>
      </c>
      <c r="J9" s="113" t="str" cm="1">
        <f t="array" ref="J9">_xll.FDS(K9,"FG_COMPANY_NAME")</f>
        <v>iShares MSCI Switzerland ETF</v>
      </c>
      <c r="K9" s="113" t="s">
        <v>42</v>
      </c>
      <c r="L9" t="s">
        <v>750</v>
      </c>
      <c r="M9" cm="1">
        <f t="array" ref="M9">IF(_xll.FDSRC(,"DUMMY","ECON_EXPR_DATA('FDS_ECON["&amp;H9&amp;"]',,,M)")=0,$J$20,_xll.FDSRC(,"DUMMY","ECON_EXPR_DATA('FDS_ECON["&amp;H9&amp;"]',,,M)"))</f>
        <v>43.954456</v>
      </c>
      <c r="N9" cm="1">
        <f t="array" aca="1" ref="N9" ca="1">_xll.FDSRC("-","DUMMY","ECON_EXPR_DATA('FDS_ECON["&amp;H9&amp;"]',"&amp;$N$3&amp;",,Q)")</f>
        <v>41.921543</v>
      </c>
      <c r="O9" cm="1">
        <f t="array" aca="1" ref="O9" ca="1">_xll.FDSRC("-","DUMMY","ECON_EXPR_DATA('FDS_ECON["&amp;H9&amp;"]',"&amp;$O$3&amp;",,Q)")</f>
        <v>41.102364000000001</v>
      </c>
      <c r="P9">
        <f t="shared" ca="1" si="0"/>
        <v>0.81917899999999833</v>
      </c>
      <c r="Q9" cm="1">
        <f t="array" ref="Q9">_xlfn.PERCENTRANK.EXC(_xlfn._xlws.FILTER(M$4:M$16, ISNUMBER(M$4:M$16)),M9)*100</f>
        <v>14.2</v>
      </c>
      <c r="R9" cm="1">
        <f t="array" aca="1" ref="R9" ca="1">_xlfn.PERCENTRANK.EXC(_xlfn._xlws.FILTER(P$4:P$16, ISNUMBER(P$4:P$16)),P9)*100</f>
        <v>78.5</v>
      </c>
      <c r="S9">
        <f ca="1">Q9*Assumption!$E$27 + R9*Assumption!$F$27</f>
        <v>39.92</v>
      </c>
      <c r="T9" cm="1">
        <f t="array" aca="1" ref="T9" ca="1">_xlfn.PERCENTRANK.EXC(_xlfn._xlws.FILTER(S$4:S$16, ISNUMBER(S$4:S$16)),S9)*100</f>
        <v>28.499999999999996</v>
      </c>
    </row>
    <row r="10" spans="1:20" x14ac:dyDescent="0.35">
      <c r="A10" t="s">
        <v>48</v>
      </c>
      <c r="B10" t="s">
        <v>447</v>
      </c>
      <c r="C10" t="s">
        <v>48</v>
      </c>
      <c r="D10" t="s">
        <v>750</v>
      </c>
      <c r="E10">
        <v>54.9</v>
      </c>
      <c r="F10">
        <v>6.4</v>
      </c>
      <c r="G10" t="s">
        <v>115</v>
      </c>
      <c r="H10" s="111" t="s">
        <v>757</v>
      </c>
      <c r="I10" s="112" t="s">
        <v>447</v>
      </c>
      <c r="J10" s="113" t="str" cm="1">
        <f t="array" ref="J10">_xll.FDS(K10,"FG_COMPANY_NAME")</f>
        <v>iShares MSCI United Kingdom ETF</v>
      </c>
      <c r="K10" s="113" t="s">
        <v>48</v>
      </c>
      <c r="L10" t="s">
        <v>750</v>
      </c>
      <c r="M10" cm="1">
        <f t="array" ref="M10">IF(_xll.FDSRC(,"DUMMY","ECON_EXPR_DATA('FDS_ECON["&amp;H10&amp;"]',,,M)")=0,$J$20,_xll.FDSRC(,"DUMMY","ECON_EXPR_DATA('FDS_ECON["&amp;H10&amp;"]',,,M)"))</f>
        <v>47.508816000000003</v>
      </c>
      <c r="N10" cm="1">
        <f t="array" aca="1" ref="N10" ca="1">_xll.FDSRC("-","DUMMY","ECON_EXPR_DATA('FDS_ECON["&amp;H10&amp;"]',"&amp;$N$3&amp;",,Q)")</f>
        <v>46.058700000000002</v>
      </c>
      <c r="O10" cm="1">
        <f t="array" aca="1" ref="O10" ca="1">_xll.FDSRC("-","DUMMY","ECON_EXPR_DATA('FDS_ECON["&amp;H10&amp;"]',"&amp;$O$3&amp;",,Q)")</f>
        <v>44.209952999999999</v>
      </c>
      <c r="P10">
        <f t="shared" ca="1" si="0"/>
        <v>1.848747000000003</v>
      </c>
      <c r="Q10" cm="1">
        <f t="array" ref="Q10">_xlfn.PERCENTRANK.EXC(_xlfn._xlws.FILTER(M$4:M$16, ISNUMBER(M$4:M$16)),M10)*100</f>
        <v>35.699999999999996</v>
      </c>
      <c r="R10" cm="1">
        <f t="array" aca="1" ref="R10" ca="1">_xlfn.PERCENTRANK.EXC(_xlfn._xlws.FILTER(P$4:P$16, ISNUMBER(P$4:P$16)),P10)*100</f>
        <v>85.7</v>
      </c>
      <c r="S10">
        <f ca="1">Q10*Assumption!$E$27 + R10*Assumption!$F$27</f>
        <v>55.7</v>
      </c>
      <c r="T10" cm="1">
        <f t="array" aca="1" ref="T10" ca="1">_xlfn.PERCENTRANK.EXC(_xlfn._xlws.FILTER(S$4:S$16, ISNUMBER(S$4:S$16)),S10)*100</f>
        <v>64.2</v>
      </c>
    </row>
    <row r="11" spans="1:20" x14ac:dyDescent="0.35">
      <c r="A11" t="s">
        <v>51</v>
      </c>
      <c r="B11" t="s">
        <v>448</v>
      </c>
      <c r="C11" t="s">
        <v>51</v>
      </c>
      <c r="D11" t="s">
        <v>750</v>
      </c>
      <c r="E11">
        <v>53.4</v>
      </c>
      <c r="F11">
        <v>6.5</v>
      </c>
      <c r="G11" t="s">
        <v>119</v>
      </c>
      <c r="H11" s="111" t="s">
        <v>751</v>
      </c>
      <c r="I11" s="112" t="s">
        <v>763</v>
      </c>
      <c r="J11" s="113" t="str" cm="1">
        <f t="array" ref="J11">_xll.FDS(K11,"FG_COMPANY_NAME")</f>
        <v>Invesco QQQ Trust Series I</v>
      </c>
      <c r="K11" s="113" t="s">
        <v>51</v>
      </c>
      <c r="L11" t="s">
        <v>750</v>
      </c>
      <c r="M11" cm="1">
        <f t="array" ref="M11">IF(_xll.FDSRC(,"DUMMY","ECON_EXPR_DATA('FDS_ECON["&amp;H11&amp;"]',,,M)")=0,$J$20,_xll.FDSRC(,"DUMMY","ECON_EXPR_DATA('FDS_ECON["&amp;H11&amp;"]',,,M)"))</f>
        <v>52.195070000000001</v>
      </c>
      <c r="N11" cm="1">
        <f t="array" aca="1" ref="N11" ca="1">_xll.FDSRC("-","DUMMY","ECON_EXPR_DATA('FDS_ECON["&amp;H11&amp;"]',"&amp;$N$3&amp;",,Q)")</f>
        <v>49.098827</v>
      </c>
      <c r="O11" cm="1">
        <f t="array" aca="1" ref="O11" ca="1">_xll.FDSRC("-","DUMMY","ECON_EXPR_DATA('FDS_ECON["&amp;H11&amp;"]',"&amp;$O$3&amp;",,Q)")</f>
        <v>48.914909999999999</v>
      </c>
      <c r="P11">
        <f t="shared" ca="1" si="0"/>
        <v>0.183917000000001</v>
      </c>
      <c r="Q11" cm="1">
        <f t="array" ref="Q11">_xlfn.PERCENTRANK.EXC(_xlfn._xlws.FILTER(M$4:M$16, ISNUMBER(M$4:M$16)),M11)*100</f>
        <v>85.7</v>
      </c>
      <c r="R11" cm="1">
        <f t="array" aca="1" ref="R11" ca="1">_xlfn.PERCENTRANK.EXC(_xlfn._xlws.FILTER(P$4:P$16, ISNUMBER(P$4:P$16)),P11)*100</f>
        <v>64.2</v>
      </c>
      <c r="S11">
        <f ca="1">Q11*Assumption!$E$27 + R11*Assumption!$F$27</f>
        <v>77.100000000000009</v>
      </c>
      <c r="T11" cm="1">
        <f t="array" aca="1" ref="T11" ca="1">_xlfn.PERCENTRANK.EXC(_xlfn._xlws.FILTER(S$4:S$16, ISNUMBER(S$4:S$16)),S11)*100</f>
        <v>85.7</v>
      </c>
    </row>
    <row r="12" spans="1:20" x14ac:dyDescent="0.35">
      <c r="A12" t="s">
        <v>1</v>
      </c>
      <c r="B12" t="s">
        <v>1</v>
      </c>
      <c r="C12" t="s">
        <v>1</v>
      </c>
      <c r="D12" t="s">
        <v>750</v>
      </c>
      <c r="E12">
        <v>53.4</v>
      </c>
      <c r="F12">
        <v>6.5</v>
      </c>
      <c r="G12" t="s">
        <v>119</v>
      </c>
      <c r="H12" s="111" t="s">
        <v>751</v>
      </c>
      <c r="I12" s="112" t="s">
        <v>763</v>
      </c>
      <c r="J12" s="113" t="str" cm="1">
        <f t="array" ref="J12">_xll.FDS(K12,"FG_COMPANY_NAME")</f>
        <v>SPDR S&amp;P 500 ETF Trust</v>
      </c>
      <c r="K12" s="113" t="s">
        <v>1</v>
      </c>
      <c r="L12" t="s">
        <v>750</v>
      </c>
      <c r="M12" cm="1">
        <f t="array" ref="M12">IF(_xll.FDSRC(,"DUMMY","ECON_EXPR_DATA('FDS_ECON["&amp;H12&amp;"]',,,M)")=0,$J$20,_xll.FDSRC(,"DUMMY","ECON_EXPR_DATA('FDS_ECON["&amp;H12&amp;"]',,,M)"))</f>
        <v>52.195070000000001</v>
      </c>
      <c r="N12" cm="1">
        <f t="array" aca="1" ref="N12" ca="1">_xll.FDSRC("-","DUMMY","ECON_EXPR_DATA('FDS_ECON["&amp;H12&amp;"]',"&amp;$N$3&amp;",,Q)")</f>
        <v>49.098827</v>
      </c>
      <c r="O12" cm="1">
        <f t="array" aca="1" ref="O12" ca="1">_xll.FDSRC("-","DUMMY","ECON_EXPR_DATA('FDS_ECON["&amp;H12&amp;"]',"&amp;$O$3&amp;",,Q)")</f>
        <v>48.914909999999999</v>
      </c>
      <c r="P12">
        <f t="shared" ca="1" si="0"/>
        <v>0.183917000000001</v>
      </c>
      <c r="Q12" cm="1">
        <f t="array" ref="Q12">_xlfn.PERCENTRANK.EXC(_xlfn._xlws.FILTER(M$4:M$16, ISNUMBER(M$4:M$16)),M12)*100</f>
        <v>85.7</v>
      </c>
      <c r="R12" cm="1">
        <f t="array" aca="1" ref="R12" ca="1">_xlfn.PERCENTRANK.EXC(_xlfn._xlws.FILTER(P$4:P$16, ISNUMBER(P$4:P$16)),P12)*100</f>
        <v>64.2</v>
      </c>
      <c r="S12">
        <f ca="1">Q12*Assumption!$E$27 + R12*Assumption!$F$27</f>
        <v>77.100000000000009</v>
      </c>
      <c r="T12" cm="1">
        <f t="array" aca="1" ref="T12" ca="1">_xlfn.PERCENTRANK.EXC(_xlfn._xlws.FILTER(S$4:S$16, ISNUMBER(S$4:S$16)),S12)*100</f>
        <v>85.7</v>
      </c>
    </row>
    <row r="13" spans="1:20" x14ac:dyDescent="0.35">
      <c r="G13" t="s">
        <v>106</v>
      </c>
      <c r="H13" s="111" t="s">
        <v>883</v>
      </c>
      <c r="I13" t="s">
        <v>621</v>
      </c>
      <c r="J13" s="113" t="str" cm="1">
        <f t="array" ref="J13">_xll.FDS(K13,"FG_COMPANY_NAME")</f>
        <v>iShares MSCI France ETF</v>
      </c>
      <c r="K13" t="s">
        <v>865</v>
      </c>
      <c r="L13" t="s">
        <v>750</v>
      </c>
      <c r="M13" cm="1">
        <f t="array" ref="M13">IF(_xll.FDSRC(,"DUMMY","ECON_EXPR_DATA('FDS_ECON["&amp;H13&amp;"]',,,M)")=0,$J$20,_xll.FDSRC(,"DUMMY","ECON_EXPR_DATA('FDS_ECON["&amp;H13&amp;"]',,,M)"))</f>
        <v>47.113422</v>
      </c>
      <c r="N13" cm="1">
        <f t="array" aca="1" ref="N13" ca="1">_xll.FDSRC("-","DUMMY","ECON_EXPR_DATA('FDS_ECON["&amp;H13&amp;"]',"&amp;$N$3&amp;",,Q)")</f>
        <v>42.573967000000003</v>
      </c>
      <c r="O13" cm="1">
        <f t="array" aca="1" ref="O13" ca="1">_xll.FDSRC("-","DUMMY","ECON_EXPR_DATA('FDS_ECON["&amp;H13&amp;"]',"&amp;$O$3&amp;",,Q)")</f>
        <v>45.097969999999997</v>
      </c>
      <c r="P13">
        <f t="shared" ref="P13:P16" ca="1" si="1">IFERROR(N13-O13,$M$20)</f>
        <v>-2.5240029999999933</v>
      </c>
      <c r="Q13" cm="1">
        <f t="array" ref="Q13">_xlfn.PERCENTRANK.EXC(_xlfn._xlws.FILTER(M$4:M$16, ISNUMBER(M$4:M$16)),M13)*100</f>
        <v>21.4</v>
      </c>
      <c r="R13" cm="1">
        <f t="array" aca="1" ref="R13" ca="1">_xlfn.PERCENTRANK.EXC(_xlfn._xlws.FILTER(P$4:P$16, ISNUMBER(P$4:P$16)),P13)*100</f>
        <v>7.1</v>
      </c>
      <c r="S13">
        <f ca="1">Q13*Assumption!$E$27 + R13*Assumption!$F$27</f>
        <v>15.679999999999998</v>
      </c>
      <c r="T13" cm="1">
        <f t="array" aca="1" ref="T13" ca="1">_xlfn.PERCENTRANK.EXC(_xlfn._xlws.FILTER(S$4:S$16, ISNUMBER(S$4:S$16)),S13)*100</f>
        <v>7.1</v>
      </c>
    </row>
    <row r="14" spans="1:20" x14ac:dyDescent="0.35">
      <c r="G14" t="s">
        <v>875</v>
      </c>
      <c r="H14" s="111" t="s">
        <v>884</v>
      </c>
      <c r="I14" t="s">
        <v>673</v>
      </c>
      <c r="J14" s="113" t="str" cm="1">
        <f t="array" ref="J14">_xll.FDS(K14,"FG_COMPANY_NAME")</f>
        <v>iShares MSCI Netherlands ETF</v>
      </c>
      <c r="K14" t="s">
        <v>867</v>
      </c>
      <c r="L14" t="s">
        <v>750</v>
      </c>
      <c r="M14" cm="1">
        <f t="array" ref="M14">IF(_xll.FDSRC(,"DUMMY","ECON_EXPR_DATA('FDS_ECON["&amp;H14&amp;"]',,,M)")=0,$J$20,_xll.FDSRC(,"DUMMY","ECON_EXPR_DATA('FDS_ECON["&amp;H14&amp;"]',,,M)"))</f>
        <v>49.333509999999997</v>
      </c>
      <c r="N14" cm="1">
        <f t="array" aca="1" ref="N14" ca="1">_xll.FDSRC("-","DUMMY","ECON_EXPR_DATA('FDS_ECON["&amp;H14&amp;"]',"&amp;$N$3&amp;",,Q)")</f>
        <v>44.495136000000002</v>
      </c>
      <c r="O14" cm="1">
        <f t="array" aca="1" ref="O14" ca="1">_xll.FDSRC("-","DUMMY","ECON_EXPR_DATA('FDS_ECON["&amp;H14&amp;"]',"&amp;$O$3&amp;",,Q)")</f>
        <v>44.945712999999998</v>
      </c>
      <c r="P14">
        <f t="shared" ca="1" si="1"/>
        <v>-0.45057699999999556</v>
      </c>
      <c r="Q14" cm="1">
        <f t="array" ref="Q14">_xlfn.PERCENTRANK.EXC(_xlfn._xlws.FILTER(M$4:M$16, ISNUMBER(M$4:M$16)),M14)*100</f>
        <v>64.2</v>
      </c>
      <c r="R14" cm="1">
        <f t="array" aca="1" ref="R14" ca="1">_xlfn.PERCENTRANK.EXC(_xlfn._xlws.FILTER(P$4:P$16, ISNUMBER(P$4:P$16)),P14)*100</f>
        <v>50</v>
      </c>
      <c r="S14">
        <f ca="1">Q14*Assumption!$E$27 + R14*Assumption!$F$27</f>
        <v>58.52</v>
      </c>
      <c r="T14" cm="1">
        <f t="array" aca="1" ref="T14" ca="1">_xlfn.PERCENTRANK.EXC(_xlfn._xlws.FILTER(S$4:S$16, ISNUMBER(S$4:S$16)),S14)*100</f>
        <v>71.399999999999991</v>
      </c>
    </row>
    <row r="15" spans="1:20" x14ac:dyDescent="0.35">
      <c r="G15" t="s">
        <v>272</v>
      </c>
      <c r="H15" s="111"/>
      <c r="I15" t="s">
        <v>705</v>
      </c>
      <c r="J15" s="113" t="str" cm="1">
        <f t="array" ref="J15">_xll.FDS(K15,"FG_COMPANY_NAME")</f>
        <v>iShares MSCI Sweden ETF</v>
      </c>
      <c r="K15" t="s">
        <v>864</v>
      </c>
      <c r="L15" t="s">
        <v>750</v>
      </c>
      <c r="M15" cm="1">
        <f t="array" ref="M15">IF(_xll.FDSRC(,"DUMMY","ECON_EXPR_DATA('FDS_ECON["&amp;H15&amp;"]',,,M)")=0,$J$20,_xll.FDSRC(,"DUMMY","ECON_EXPR_DATA('FDS_ECON["&amp;H15&amp;"]',,,M)"))</f>
        <v>51.447499999999998</v>
      </c>
      <c r="N15" t="str" cm="1">
        <f t="array" aca="1" ref="N15" ca="1">_xll.FDSRC("-","DUMMY","ECON_EXPR_DATA('FDS_ECON["&amp;H15&amp;"]',"&amp;$N$3&amp;",,Q)")</f>
        <v>-</v>
      </c>
      <c r="O15" t="str" cm="1">
        <f t="array" aca="1" ref="O15" ca="1">_xll.FDSRC("-","DUMMY","ECON_EXPR_DATA('FDS_ECON["&amp;H15&amp;"]',"&amp;$O$3&amp;",,Q)")</f>
        <v>-</v>
      </c>
      <c r="P15">
        <f t="shared" ca="1" si="1"/>
        <v>-0.17349399999999804</v>
      </c>
      <c r="Q15" cm="1">
        <f t="array" ref="Q15">_xlfn.PERCENTRANK.EXC(_xlfn._xlws.FILTER(M$4:M$16, ISNUMBER(M$4:M$16)),M15)*100</f>
        <v>78.5</v>
      </c>
      <c r="R15" cm="1">
        <f t="array" aca="1" ref="R15" ca="1">_xlfn.PERCENTRANK.EXC(_xlfn._xlws.FILTER(P$4:P$16, ISNUMBER(P$4:P$16)),P15)*100</f>
        <v>57.099999999999994</v>
      </c>
      <c r="S15">
        <f ca="1">Q15*Assumption!$E$27 + R15*Assumption!$F$27</f>
        <v>69.94</v>
      </c>
      <c r="T15" cm="1">
        <f t="array" aca="1" ref="T15" ca="1">_xlfn.PERCENTRANK.EXC(_xlfn._xlws.FILTER(S$4:S$16, ISNUMBER(S$4:S$16)),S15)*100</f>
        <v>78.5</v>
      </c>
    </row>
    <row r="16" spans="1:20" x14ac:dyDescent="0.35">
      <c r="G16" t="s">
        <v>876</v>
      </c>
      <c r="H16" s="111" t="s">
        <v>885</v>
      </c>
      <c r="I16" t="s">
        <v>641</v>
      </c>
      <c r="J16" s="113" t="str" cm="1">
        <f t="array" ref="J16">_xll.FDS(K16,"FG_COMPANY_NAME")</f>
        <v>iShares MSCI Italy ETF</v>
      </c>
      <c r="K16" t="s">
        <v>866</v>
      </c>
      <c r="L16" t="s">
        <v>750</v>
      </c>
      <c r="M16" cm="1">
        <f t="array" ref="M16">IF(_xll.FDSRC(,"DUMMY","ECON_EXPR_DATA('FDS_ECON["&amp;H16&amp;"]',,,M)")=0,$J$20,_xll.FDSRC(,"DUMMY","ECON_EXPR_DATA('FDS_ECON["&amp;H16&amp;"]',,,M)"))</f>
        <v>48.697094</v>
      </c>
      <c r="N16" cm="1">
        <f t="array" aca="1" ref="N16" ca="1">_xll.FDSRC("-","DUMMY","ECON_EXPR_DATA('FDS_ECON["&amp;H16&amp;"]',"&amp;$N$3&amp;",,Q)")</f>
        <v>44.859454999999997</v>
      </c>
      <c r="O16" cm="1">
        <f t="array" aca="1" ref="O16" ca="1">_xll.FDSRC("-","DUMMY","ECON_EXPR_DATA('FDS_ECON["&amp;H16&amp;"]',"&amp;$O$3&amp;",,Q)")</f>
        <v>45.562866</v>
      </c>
      <c r="P16">
        <f t="shared" ca="1" si="1"/>
        <v>-0.70341100000000267</v>
      </c>
      <c r="Q16" cm="1">
        <f t="array" ref="Q16">_xlfn.PERCENTRANK.EXC(_xlfn._xlws.FILTER(M$4:M$16, ISNUMBER(M$4:M$16)),M16)*100</f>
        <v>50</v>
      </c>
      <c r="R16" cm="1">
        <f t="array" aca="1" ref="R16" ca="1">_xlfn.PERCENTRANK.EXC(_xlfn._xlws.FILTER(P$4:P$16, ISNUMBER(P$4:P$16)),P16)*100</f>
        <v>42.8</v>
      </c>
      <c r="S16">
        <f ca="1">Q16*Assumption!$E$27 + R16*Assumption!$F$27</f>
        <v>47.120000000000005</v>
      </c>
      <c r="T16" cm="1">
        <f t="array" aca="1" ref="T16" ca="1">_xlfn.PERCENTRANK.EXC(_xlfn._xlws.FILTER(S$4:S$16, ISNUMBER(S$4:S$16)),S16)*100</f>
        <v>50</v>
      </c>
    </row>
    <row r="18" spans="8:13" x14ac:dyDescent="0.35">
      <c r="K18" t="str" cm="1">
        <f t="array" aca="1" ref="K18" ca="1">_xll.FDSRC("-","DUMMY","ECON_DATE("&amp;$L$1&amp;",,, 'MM/YYYY')")</f>
        <v>02/2024</v>
      </c>
      <c r="L18" t="str" cm="1">
        <f t="array" aca="1" ref="L18" ca="1">_xll.FDSRC("-","DUMMY","ECON_DATE("&amp;$L$2&amp;",,, 'MM/YYYY')")</f>
        <v>11/2023</v>
      </c>
      <c r="M18" t="s">
        <v>773</v>
      </c>
    </row>
    <row r="19" spans="8:13" x14ac:dyDescent="0.35">
      <c r="H19" s="111" t="s">
        <v>759</v>
      </c>
      <c r="I19" s="111" t="s">
        <v>760</v>
      </c>
      <c r="J19" cm="1">
        <f t="array" ref="J19">_xll.FDSRC("-","DUMMY","ECON_EXPR_DATA('FDS_ECON["&amp;H19&amp;"]',,,M)")</f>
        <v>49.253857000000004</v>
      </c>
      <c r="K19" cm="1">
        <f t="array" aca="1" ref="K19" ca="1">_xll.FDSRC("-","DUMMY","ECON_EXPR_DATA('FDS_ECON["&amp;H19&amp;"]',"&amp;$K$18&amp;",,Q)")</f>
        <v>47.378044000000003</v>
      </c>
      <c r="L19" cm="1">
        <f t="array" aca="1" ref="L19" ca="1">_xll.FDSRC("-","DUMMY","ECON_EXPR_DATA('FDS_ECON["&amp;H19&amp;"]',"&amp;$L$18&amp;",,Q)")</f>
        <v>47.086407000000001</v>
      </c>
      <c r="M19">
        <f ca="1">K19-L19</f>
        <v>0.29163700000000148</v>
      </c>
    </row>
    <row r="20" spans="8:13" x14ac:dyDescent="0.35">
      <c r="H20" s="111" t="s">
        <v>761</v>
      </c>
      <c r="I20" s="111" t="s">
        <v>762</v>
      </c>
      <c r="J20" cm="1">
        <f t="array" ref="J20">_xll.FDSRC("-","DUMMY","ECON_EXPR_DATA('FDS_ECON["&amp;H20&amp;"]',,,M)")</f>
        <v>51.447499999999998</v>
      </c>
      <c r="K20" cm="1">
        <f t="array" aca="1" ref="K20" ca="1">_xll.FDSRC("-","DUMMY","ECON_EXPR_DATA('FDS_ECON["&amp;H20&amp;"]',"&amp;$K$18&amp;",,Q)")</f>
        <v>50.640650000000001</v>
      </c>
      <c r="L20" cm="1">
        <f t="array" aca="1" ref="L20" ca="1">_xll.FDSRC("-","DUMMY","ECON_EXPR_DATA('FDS_ECON["&amp;H20&amp;"]',"&amp;$L$18&amp;",,Q)")</f>
        <v>50.814143999999999</v>
      </c>
      <c r="M20">
        <f ca="1">K20-L20</f>
        <v>-0.17349399999999804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17"/>
  <sheetViews>
    <sheetView workbookViewId="0">
      <selection activeCell="F21" sqref="F21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740</v>
      </c>
      <c r="B1" t="s">
        <v>519</v>
      </c>
      <c r="C1" t="s">
        <v>820</v>
      </c>
      <c r="D1" t="s">
        <v>846</v>
      </c>
      <c r="E1" t="s">
        <v>561</v>
      </c>
      <c r="F1" t="s">
        <v>847</v>
      </c>
      <c r="G1" t="s">
        <v>848</v>
      </c>
    </row>
    <row r="2" spans="1:7" x14ac:dyDescent="0.35">
      <c r="A2" t="s">
        <v>198</v>
      </c>
      <c r="B2" t="s">
        <v>446</v>
      </c>
      <c r="C2" t="s">
        <v>431</v>
      </c>
      <c r="D2" s="143" cm="1">
        <f t="array" ref="D2">_xll.FDS(C2,"FREF_MARKET_VALUE_COMPANY(0,,,USD,,0,,""LEGACY"")")</f>
        <v>87.944999999999993</v>
      </c>
      <c r="E2" t="s">
        <v>674</v>
      </c>
      <c r="F2" t="str">
        <f t="shared" ref="F2:F14" si="0">_xlfn.CONCAT("FC0000",RIGHT(A2,2))</f>
        <v>FC0000NZ</v>
      </c>
      <c r="G2" s="142" cm="1">
        <f t="array" ref="G2">_xll.FDSZ(F2,"FMA_MCAP(0,,,USD,""PORTAGG"")")</f>
        <v>91464.14</v>
      </c>
    </row>
    <row r="3" spans="1:7" x14ac:dyDescent="0.35">
      <c r="A3" t="s">
        <v>174</v>
      </c>
      <c r="B3" t="s">
        <v>45</v>
      </c>
      <c r="C3" t="s">
        <v>44</v>
      </c>
      <c r="D3" s="143" cm="1">
        <f t="array" ref="D3">_xll.FDS(C3,"FREF_MARKET_VALUE_COMPANY(0,,,USD,,0,,""LEGACY"")")</f>
        <v>1894.992</v>
      </c>
      <c r="E3" t="s">
        <v>576</v>
      </c>
      <c r="F3" t="str">
        <f t="shared" si="0"/>
        <v>FC0000AU</v>
      </c>
      <c r="G3" s="142" cm="1">
        <f t="array" ref="G3">_xll.FDSZ(F3,"FMA_MCAP(0,,,USD,""PORTAGG"")")</f>
        <v>1677679.8</v>
      </c>
    </row>
    <row r="4" spans="1:7" x14ac:dyDescent="0.35">
      <c r="A4" t="s">
        <v>157</v>
      </c>
      <c r="B4" t="s">
        <v>50</v>
      </c>
      <c r="C4" t="s">
        <v>49</v>
      </c>
      <c r="D4" s="143" cm="1">
        <f t="array" ref="D4">_xll.FDS(C4,"FREF_MARKET_VALUE_COMPANY(0,,,USD,,0,,""LEGACY"")")</f>
        <v>2838.26</v>
      </c>
      <c r="E4" t="s">
        <v>598</v>
      </c>
      <c r="F4" t="str">
        <f t="shared" si="0"/>
        <v>FC0000CA</v>
      </c>
      <c r="G4" s="142" cm="1">
        <f t="array" ref="G4">_xll.FDSZ(F4,"FMA_MCAP(0,,,USD,""PORTAGG"")")</f>
        <v>2733940</v>
      </c>
    </row>
    <row r="5" spans="1:7" s="1" customFormat="1" x14ac:dyDescent="0.35">
      <c r="A5" s="145" t="s">
        <v>555</v>
      </c>
      <c r="B5" s="145" t="s">
        <v>39</v>
      </c>
      <c r="C5" s="145" t="s">
        <v>11</v>
      </c>
      <c r="D5" s="143" cm="1">
        <f t="array" ref="D5">_xll.FDS(C5,"FREF_MARKET_VALUE_COMPANY(0,,,USD,,0,,""LEGACY"")")</f>
        <v>1014.444</v>
      </c>
      <c r="E5" s="145" t="s">
        <v>625</v>
      </c>
      <c r="F5" s="145" t="str">
        <f t="shared" si="0"/>
        <v>FC0000DE</v>
      </c>
      <c r="G5" s="146" cm="1">
        <f t="array" ref="G5">_xll.FDSZ(F5,"FMA_MCAP(0,,,USD,""PORTAGG"")")</f>
        <v>2304464.5</v>
      </c>
    </row>
    <row r="6" spans="1:7" x14ac:dyDescent="0.35">
      <c r="A6" t="s">
        <v>164</v>
      </c>
      <c r="B6" t="s">
        <v>47</v>
      </c>
      <c r="C6" t="s">
        <v>46</v>
      </c>
      <c r="D6" s="143" cm="1">
        <f t="array" ref="D6">_xll.FDS(C6,"FREF_MARKET_VALUE_COMPANY(0,,,USD,,0,,""LEGACY"")")</f>
        <v>17217.651000000002</v>
      </c>
      <c r="E6" t="s">
        <v>643</v>
      </c>
      <c r="F6" t="str">
        <f t="shared" si="0"/>
        <v>FC0000JP</v>
      </c>
      <c r="G6" s="142" cm="1">
        <f t="array" ref="G6">_xll.FDSZ(F6,"FMA_MCAP(0,,,USD,""PORTAGG"")")</f>
        <v>6825096.5</v>
      </c>
    </row>
    <row r="7" spans="1:7" x14ac:dyDescent="0.35">
      <c r="A7" t="s">
        <v>276</v>
      </c>
      <c r="B7" t="s">
        <v>43</v>
      </c>
      <c r="C7" t="s">
        <v>42</v>
      </c>
      <c r="D7" s="143" cm="1">
        <f t="array" ref="D7">_xll.FDS(C7,"FREF_MARKET_VALUE_COMPANY(0,,,USD,,0,,""LEGACY"")")</f>
        <v>1117.895</v>
      </c>
      <c r="E7" t="s">
        <v>706</v>
      </c>
      <c r="F7" t="str">
        <f t="shared" si="0"/>
        <v>FC0000CH</v>
      </c>
      <c r="G7" s="142" cm="1">
        <f t="array" ref="G7">_xll.FDSZ(F7,"FMA_MCAP(0,,,USD,""PORTAGG"")")</f>
        <v>2131958</v>
      </c>
    </row>
    <row r="8" spans="1:7" x14ac:dyDescent="0.35">
      <c r="A8" t="s">
        <v>167</v>
      </c>
      <c r="B8" t="s">
        <v>447</v>
      </c>
      <c r="C8" t="s">
        <v>48</v>
      </c>
      <c r="D8" s="143" cm="1">
        <f t="array" ref="D8">_xll.FDS(C8,"FREF_MARKET_VALUE_COMPANY(0,,,USD,,0,,""LEGACY"")")</f>
        <v>2571.4920000000002</v>
      </c>
      <c r="E8" t="s">
        <v>719</v>
      </c>
      <c r="F8" t="str">
        <f t="shared" si="0"/>
        <v>FC0000GB</v>
      </c>
      <c r="G8" s="142" cm="1">
        <f t="array" ref="G8">_xll.FDSZ(F8,"FMA_MCAP(0,,,USD,""PORTAGG"")")</f>
        <v>3126257.5</v>
      </c>
    </row>
    <row r="9" spans="1:7" x14ac:dyDescent="0.35">
      <c r="A9" t="s">
        <v>170</v>
      </c>
      <c r="B9" t="s">
        <v>448</v>
      </c>
      <c r="C9" t="s">
        <v>51</v>
      </c>
      <c r="D9" s="143" cm="1">
        <f t="array" ref="D9">_xll.FDS(C9,"FREF_MARKET_VALUE_COMPANY(0,,,USD,,0,,""LEGACY"")")</f>
        <v>258849.8285</v>
      </c>
      <c r="E9" t="s">
        <v>720</v>
      </c>
      <c r="F9" t="str">
        <f t="shared" si="0"/>
        <v>FC0000US</v>
      </c>
      <c r="G9" s="142" cm="1">
        <f t="array" ref="G9">_xll.FDSZ(F9,"FMA_MCAP(0,,,USD,""PORTAGG"")")</f>
        <v>54772308</v>
      </c>
    </row>
    <row r="10" spans="1:7" x14ac:dyDescent="0.35">
      <c r="A10" t="s">
        <v>170</v>
      </c>
      <c r="B10" t="s">
        <v>1</v>
      </c>
      <c r="C10" t="s">
        <v>1</v>
      </c>
      <c r="D10" s="143" cm="1">
        <f t="array" ref="D10">_xll.FDS(C10,"FREF_MARKET_VALUE_COMPANY(0,,,USD,,0,,""LEGACY"")")</f>
        <v>535271.76262000005</v>
      </c>
      <c r="E10" t="s">
        <v>720</v>
      </c>
      <c r="F10" t="str">
        <f t="shared" si="0"/>
        <v>FC0000US</v>
      </c>
      <c r="G10" s="142" cm="1">
        <f t="array" ref="G10">_xll.FDSZ(F10,"FMA_MCAP(0,,,USD,""PORTAGG"")")</f>
        <v>54772308</v>
      </c>
    </row>
    <row r="11" spans="1:7" x14ac:dyDescent="0.35">
      <c r="A11" t="s">
        <v>869</v>
      </c>
      <c r="B11" t="s">
        <v>874</v>
      </c>
      <c r="C11" t="s">
        <v>865</v>
      </c>
      <c r="D11" s="143" cm="1">
        <f t="array" ref="D11">_xll.FDS(C11,"FREF_MARKET_VALUE_COMPANY(0,,,USD,,0,,""LEGACY"")")</f>
        <v>678.30399999999997</v>
      </c>
      <c r="E11" t="s">
        <v>621</v>
      </c>
      <c r="F11" t="str">
        <f t="shared" si="0"/>
        <v>FC0000FR</v>
      </c>
      <c r="G11" s="142" cm="1">
        <f t="array" ref="G11">_xll.FDSZ(F11,"FMA_MCAP(0,,,USD,""PORTAGG"")")</f>
        <v>3446994</v>
      </c>
    </row>
    <row r="12" spans="1:7" x14ac:dyDescent="0.35">
      <c r="A12" t="s">
        <v>870</v>
      </c>
      <c r="B12" t="s">
        <v>872</v>
      </c>
      <c r="C12" t="s">
        <v>867</v>
      </c>
      <c r="D12" s="143" cm="1">
        <f t="array" ref="D12">_xll.FDS(C12,"FREF_MARKET_VALUE_COMPANY(0,,,USD,,0,,""LEGACY"")")</f>
        <v>231.94499999999999</v>
      </c>
      <c r="E12" t="s">
        <v>673</v>
      </c>
      <c r="F12" t="str">
        <f t="shared" si="0"/>
        <v>FC0000NL</v>
      </c>
      <c r="G12" s="142" cm="1">
        <f t="array" ref="G12">_xll.FDSZ(F12,"FMA_MCAP(0,,,USD,""PORTAGG"")")</f>
        <v>1144022</v>
      </c>
    </row>
    <row r="13" spans="1:7" x14ac:dyDescent="0.35">
      <c r="A13" t="s">
        <v>273</v>
      </c>
      <c r="B13" t="s">
        <v>873</v>
      </c>
      <c r="C13" t="s">
        <v>864</v>
      </c>
      <c r="D13" s="143" cm="1">
        <f t="array" ref="D13">_xll.FDS(C13,"FREF_MARKET_VALUE_COMPANY(0,,,USD,,0,,""LEGACY"")")</f>
        <v>261.88499999999999</v>
      </c>
      <c r="E13" t="s">
        <v>705</v>
      </c>
      <c r="F13" t="str">
        <f t="shared" si="0"/>
        <v>FC0000SE</v>
      </c>
      <c r="G13" s="142" cm="1">
        <f t="array" ref="G13">_xll.FDSZ(F13,"FMA_MCAP(0,,,USD,""PORTAGG"")")</f>
        <v>1066487.5</v>
      </c>
    </row>
    <row r="14" spans="1:7" x14ac:dyDescent="0.35">
      <c r="A14" t="s">
        <v>868</v>
      </c>
      <c r="B14" t="s">
        <v>871</v>
      </c>
      <c r="C14" t="s">
        <v>866</v>
      </c>
      <c r="D14" s="143" cm="1">
        <f t="array" ref="D14">_xll.FDS(C14,"FREF_MARKET_VALUE_COMPANY(0,,,USD,,0,,""LEGACY"")")</f>
        <v>424.34775000000002</v>
      </c>
      <c r="E14" t="s">
        <v>641</v>
      </c>
      <c r="F14" t="str">
        <f t="shared" si="0"/>
        <v>FC0000IT</v>
      </c>
      <c r="G14" s="142" cm="1">
        <f t="array" ref="G14">_xll.FDSZ(F14,"FMA_MCAP(0,,,USD,""PORTAGG"")")</f>
        <v>892619.75</v>
      </c>
    </row>
    <row r="15" spans="1:7" x14ac:dyDescent="0.35">
      <c r="D15" s="143"/>
      <c r="G15" s="142"/>
    </row>
    <row r="17" spans="1:7" x14ac:dyDescent="0.35">
      <c r="A17" s="46" t="s">
        <v>366</v>
      </c>
      <c r="B17" s="46" t="str" cm="1">
        <f t="array" ref="B17">_xll.FDS(C17,"FG_COMPANY_NAME")</f>
        <v>Nasdaq South Africa</v>
      </c>
      <c r="C17" s="46" t="s">
        <v>852</v>
      </c>
      <c r="D17" s="149" cm="1">
        <f t="array" ref="D17">_xll.FDSZ(C17,"FMA_MCAP(0,,,USD,""PORTAGG"")")</f>
        <v>0</v>
      </c>
      <c r="E17" s="46" t="str" cm="1">
        <f t="array" ref="E17">_xll.FDS(A17,"FG_COMPANY_NAME")</f>
        <v>South Africa</v>
      </c>
      <c r="F17" s="46" t="str">
        <f>_xlfn.CONCAT("FC0000",RIGHT(A17,2))</f>
        <v>FC0000ZA</v>
      </c>
      <c r="G17" s="149" cm="1">
        <f t="array" ref="G17">_xll.FDS(F17,"FG_MCAP_IDX(0,,,USD)")</f>
        <v>290666.13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1104451"><![CDATA[{"FC0000ZA^FG_MCAP_IDX(0,,,USD)":290666.13,"EWI^FREF_MARKET_VALUE_COMPANY(0,,,USD,,0,,\"LEGACY\")":424.34775,"FC0000IT^FMA_MCAP(0,,,USD,\"PORTAGG\")":892619.75,"EWD^FREF_MARKET_VALUE_COMPANY(0,,,USD,,0,,\"LEGACY\")":261.885,"FC0000SE^FMA_MCAP(0,,,USD,\"PORTAGG\")":1066487.5,"EWN^FREF_MARKET_VALUE_COMPANY(0,,,USD,,0,,\"LEGACY\")":231.945,"EWL^FREF_MARKET_VALUE_COMPANY(0,,,USD,,0,,\"LEGACY\")":1117.895,"FC0000NL^FMA_MCAP(0,,,USD,\"PORTAGG\")":1144022.0,"EWQ^FREF_MARKET_VALUE_COMPANY(0,,,USD,,0,,\"LEGACY\")":678.304,"FC0000FR^FMA_MCAP(0,,,USD,\"PORTAGG\")":3446994.0,"SPY^FREF_MARKET_VALUE_COMPANY(0,,,USD,,0,,\"LEGACY\")":535271.76262,"FC0000US^FMA_MCAP(0,,,USD,\"PORTAGG\")":54772308.0,"QQQ^FREF_MARKET_VALUE_COMPANY(0,,,USD,,0,,\"LEGACY\")":258849.8285,"FC0000CH^FMA_MCAP(0,,,USD,\"PORTAGG\")":2131958.0,"EWJ^FREF_MARKET_VALUE_COMPANY(0,,,USD,,0,,\"LEGACY\")":17217.651,"FC0000JP^FMA_MCAP(0,,,USD,\"PORTAGG\")":6825096.5,"EWG^FREF_MARKET_VALUE_COMPANY(0,,,USD,,0,,\"LEGACY\")":1014.444,"FC0000DE^FMA_MCAP(0,,,USD,\"PORTAGG\")":2304464.5,"EWC^FREF_MARKET_VALUE_COMPANY(0,,,USD,,0,,\"LEGACY\")":2838.26,"FC0000CA^FMA_MCAP(0,,,USD,\"PORTAGG\")":2733940.0,"EWA^FREF_MARKET_VALUE_COMPANY(0,,,USD,,0,,\"LEGACY\")":1894.992,"FC0000AU^FMA_MCAP(0,,,USD,\"PORTAGG\")":1677679.8,"ENZL^FREF_MARKET_VALUE_COMPANY(0,,,USD,,0,,\"LEGACY\")":87.945,"FC0000NZ^FMA_MCAP(0,,,USD,\"PORTAGG\")":91464.14,"NQG00809^FG_COMPANY_NAME":"Nasdaq South Africa","CC_ZA^FG_COMPANY_NAME":"South Africa","NQG00809^FMA_MCAP(0,,,USD,\"PORTAGG\")":null,"EWU^FREF_MARKET_VALUE_COMPANY(0,,,USD,,0,,\"LEGACY\")":2571.492,"FC0000GB^FMA_MCAP(0,,,USD,\"PORTAGG\")":3126257.5,"DUMMY^ECON_EXPR_DATA('FDS_ECON[]',,,M)":null,"DUMMY^ECON_EXPR_DATA('FDS_ECON[NTCPMIMFGMESA@US]',,,M)":52.19507,"DUMMY^ECON_EXPR_DATA('FDS_ECON[NTCPMIMFGSA@JP]',,,M)":47.18277,"DUMMY^ECON_EXPR_DATA('FDS_ECON[NTCPMIMFGSA@IT]',,,M)":48.697094,"DUMMY^ECON_EXPR_DATA('FDS_ECON[NTCPMIMFGSA@DE]',,,M)":42.52625,"DUMMY^ECON_EXPR_DATA('FDS_ECON[NTCPMIMFGSA@CH]',,,M)":43.954456,"DUMMY^ECON_EXPR_DATA('FDS_ECON[NTCPMIMFGSA@NZ]',,,M)":49.27094,"DUMMY^ECON_EXPR_DATA('FDS_ECON[NTCPMIMFGSA@NL]',,,M)":49.33351,"DUMMY^ECON_EXPR_DATA('FDS_ECON[NTCPMIMFGSA@FR]',,,M)":47.113422,"DUMMY^ECON_EXPR_DATA('FDS_ECON[NTCPMIMFGSA@CA]',,,M)":49.74032,"DUMMY^ECON_EXPR_DATA('FDS_ECON[NTCPMIMFGSA@AU]',,,M)":47.823067,"DUMMY^ECON_EXPR_DATA('FDS_ECON[NTCPMIMFGSA@GB]',,,M)":47.508816,"CAGDPY@FR^EE_ACTUAL_ANNUAL(MED,+1)":-1.15,"CAGDPY@AU^EE_ACTUAL_ANNUAL(MED,+1)":0.5,"USDITL^FG_PRICE_CHANGE(0,-3AM)":1.1877298,"USDANG^FG_PRICE_CHANGE(0,-3AM)":0.0,"USDUSD^FG_PRICE_CHANGE(0,-3AM)":0.0,"USDGBP^FG_PRICE_CHANGE(0,-3AM)":-0.10262728,"USDJPY^FG_PRICE_CHANGE(0,-3AM)":6.618607,"USDCAD^FG_PRICE_CHANGE(0,-3AM)":1.7130613,"USDNZD^FG_PRICE_CHANGE(0,-3AM)":3.928864,"EWA^FMA_EPS(NTMA,-20AY,0,CY,,\"PORTAGG\",\"MEANR\")":[1.18421421757289,1.35622936034371,1.68223219538503,2.01218211762237,1.47822239950882,1.49861477471222,2.04832230944667,2.08841813329258,1.8915836506348,1.71909344341549,1.51920222936301,1.20321447580294,1.28201594869045,1.44580701527009,1.37894957605166,1.3179970851092,1.26256164176903,1.41909398824033,1.56850336770513,1.47892717787447],"ENZL^JULIAN(P_PRICE_RETURNS_PR('52W',2,-10AY,0,AM).DATES)":[41719,41750,41780,41810,41841,41872,41901,41933,41964,41992,42025,42055,42083,42115,42145,42174,42206,42237,42268,42298,42328,42359,42390,42419,42450,42481,42510,42542,42572,42601,42634,42664,42695,42725,42755,42787,42815,42846,42874,42907,42937,42968,42999,43028,43060,43090,43119,43152,43180,43210,43241,43272,43301,43333,43364,43392,43425,43455,43483,43517,43545,43573,43606,43637,43665,43698,43728,43759,43790,43819,43851,43882,43910,43942,43972,44001,44033,44064,44095,44125,44155,44186,44217,44246,44274,44307,44337,44368,44398,44428,44460,44490,44519,44551,44582,44610,44641,44672,44701,44733,44763,44792,44825,44855,44886,44916,44946,44978,45006,45037,45065,45098,45128,45159,45190,45219,45251,45281,45310,45343,45372],"EWD^FMA_DIV_YLD(NTMA,-10AY,0,AM,\"PORTAGG\",\"MEANR\")":[4.03895018917224,4.11067493604394,4.04681544094392,4.12561640026357,4.20448074025725,4.21536874737777,4.13296030501115,4.41940443793696,4.10698091641928,4.1271971590944,4.0118574059923,3.64212667931462,3.57646620920988,3.6216267529843,3.79289490145474,4.02157266098301,3.87706796077296,4.30288861454703,4.42648626895664,4.36650266715028,4.14049212256735,4.39910514974692,4.75170139397666,4.42216187987735,4.35873319072017,4.21543164161834,4.45066247677464,4.45499602379656,4.32307478243613,4.28488263342802,4.23105224792203,4.04733041716732,4.03778999055434,3.88631982087701,3.85300595209781,3.59704792859515,3.67061941089791,3.66934319959309,3.3990980841924,3.51846371020346,3.66471922284054,3.81227098455724,3.6678215806102,3.52428679217086,3.59860122663137,3.68102998472304,3.64284631308151,3.8508260324411,3.99230279466308,4.00333951726754,3.93780500777533,4.16096767778341,4.15042987309791,4.06065768219955,4.03304405264279,4.35365325564515,4.56051410849199,4.76207528826481,4.37893456688104,4.15771922163262,4.08362156275325,3.96434697251158,4.20247668432257,4.12410119913455,4.02490162872686,4.25244598308504,3.87266759039419,3.77855746291497,3.72445672118462,3.55710680387255,3.49796597110734,3.41272438968347,4.69871731480975,3.54293770520755,3.30936456399157,3.03002322714436,2.93561145489401,3.02634501160321,3.07857520144629,3.08319927530828,3.00524018269873,3.15200568643428,2.98167721227374,2.95367340411606,2.79209168918268,2.74844465378018,2.84990963271531,2.69085233410121,2.72306366705061,2.75858777949015,2.86376153946138,3.00463405494252,2.9364174351677,2.95634026951203,2.83776871841927,3.06800296860699,3.02721221007839,3.10640728003168,3.44084411579844,3.58384277028395,3.57150831438991,3.50705320671866,3.82883227335905,3.86803880323673,3.63604525501011,3.71440016624399,3.51550802421612,3.55978582095058,3.71864197485579,3.6464224395508,3.67839471710078,3.77975496736253,3.81370400578835,4.02976115448192,3.98116981522055,3.9626534944249,3.69184557289651,2.94808411755525,3.08931631462257,3.34583415041722,3.21991021852319],"EWQ^FMA_PE(NTMA,-10AY,0,AM,\"PORTAGG\",\"MEANR\")":[13.6401377819133,13.8602080003916,14.0693230257037,14.290250275768,13.5208791820795,13.4343350292593,13.7865235770641,12.6982599924719,13.6123740708953,13.6559339151833,14.7914253307442,16.0494245144803,16.7303242076645,16.8171292430136,16.5964837943275,15.4038279099465,16.0314507803135,14.3249231520638,14.2510137445853,14.5802184577632,15.2761696805265,14.3353594339771,13.4960212533908,13.8138795838406,14.4707541096506,14.9421266307688,14.2041785901635,13.996200621996,14.0004127629197,13.8788919741811,13.7730295978273,14.0374820914391,13.7707879852306,14.5001694001512,14.48767477885,14.2891179888837,14.5624574751805,14.6306345947838,15.2365644457238,14.9856866986947,14.6650664360809,14.4276676716521,14.9559036611703,15.1618918107644,14.9228976039987,14.9915115079551,15.3002442314099,14.6445061082916,14.3868487860929,14.6843161603252,14.9694067882064,14.0187582387878,14.0413616127931,13.8069860019309,13.9100023952768,12.77542185793,12.4506939424065,11.8034389106372,12.5377028865311,13.3087995400118,13.7359217170143,14.1174344043869,13.6051455192446,13.8736101744115,14.0076630496496,13.7172393462494,14.2597603300087,14.2578593353811,14.7070831876899,14.9647250298945,15.0577096917176,15.1653896301816,10.9569264585363,14.9856958741954,16.5118704375903,18.8911848801879,19.9121140428504,19.2858517990076,18.0727221231429,17.8546368966472,19.1074525426543,17.7489524709663,17.9921083784036,18.0276154418043,18.23921976931,18.0543783620648,17.7178376513699,17.8282858512272,16.8208811006403,16.1990348598876,15.8850611153455,15.5654178167045,15.9378425770741,15.4356059183846,15.3297152976266,14.5086923022308,13.6679340154892,13.4116578859128,12.0158623659605,11.3365193003593,11.5357869953098,11.6772974209192,10.7378094867274,10.7631364751874,11.8762144926154,11.9822970846351,12.9909004580945,13.3312184788836,12.9438672774806,13.8221201314247,13.4845909072721,13.1077498639611,13.3737305490905,12.7627452281496,12.6918631408016,11.9131500183983,12.8112571132362,13.4553684766042,13.1966633773049,14.075790156752,14.6152923130056],"QQQ^FMA_PE(LTMA,-10AY,0,AM,\"PORTAGG\",\"MEANR\")":[19.1480004617205,18.8966330259002,18.76144482625,18.9413246351585,19.1857610364628,19.3598580633188,19.5014517471446,18.9615111055313,20.1544623531315,20.3206258931439,19.7302263990001,20.7528251697717,20.6658229139575,20.465437213563,20.359877391911,20.1702177267211,20.5252710355032,19.2889004349243,19.5072585171072,19.6312831763279,20.4794948528959,19.955779616762,18.2437678426699,18.2367579054922,18.3294016110838,18.4688854150404,18.352794107619,18.5730983584548,19.1560628476632,19.5669384085546,19.8552998485782,19.9389042555318,20.0411313748178,20.6139526114399,20.9989556418916,21.8515653298677,21.6261635689662,21.5929763080648,21.7648772987585,21.9173807717191,22.2415341053391,21.8171590093659,22.2035368010018,22.6887261572578,23.2080803873955,23.7726570354223,24.9881788870298,23.8668852457621,23.9241064468553,23.4575497645617,23.1912771017958,23.3135172655156,23.2616145065175,23.0253892244022,23.0710697448946,21.9275579672216,19.8820423040838,18.0747651525871,20.0599763864504,20.6702634701107,21.1084231008977,21.3003007033449,21.1635602590183,21.6204382751772,21.8978347192843,21.882632248967,22.1857867560035,22.6282323203046,23.7262213733545,25.1219042528671,26.5532388217048,26.6641109680966,22.9689709302158,24.2817317251548,26.1114828449592,27.4748981412859,29.1895263619458,30.1212571374677,29.7499762100442,31.8235750198168,32.0086816931466,34.4285150062032,36.2287939759672,34.8594534110671,32.6088201863675,32.8135107090644,31.4472431317674,31.5741501347519,31.9741778587494,31.1675872547638,30.8027091878473,31.1287997390687,32.4661717263775,31.3362604180178,28.0156537032072,26.3630434404004,26.6676907263491,26.2030669003587,24.9005841354115,24.2037066238133,25.0396282510089,26.0366697807062,23.7050766770198,23.0295275452263,23.3756847468203,23.4078721321051,24.0827495510306,25.0897437681229,25.4524713759294,25.644978764985,26.0899494341424,26.895562944241,27.7514160640425,26.2481422788296,25.8917979221161,25.7864625580251,27.6739601565551,28.9876419007017,29.8138622575296,29.5268056373639,30.1702079875871],"DDR3512M-FDS^FG_PRICE(0)":0.9630008,"PASP-FDS^FG_PRICE(0)":1050.0,"PLATI-FDS^FG_PRICE(0)":925.0,"W-FDS^FG_PRICE(0)":5.4675,"COPP-FDS^FG_PRICE(0)":4.0465,"FC0000US^FG_PRICE(0)":394.45752,"FC0000GR^FG_PRICE(0)":9.71851,"EWI^FG_PRICE(0)":37.47,"SPY^FG_PRICE(0)":522.2,"EWJ^FG_PRICE(0)":71.83,"ENZL^FG_PRICE(0)":45.1,"EWA^FG_COMPANY_NAME":"iShares MSCI Australia ETF","FXI^P_PRICE(0)/P_PRICE_LOW_PR(0,,,USD,,,\"PRICE\",\"INTRA\",\"52W\")-1":0.15148604,"DUMMY^ECON_EXPR_DATA('FDS_ECON[NTCPMIMFGSA@EME]',,,M)":51.4475,"EWD^FMA_ROE(NTMA,-20AY,NOW,FY,\"PORTAGG\",\"MEANR\")":[16.2261090864793,17.2247287220762,18.2100106841597,18.8871757625538,13.942889841066,10.3461745032911,15.8182159921786,15.7255547384444,14.800794930169,14.1943515647563,13.790896513923,13.0367586478869,12.3225531542011,13.8549633296522,13.3193557094803,13.4117968278463,11.9070326859664,15.3602779404436,14.6912945348088,15.3680506035552],"^FG_YIELD(-10AY,0,Y,,\"YTM\")":[null,null,null,null,null,null,null,null,null,null],"TRYCA10Y-FDS^FG_YIELD(-10AY,0,Y,,\"YTM\")":[1.79,1.39,1.72,2.04,1.96,1.7,0.67,1.42,3.3,3.0987],"TRYDE10Y-FDS^FG_YIELD(-10AY,0,Y,,\"YTM\")":[0.5475,0.636,0.22,0.47,0.239,-0.189,-0.575,-0.181,2.534,2.004],"ENZL^FMA_EPS(NTMA,-20AY,0,CY,,\"PORTAGG\",\"MEANR\")":[null,null,null,null,null,null,2.40890596176463,2.24117429803946,2.40285148565594,2.31210808961864,2.19492193820354,2.04943671601749,2.14962845087329,2.26706810161072,2.29721148308571,2.24732564412744,1.98522618259249,1.82093688879477,2.11037846476333,2.11106621771878],"EWI^FG_TOTAL_RETURNC(-10AY,0,AM)":[1.8685937,5.739653,-5.540019,6.812811,-7.147747,-4.482132,1.0145783,-8.788454,1.789403,-5.5686655,-0.43258667,8.978998,-1.461798,0.5394459,6.7739844,-2.5753736,1.827395,-5.7989717,-0.20519495,3.289926,-6.7020535,-1.5526354,-12.173915,-7.9207897,12.186384,0.079870224,-5.506778,1.3513446,-6.0644207,0.912416,-0.090420246,1.4479637,-5.932206,14.656628,3.046751,-3.8882196,6.3211083,-0.9908855,14.171338,-1.3573408,5.3203106,3.1615138,4.69687,-2.1317244,-0.58517456,0.7818818,9.951067,-5.0741854,1.3754368,4.810369,-6.0017705,-7.461953,1.7385244,-5.399865,5.0216794,-12.246299,-2.704823,-2.6802301,8.301889,2.5938869,6.6037774,0.38938522,-4.1255293,5.116415,-0.03620386,-4.8533144,5.2150726,3.292334,2.3817897,2.4531603,-0.80699325,0.7457614,-37.58412,6.6307306,4.5500517,16.730833,9.292591,-1.8766761,-4.410619,0.5716562,14.088511,3.5170317,3.2235742,1.6453981,3.40271,2.0127773,3.7582278,0.6693244,-3.9453745,3.3491254,-3.0265987,5.0441384,-1.2304902,-1.2572944,1.1548042,-0.8639276,-10.831004,0.8376956,-4.6036663,-7.4394464,-6.424242,4.79275,-5.4800153,0.34873486,16.941786,2.0692825,9.087551,2.2350192,-1.9542873,7.060814,-1.4515638,2.6833653,5.303514,-4.702669,-0.6685734,-5.16026,9.733021,5.1286936,-0.6822884,4.868579,6.721735],"EWN^FMA_DIV_YLD(NTMA,-10AY,0,AM,\"PORTAGG\",\"MEANR\")":[2.77188004052036,2.8013134470639,2.82673248316208,2.79611048185019,2.91745834273457,3.01046558305969,2.97198489790297,3.22105362827655,3.05939955908107,3.10730093578022,2.98130463937812,2.79271494943916,2.61932106643917,2.63614729510457,2.76708805192023,2.94354293413669,2.83387151850262,3.42600704101446,3.47337303458928,3.37680628187334,3.14828177718017,3.37420595391961,3.3797821788287,3.4852841056704,3.2797914404654,3.2536909058288,3.37796560871084,3.26159499682047,3.20591773244892,3.17336157774064,3.17937370751237,3.09048665623354,3.13854121088809,2.96811326399555,2.95119201261152,2.84952565190358,2.7757860397457,2.77553333889155,2.74064834245585,2.73531306982109,2.76895855549758,2.82632942381347,2.82764874177609,2.76963449167653,2.80853123051115,2.82790612115412,2.75499592877274,2.92775750328158,2.93354088921087,2.9500123052093,2.85906814562111,2.90845097361303,2.87631897461256,2.91848534445553,2.98420730710646,3.1705795548324,3.2516401615476,3.50698316385185,3.32413661648342,3.13248027628968,3.04458920894128,2.95777907764433,3.06464242648327,3.02670732210742,2.94761677321525,2.99054253666786,2.74226337527127,2.73456292340494,2.68122318349162,2.57856768086489,2.5879044957021,2.51684986679227,3.60898001191992,2.90338722530588,2.55002261883148,2.36165148480603,2.27886270960732,2.34839326647271,2.3963888353205,2.30443188516052,2.17249616090619,2.06933450861175,1.92523271184957,1.89834575331505,2.0057053557453,1.93608176072849,1.99333410391254,2.0079465923679,2.01720393340433,1.87074302948739,1.87460262661843,1.91448578389384,1.85021602486634,1.99023008488166,2.13331775078227,2.25422524696023,2.25660504458303,2.28239167005702,2.59006766313932,3.48769603051129,3.13826545460852,3.09580244368586,3.75400424388815,3.01010466491238,2.69551435168961,2.7210796454797,2.58664663596462,2.60061983897319,2.71895530213715,2.66049267631101,2.6554037056562,2.7171840821898,2.69725690446727,2.89833464370431,3.02580953213497,3.14844635567651,2.82928339566768,2.66749277969236,2.74594204577588,2.51645759875411,2.58993033554319],"SPY^FMA_PE(NTMA,-10AY,0,AM,\"PORTAGG\",\"MEANR\")":[15.0243756402002,15.0261040737205,14.9490490458548,15.4028120018778,15.3071085700014,15.3078564750066,15.3396976600733,14.8827328304633,15.8157826492897,16.0866586669478,16.1369415551458,16.9576298928243,16.8757370675569,16.7221631938445,16.7701469437503,16.4924315551726,16.5363374665003,15.3550638974136,15.3019324915478,15.8246772567257,16.3583929196527,15.7984991739068,14.8270626747405,15.5099438140132,15.5167363536305,16.5004635460184,16.5226770167304,16.4433613840525,16.9366531005869,16.9392945223387,16.6594530560154,16.3417711479852,16.7298476641338,17.0681155434573,16.9274509103616,17.6767669390586,17.4317900031863,17.2710355638307,17.3146624055505,17.5499751051374,17.750108667157,17.2372973481469,17.6527437848492,18.0351448575749,17.967964933125,18.2823770836473,18.3338199694308,16.855064564246,16.8138868291484,16.3692818301704,16.3821063360191,16.348746239565,16.4757315950051,16.6309086296945,16.8753622361642,15.8392590513925,15.1394028079227,13.891829899582,15.5176222702284,16.1660416751669,16.5756754193356,16.7520894149808,16.3610102645702,16.7768959913178,16.950449143246,16.5902961094507,16.866287696708,16.9954952940323,17.5306032148774,18.115284370616,18.5893304743797,18.7097807041689,13.4068357184758,18.5635069703855,21.0304253019077,21.735687313508,22.4131559688899,22.3438545420948,21.1326012717679,21.5749427137524,21.5485902980876,22.2199543503944,22.5198387390851,22.0193601783554,21.6366274675189,22.3255326968512,21.1118927102508,21.1042996958654,21.2528937768957,20.919533357891,20.3604413924889,20.9631211768453,21.3487005936896,20.8993152726411,19.5573681265886,19.0485066369356,19.2497527458941,18.5919038154923,16.450827546029,15.7098615272314,16.7390146902415,17.8271219869376,15.9843906758392,15.9800842000671,17.0949441534005,16.8163706103379,17.3825222715087,17.6137171800324,17.5520114614287,18.1593314640864,18.2065945292617,18.7735612345422,19.4905434090951,18.5525666390002,18.0464070858181,17.5308272045488,18.7241561155524,19.4623325242106,19.7711172782085,20.1321178934457,20.899401057473],"CAGDPY@FR^EE_ACTUAL_ANNUAL(MED,0)":-1.20455654888099,"CAGDPY@AU^EE_ACTUAL_ANNUAL(MED,0)":1.21871580460395,"USDITL^FG_PRICE_CHANGE(0,-1AM)":-0.51100254,"USDANG^FG_PRICE_CHANGE(0,-1AM)":0.0,"USDUSD^FG_PRICE_CHANGE(0,-1AM)":0.0,"USDGBP^FG_PRICE_CHANGE(0,-1AM)":-0.42629242,"USDJPY^FG_PRICE_CHANGE(0,-1AM)":0.88852644,"USDCAD^FG_PRICE_CHANGE(0,-1AM)":0.18501282,"USDNZD^FG_PRICE_CHANGE(0,-1AM)":2.0761013,"DUMMY^ECON_EXPR_DATA('FDS_ECON[PMIDMMANHE]',,,M)":49.253857,"EWN^FMA_ROE(NTMA,-20AY,NOW,FY,\"PORTAGG\",\"MEANR\")":[20.5027022731768,18.4388432839057,17.2963282197402,16.6220124304454,13.9821831035128,13.3304023919735,14.6594809949092,13.0989988533626,12.0023835077373,12.1486145572934,12.2197829564797,12.4442703427853,11.8415876112609,13.007558022755,13.2228677711132,13.091763606586,9.77856565542044,10.8991459502058,12.0158891729577,12.7459856653599],"TRYSA10Y-FDS^FG_YIELD(-10AY,0,Y,,\"YTM\")":[null,null,3.8912454,3.7299898,4.5715504,2.8775356,2.0844028,2.5113702,4.613973,4.608568],"TRYGB10Y-FDS^FG_YIELD(-10AY,0,Y,,\"YTM\")":[1.8155,2.0248,1.2817,1.2536,1.3339,0.822,0.197,0.966,3.662,3.534],"TRYKR10Y-FDS^FG_YIELD(-10AY,0,Y,,\"YTM\")":[2.6272,2.0852,2.0916,2.4797,1.9804,1.6728,1.7238,2.2417,3.6906,3.1928],"TIOS-FDS^FG_PRICE(0)/MAX(FG_PRICE(0,-1AY))":0.769561598224195,"FC0000GB^FG_PRICE(0)":121.991745,"QQQ^FG_PRICE_MAVG(0,,,,60)":426.232,"EWG^FG_PRICE_MAVG(0,,,,60)":29.817833,"EWD^FG_COMPANY_NAME":"iShares MSCI Sweden ETF","EWI^FG_COMPANY_NAME":"iShares MSCI Italy ETF","FXI^FG_TOTAL_RETURNC(0,-6AM)":-5.925703,"EWJ^P_PRICE(0)/P_PRICE_LOW_PR(0,,,USD,,,\"PRICE\",\"INTRA\",\"52W\")-1":0.2675115,"URTH^FMA_PCT_ABOVE_MAVG(200,0,,,,\"PORTAGG\")":70.6083390293917,"EWD^FG_TOTAL_RETURNC(0,-3AM)":5.225408,"EWQ^P_PRICE(0)/P_PRICE_HIGH_PR(0,,,USD,,,\"PRICE\",\"INTRA\",\"52W\")":0.98770154,"QQQ^FG_TOTAL_RETURNC(0,-12AM)":44.627773,"ENZL^P_PRICE(0)/P_PRICE_LOW_PR(0,,,USD,,,\"PRICE\",\"INTRA\",\"52W\")-1":0.09919298,"ENZL^FMA_COS_UP(\"EPS\",\"1M\",+1,0,,,\"PORTAGG\",\"MEANR\")":5.0,"QQQ^FG_ROE(0)":21.5516410399392,"CAGDPY@US^EE_ACTUAL_ANNUAL(MED,+1)":-3.05,"CAGDPY@NZ^EE_ACTUAL_ANNUAL(MED,+1)":-6.1,"USDITL^FG_PRICE_CHANGE(0,-1AY)":-0.833261,"USDANG^FG_PRICE_CHANGE(0,-1AY)":0.0,"USDUSD^FG_PRICE_CHANGE(0,-1AY)":0.0,"USDGBP^FG_PRICE_CHANGE(0,-1AY)":-3.726077,"USDJPY^FG_PRICE_CHANGE(0,-1AY)":14.598381,"USDCAD^FG_PRICE_CHANGE(0,-1AY)":-1.4092267,"USDNZD^FG_PRICE_CHANGE(0,-1AY)":2.0926356,"EWA^JULIAN(FMA_EPS(NTMA,-20AY,0,CY,,\"PORTAGG\",\"MEANR\").DATES)":[38352,38716,39080,39447,39813,40178,40543,40907,41274,41639,42004,42369,42734,43098,43465,43830,44196,44561,44925,45289],"EWD^FG_TOTAL_RETURNC(-10AY,0,AM)":[1.0967374,-0.055634975,3.8129687,-2.7613938,-1.9013166,-0.3758371,-1.5380144,-6.483942,4.443741,-2.6093006,-2.4656713,10.016001,-1.3961613,0.85544586,1.3746738,-1.702249,-0.3099501,-7.893938,-1.1912584,-0.16745329,0.46964884,-3.6541402,-8.567465,5.0455213,5.7421446,4.8155785,-5.7021856,1.5203834,-1.8793344,3.822577,0.3820777,-1.8685102,-2.715093,3.1708956,4.462409,4.2381406,1.0003209,0.06389618,7.982123,0.69869757,2.882886,-1.8388689,5.9173346,1.8528938,-4.4928255,-1.156044,6.6941977,-4.6987295,-1.5371203,0.11782646,1.1473894,-6.8169174,2.5808573,0.41401386,5.2965403,-9.969884,-4.516554,-4.673296,8.753216,0.91308355,4.8927546,4.4408917,-6.9440126,3.9818406,-1.0766745,-6.9261255,6.5910697,4.2553186,0.19131899,6.8608046,0.78407526,0.50867796,-34.772255,16.339577,10.513926,8.576023,13.643826,0.75035095,0.286448,3.541851,7.806897,2.088964,6.7171693,2.177,3.3117175,6.3887,1.3063669,-0.9914398,1.4832258,-0.06354451,-3.3276796,5.3496957,-0.6659746,-4.1907015,-4.411334,-6.606889,-0.27791858,-2.533567,-9.331947,-7.223809,3.65659,-1.0736167,-12.961239,0.89063644,14.194918,1.7845273,8.402073,0.0,-3.0721545,6.222737,-0.65698624,-3.5271466,2.2279382,-8.563852,-0.7180929,-2.2468507,12.027717,12.434137,-6.736684,6.8937063,5.54986],"EWQ^FMA_DIV_YLD(NTMA,-10AY,0,AM,\"PORTAGG\",\"MEANR\")":[3.54090244378025,3.50065620895338,3.43055658538399,3.38253829740774,3.54862796516568,3.59177201815972,3.50978785211718,3.82499065028402,3.60223451557205,3.66709863142702,3.45473282680793,3.18789868879496,3.15504170162021,3.11357476432391,3.20330061002544,3.42223873931302,3.25857697440016,3.6143775886129,3.6709743713769,3.56345052696627,3.42470906689869,3.65975639321242,3.97312088174412,3.92184832672414,3.73866213084018,3.62321141860433,3.79252905904078,3.80478874899127,3.78661089930115,3.75831811037188,3.74598111510013,3.69334230497807,3.70848001987701,3.49354513693423,3.46238078177765,3.48542239040778,3.42407783196952,3.39792668134091,3.23593822059639,3.28415133043162,3.38066010877144,3.42849761922494,3.32072078466748,3.28745862911677,3.31918224704741,3.27748071868228,3.20002794101294,3.37250002766007,3.41948701578905,3.34368379074199,3.25198747902079,3.46316391574722,3.4169397213231,3.45137275300191,3.41690221216904,3.70757477951823,3.81097172670817,4.03616894065281,3.87909392732283,3.67257105508971,3.5662073738392,3.47231922740722,3.60716873167474,3.53341304322143,3.53037840943875,3.62423476913944,3.47533545593088,3.50609182640134,3.39017076517891,3.33174429966803,3.31594789215537,3.2998665682461,4.83813992087345,3.87351247073265,3.557971720306,3.13951969817689,3.03652857007589,3.1780658508332,3.29662991453713,3.25213167168991,2.91975225523806,3.0082756502459,2.91796964890464,2.8342143061361,2.76498773668046,2.71453216513351,2.70291322288216,2.66557026785056,2.74447210414605,2.77810683401284,2.8241121856971,2.83837664809369,2.73269094315296,2.81146756316345,2.79771722082935,2.9508587886408,3.13273496670172,3.06511076254196,3.30053533856268,3.50947857395994,3.38460914586415,3.30614121920825,3.58877290575064,3.61955495420856,3.30878819471231,3.33169232252854,3.14231403968655,3.12361968401664,3.24638779194026,3.08586862038868,3.16558173709526,3.27419847075638,3.23109002766289,3.38005476815369,3.38040471605899,3.58413518555992,3.36886086602894,3.21579882917917,3.29840272059284,3.15668207306907,3.06524797283677],"QQQ^FMA_PE(NTMA,-10AY,0,AM,\"PORTAGG\",\"MEANR\")":[17.4425962924979,16.8667915793589,16.7979687592436,17.2907634075581,17.6371267786694,17.7781887728299,17.7503170996277,16.8891978987527,18.0093373925932,17.8968394435803,17.1179151082182,18.1371936936251,18.1213480079662,18.0248163368675,18.1525605050413,17.9650763237793,18.7228477392167,16.9805030200074,17.4167259303803,17.6872233520056,18.7716145870564,18.1840404683795,16.6515429594747,16.7782898991021,17.6943960662212,17.9810421742245,17.444818303897,17.656667411649,18.4463044380627,18.7284568906121,18.651217273306,18.3932915116151,18.2854297446129,18.4684090619855,18.6646727479557,20.1591828068879,19.9034833135415,20.0020333707438,20.489185589062,20.64498732867,20.9557804001479,20.1024073808679,20.369717954294,20.6086292544543,21.0097382720225,21.1075192464872,21.8269085103591,20.5531468928337,20.6647512279788,19.8861918896028,19.9464744074641,20.6592924274206,20.7555757448965,20.4972854863472,20.6416214398386,19.3531414997353,17.8299057363666,16.4997173843911,18.6123192003185,19.4346793135088,20.7081300564368,21.0711143290508,20.2815839155112,20.9373378804326,21.06053449196,20.6326316173702,20.6638850365627,20.7803174014312,21.6864889991031,22.5772068331411,23.6919675851478,23.8626997959027,18.038494909665,23.197599472163,26.9400892084094,28.2973767197006,29.8039480748462,30.1504638755263,28.2347566859046,29.4877231199116,28.9387351672219,29.805817800957,30.8828655294185,29.6685596590547,27.5395164184518,29.4417349050811,26.5666599071031,27.6289244888738,28.6774417350442,27.7932014826605,27.4566474138315,28.1341197673101,29.9299641914341,28.662440917969,25.6563748647302,24.4590805053909,24.892308386277,23.5436020856998,20.5131450982681,19.854945144523,21.9674197287571,23.5964737929472,20.6324068560966,20.2908365311154,21.5033997589007,21.4041485457325,22.2236460365379,23.1656292730773,24.2591206272551,24.5982028186384,25.3588531253205,26.3120751285839,26.9242648870512,24.1446806690181,23.1927210598894,22.7536595554537,24.5162785667223,25.0978044179303,25.6163249939719,25.5905618020655,26.3214581194614],"EWL^FMA_PE(LTMA,-10AY,0,AM,\"PORTAGG\",\"MEANR\")":[17.0473406872035,17.0694156316443,17.2221208991108,17.2412525193776,17.1028481898125,17.3073015120382,17.4492078644436,16.7043364195842,17.7146325569223,17.3110541002433,16.2182036837931,17.7952264413756,18.1111366042478,18.183605616047,18.1956727152324,17.8232865619443,18.2109146335271,17.4562018374396,17.3332225362559,17.3957307233521,17.6577621327194,16.9975040388581,15.9801836048172,16.583446995771,16.6439127168779,16.8984504562075,16.9196918474653,17.0381076607903,17.4172159709136,17.7878173190546,18.0180867311732,17.8424162090338,17.5169978844222,18.1245241087898,18.3866484404005,19.7337491005124,19.5865851918938,19.3266187132155,19.540532291383,19.4454076423059,19.3587444553294,19.1129096262126,19.350630596475,19.9096164809685,20.4091991107496,20.670719868611,21.0976164032064,21.6515592721196,20.853909741948,20.413967318847,20.0802180982019,19.2622314148166,19.3627019154532,18.92640323465,18.6228279071752,17.8418797036795,17.4970321955636,16.3196747627285,17.4263598849173,18.2126625997354,18.3033835441917,18.2983741790456,18.1595523263259,18.3609518973544,18.3985886724698,18.2543692742437,18.4201407842283,18.382324689635,18.8644630793382,19.6124407607534,20.2072183583599,20.185225194572,17.421508929355,18.2554268021574,18.9702176423229,19.5361982303586,20.2253428985076,20.4349424716153,20.7010181387468,20.5498453782835,21.2507347465395,21.1291856304061,21.9552809144814,20.9910030946766,20.4645784234184,20.5927081279424,20.4961917302033,20.9269041027421,20.847923373077,21.1444491336879,20.4128548292684,20.6183880071909,20.9835592054767,21.173628126835,20.4695887318542,18.3973275737439,18.5676149851954,18.6238353265753,18.0086192480088,17.3826040763158,17.8928681709572,18.262038779766,17.3487744890655,17.2248937182246,19.5512906973954,20.2395428688919,21.1579603165368,21.3388209564687,20.4087512590742,20.4216356332082,20.1154599974214,19.294633300606,19.2051840996844,18.6227346296834,18.6867435529331,17.6759875814715,17.9487890190443,18.3584120906402,18.1743086686335,19.1614542181255,19.1790170314344],"WL-FDS^FG_PRICE(0)/MAX(FG_PRICE(0,-1AY))":0.838354728844642,"NI-FDS^FG_PRICE(0)/MAX(FG_PRICE(0,-1AY))":0.682458888018794,"CPALM-FDS^FG_PRICE(0)/MAX(FG_PRICE(0,-1AY))":0.997250229147571,"BRENT-FDS^FG_PRICE(0)/MAX(FG_PRICE(0,-1AY))":0.870614479821537,"FC0000CA^FG_PRICE(0)":292.2259,"EWD^FG_PRICE_MAVG(0,,,,60)":38.603832,"VGK^PERCENT_CHANGE(FMA_EPS(+1,0,,,,\"PORTAGG\",\"MEAN\"),FMA_EPS(+1,-3AM,,,,\"PORTAGG\",\"MEAN\"))":-8.27294881305303,"EWU^PERCENT_CHANGE(FMA_EPS(+1,0,,,,\"PORTAGG\",\"MEAN\"),FMA_EPS(+1,-1AM,,,,\"PORTAGG\",\"MEAN\"))":0.706773931489645,"EWJ^FG_TOTAL_RETURNC(0,-1AM)":5.9595823,"EWC^FG_TOTAL_RETURNC(0,-6AM)":13.850296,"EWJ^FMA_COS_UP(\"EPS\",\"1M\",+1,0,,,\"PORTAGG\",\"MEANR\")":120.0,"EWN^SIZE(FG_CONSTITUENTS)":54,"EWL^FMA_COS_DOWN(\"EPS\",\"1M\",+1,0,,,\"PORTAGG\",\"MEANR\")":28.0,"EWN^FMA_RBICS_REV_CURRENT(30, LOC, \"PORTAGG\")":24.7200394051191,"TRYJP10Y-FDS^FG_YIELD_NAME":"Japan Benchmark Bond - 10 Year","EWQ^FMA_ROE(NTMA,-20AY,NOW,FY,\"PORTAGG\",\"MEANR\")":[15.3785109881273,16.6302131420813,15.4089673624266,15.0205314626708,11.8797489821456,10.9934091834566,12.0259375987481,10.8176655066299,10.4079638226552,10.3975296667646,9.87060023176551,9.82548245608185,9.88315391318072,10.4363064842242,11.3283895806005,10.9140096513637,8.94242101240323,12.2539581188642,13.1475852543623,13.2210595032912],"TRYID10Y-FDS^FG_YIELD(-10AY,0,Y,,\"YTM\")":[7.922017,8.942368,7.89735,6.462641,8.148183,7.263584,5.902206,6.458283,6.936579,6.498571],"TRY10Y-FDS^FG_YIELD(-10AY,0,Y,,\"YTM\")":[null,null,null,null,null,null,null,null,null,null],"TRYPL10Y-FDS^FG_YIELD(-10AY,0,Y,,\"YTM\")":[2.5048,2.9303,3.6245,3.292,2.8144,2.1086,1.235,3.6216,6.8411,5.1912],"EWD^FG_PRICE_MAVG(0,,,,30)":39.545666,"QQQ^FG_PRICE_MAVG(0,,,,30)":437.24066,"EWG^FG_PRICE_MAVG(0,,,,30)":30.424334,"EWN^FG_COMPANY_NAME":"iShares MSCI Netherlands ETF","FXI^FG_TOTAL_RETURNC(0,-3AM)":1.3074756,"EWJ^P_PRICE(0)/P_PRICE_HIGH_PR(0,,,USD,,,\"PRICE\",\"INTRA\",\"52W\")":0.9986334,"VWO^FG_TOTAL_RETURNC(0,-12AM)":10.764969,"VGK^PERCENT_CHANGE(FMA_EPS(+1,0,,,,\"PORTAGG\",\"MEAN\"),FMA_EPS(+1,-1AM,,,,\"PORTAGG\",\"MEAN\"))":-4.750088263898,"EWD^FG_TOTAL_RETURNC(0,-1AM)":5.54986,"EWQ^FG_TOTAL_RETURNC(0,-6AM)":15.15733,"QQQ^P_PRICE(0)/P_PRICE_LOW_PR(0,,,USD,,,\"PRICE\",\"INTRA\",\"52W\")-1":0.46295297,"EWU^FMA_PCT_ABOVE_MAVG(200,0,,,,\"PORTAGG\")":51.1904761904762,"CAGDPY@US^EE_ACTUAL_ANNUAL(MED,0)":-2.99592521765141,"CAGDPY@NZ^EE_ACTUAL_ANNUAL(MED,0)":-6.9,"USDITL^FG_PRICE(0)":1782.7732,"USDANG^FG_PRICE(0)":1.79,"USDUSD^FG_PRICE(0)":1.0,"USDGBP^FG_PRICE(0)":0.78942174,"USDJPY^FG_PRICE(0)":151.585,"USDCAD^FG_PRICE(0)":1.35375,"USDNZD^FG_PRICE(0)":1.6542597,"EWI^P_PRICE_RETURNS_PR('52W',2,-10AY,0,AM)":[41.124557,50.44776,27.67141,50.805927,34.154736,20.108986,12.902058,-5.3664327,-0.62915087,-5.080247,-12.688762,-7.761872,-11.552345,-14.807373,-3.7014842,-13.03373,-3.6754072,-5.003375,-6.15049,6.2772155,-0.019830465,1.5541434,-10.421467,-22.405111,-13.829583,-14.22348,-23.850018,-21.029573,-27.149933,-25.767786,-21.86994,-23.263227,-22.630035,-9.891147,8.7766285,10.3553295,4.5857787,3.4668326,25.864124,21.672607,36.418987,39.459442,46.141804,40.8594,48.998962,30.968416,40.54046,38.01917,31.599022,38.865078,14.694941,7.596898,3.3340335,-4.6880903,-4.3923974,-14.245462,-16.10114,-18.98328,-19.67408,-13.752121,-9.303969,-13.536608,-11.395645,0.6480336,-0.49554706,-0.53632855,-0.21587014,17.291391,23.423409,26.589823,19.005466,16.861689,-31.481148,-27.32429,-20.747936,-10.368705,-3.7781596,-0.7678807,-9.8462105,-12.22083,-2.0162165,-1.168102,2.8477907,1.345098,73.40231,64.46175,63.216187,40.75855,23.709297,29.188395,32.184303,38.062607,19.354641,14.011919,11.726928,9.293663,-6.0311794,-7.1136055,-13.8714075,-21.47823,-23.504639,-22.530853,-24.39847,-27.777815,-14.489889,-11.609107,-5.7245073,-1.697588,8.08835,14.7589445,18.378998,31.516039,47.998833,34.588444,41.43952,36.03853,25.434458,29.194212,18.587421,20.653593,31.330181],"EWN^FG_TOTAL_RETURNC(-10AY,0,AM)":[-2.0328403,1.9952059,0.15649796,2.8515577,-4.9307227,-0.40683746,1.1029482,-6.3434305,4.918027,-0.9782076,0.0,5.916667,1.8882751,0.5405426,4.262662,-2.6151001,1.675415,-8.24238,-1.927805,3.8686752,-0.42278767,-4.470682,-5.0681353,1.1215806,8.873117,1.3039947,-2.6950955,0.24803877,-1.2314498,4.659033,0.12141466,-0.92966557,-3.5087764,2.7447104,3.2930374,2.7037978,5.500984,0.7821202,8.425724,-0.2575636,4.9117923,0.19782782,2.7311563,1.2011528,-0.68048835,1.2709856,6.613922,-4.808545,0.81073046,-0.03093481,-0.03093481,-3.3118904,3.5784006,-3.2349288,0.06492138,-7.3953986,-1.6462326,-7.7129545,6.475365,7.3197365,3.0878901,3.0283093,-2.7476013,3.2014728,1.4024854,-2.6375055,3.9973497,2.0012736,0.7785678,3.979206,0.95494986,0.29559135,-33.451225,19.88485,8.792019,10.506905,7.326126,0.46082735,-1.2327969,4.789543,6.7036033,6.317389,8.941698,3.2156467,-2.1132946,7.7676296,0.49567223,-0.12385249,0.20712614,4.9813986,2.2051573,0.21190643,0.2691269,-6.555253,-3.3772707,-4.113376,-5.8790865,-3.4360647,-9.195399,-5.0209703,6.664753,-1.1850297,-11.638051,-0.8019686,16.511202,2.2859335,9.7138405,-1.4357567,-1.1410475,3.610015,1.5643477,-0.34276247,4.499173,-6.6847982,-6.702286,-4.815197,14.246643,7.675612,-1.814115,7.093978,5.1118135],"SPY^FMA_DIV_YLD(NTMA,-10AY,0,AM,\"PORTAGG\",\"MEANR\")":[2.172259225772,2.17581409514319,2.15890032745178,2.09135652409005,2.09759292106688,2.09398309151797,2.0899246625618,2.17692445935045,2.07028914100136,2.08320921649954,2.14261063476001,2.09472585091694,2.14824837867045,2.15562217127728,2.13477932653101,2.16215092220745,2.16233627384688,2.34854412270244,2.36591064244218,2.30942684516106,2.2678106392804,2.33755218604516,2.54358177441162,2.45182025901469,2.47519773454617,2.29179874134034,2.29270141173246,2.28995948996018,2.21879544538091,2.20486887571423,2.22505170738345,2.25475278169333,2.2131514427118,2.16067838253303,2.16833806459911,2.10422117526126,2.12653239051332,2.13752272910581,2.12131758900179,2.08864721128145,2.08192046325301,2.13046397611923,2.07411744805991,2.02363571366694,2.00497511952988,1.95125676928408,1.87979769073537,1.98955115193051,1.99883326904794,2.04910448833375,2.02244367825144,2.02638457641201,2.00844141311995,1.98085300195822,1.94396359995819,2.07087463827523,2.16532974000685,2.4022200614989,2.18027973387759,2.11169324483128,2.06723161082367,2.04865490036966,2.08845445507239,2.04017293861702,2.03248402553769,2.07840354557419,2.04217450572313,2.04136823238717,1.99635687192255,1.93839075376819,1.89103923975891,1.89566172705526,2.74339009488,2.24650935004884,2.05309027476938,1.94346465854039,1.82512636599896,1.7548693491874,1.81608360410664,1.74284963014665,1.68436272306714,1.60148796432486,1.54389857844601,1.53934344323413,1.54566051342998,1.45961124668521,1.47219782387775,1.46213317355544,1.43535773159984,1.42248035783796,1.45400902463495,1.40494102194381,1.36879479016344,1.38646759251548,1.47843110236596,1.51282786006043,1.47844708728883,1.50387949498024,1.70004075145326,1.77766262732326,1.6825537121682,1.60986288737197,1.80424563583475,1.83461473263493,1.75456784893886,1.78976751379013,1.75349723286812,1.75645756638598,1.75786614771137,1.71143681017475,1.68378111335212,1.62618740268603,1.57271715993799,1.6320002073849,1.66780845452641,1.71746856240834,1.60697441835193,1.54857026844601,1.52559084434422,1.50554226082415,1.43678256547327],"EWU^FMA_PE(NTMA,-10AY,0,AM,\"PORTAGG\",\"MEANR\")":[12.8734814272081,13.2239873485751,13.6571755471612,13.7222386607877,13.5470237655182,13.4842791709205,13.4897542031813,12.7426799382562,13.5858648355194,13.7354005381977,14.704640790863,15.5437816028314,15.870765879923,16.1978204976333,16.2627357966994,15.4895304321637,15.5599560851327,14.2732629716726,14.3704445220813,15.2037990051034,15.382808124804,14.7590224166276,14.557695691993,15.1840749353105,16.2567468690651,16.5882133878312,15.7270639977416,15.8375755383464,16.0588769056955,16.1719314632153,15.639905278431,15.1940977676595,14.3083077988096,14.3160573012898,14.2653423927094,14.4947446449536,14.520833718544,14.1152398837832,14.7907185525751,14.4814545751932,14.7893898476638,14.3646723598209,14.4630110064721,14.5730637589989,14.2603659191821,14.5695342897648,14.707613382907,13.7253101431265,13.2277757334894,13.6859111324523,14.071153643203,13.2353880779556,13.1392086005172,12.8411250152173,12.7639970234146,11.8714957748792,11.7597562991109,11.3830887458534,12.0274366857112,12.4518444376832,12.7062888105406,12.7565639625631,12.362638183082,12.5548520821758,12.6530972588221,11.9784686686765,12.4146242143274,12.4343573385531,12.6966240146305,13.4664607816512,13.519798315393,13.3265763328665,10.1166116481985,13.488002239713,15.5970946507973,16.236231788626,16.0650298970267,15.2908968781441,14.3308707524573,13.8575716289705,14.7174342010948,14.2883532513017,14.427852116513,14.1722355021888,13.8188699080417,13.4007584679954,13.2470585531601,12.9441028228714,12.3179134536006,12.0728240155735,11.7894571550054,12.1833370835061,11.9736374028761,11.9486755208044,12.3249213353037,12.1458130526728,11.7117207232854,11.2170578759853,10.2323226566594,9.7524922352973,9.64581007492579,9.73562808218534,9.05398779943803,8.70996846952222,9.45355106023348,9.85533068520304,10.5877784049545,10.7052242178422,10.0626773468896,10.8196702859917,10.4798548616604,10.3395437867591,10.6632279552539,10.1339811595421,10.5526693325235,10.0775088607024,10.4182307668856,10.8621799745857,10.6972327478678,11.1509358650609,11.2494469954474],"EWJ^FMA_PE(LTMA,-10AY,0,AM,\"PORTAGG\",\"MEANR\")":[15.4933846086935,15.3217575662034,15.0033801325657,15.4025316011854,15.2003862807693,15.1697441970329,15.4673542152255,14.2949042753016,15.9308748861918,15.8613196665979,15.6267486143814,16.6880954270892,16.9538408078835,16.9521022426504,17.1131384605441,16.8135801385279,16.9380027095564,16.2042302466852,15.259393198694,15.6486219502212,16.3199874500196,15.5580086653281,13.3107691687319,13.6239176302535,13.8406120065423,13.9667183503969,13.9357949223113,13.8936803089621,14.3034844566151,14.0220195705339,14.4547250301938,14.5404993358544,15.3019869352145,16.5708821090988,16.540794440378,16.2502242987008,15.8739002610303,15.5172844717712,15.6277499068247,15.6610512207363,15.4918062304213,14.9528453673351,15.0127673962067,15.2939549040447,15.6052328685387,16.3043181796936,16.9472753726642,14.6655532322145,14.3243796189888,14.255640952584,14.3212157374315,14.0275243635989,13.9095973963917,13.4829737512603,13.9316038717785,13.1612839640374,12.5166731868246,11.524981961317,11.9929564206288,12.7031714092126,12.7276365821544,12.7587794337783,12.6639868175546,12.8187778158315,12.9510771446623,12.7371208004455,13.5580553551511,13.7939792026423,14.4741388220231,15.2987666560979,15.4394531942369,15.313352749214,13.5023229848283,14.0291316075607,14.8735011251333,16.778423169194,17.7005249615788,18.4391378801638,19.9697181201753,20.661495343546,22.156580357248,23.067826526113,23.8708131511359,22.9368855950793,21.5637456454582,20.8356376362934,20.262564529921,19.7212368543096,19.180618969697,18.2698926727499,18.4830980810065,17.6272167998277,17.4541380399619,16.1411664454818,15.4209168877479,15.0187534996695,14.6030575247571,14.4846141376324,14.2000222077907,13.8751489086901,14.0235071018669,14.0611715950964,13.4684320821897,13.0453337959141,13.5126243542357,12.8630243111441,13.0602259765788,13.5588198667193,13.5416465148314,13.7173163953491,14.0874358683349,14.5668630142262,14.5296371041192,14.3865930891531,15.0821391180297,14.5244128547573,15.1993086139295,15.0283568237073,16.3290580389189,16.7298558397921,17.0021287414603],"WL-FDS^FG_PRICE_CHANGE(0,-1AY)":8.51135978297728,"NI-FDS^FG_PRICE_CHANGE(0,-1AY)":-22.7050997782705,"CPALM-FDS^FG_PRICE_CHANGE(0,-1AY)":10.5410210820422,"BRENT-FDS^FG_PRICE_CHANGE(0,-1AY)":13.1672597864769,"TIOS-FDS^FG_PRICE_CHANGE(0,-1AY)":-13.3348957112726,"SPY^FMA_ROE(NTMA,-20AY,NOW,FY,\"PORTAGG\",\"MEANR\")":[15.5861790200459,16.7322038566819,17.3873562088184,17.7935626477889,13.9384597707689,14.004346429543,15.0399433453936,15.5262408812809,15.3796547722071,15.8702437846916,15.8106739007597,15.8580313128215,16.0499124928518,16.907948658911,18.8923615036562,18.2929292655871,17.2298191459873,20.6862902777728,20.5985725378041,20.3437356796686],"TRYAE10Y-FDS^FG_YIELD(-10AY,0,Y,,\"YTM\")":[null,null,null,3.371059,3.6940188,2.542721,1.7060698,2.0444937,4.2739367,null],"TRYJP10Y-FDS^FG_YIELD(-10AY,0,Y,,\"YTM\")":[0.3138,0.2604,0.0315,0.0465,-0.0051,-0.0208,0.0201,0.0672,0.4224,0.6127],"TRYZA10Y-FDS^FG_YIELD(-10AY,0,Y,,\"YTM\")":[7.9537,9.7513,8.9047,8.58389,9.37766,9.011772,9.179499,9.791837,10.764477,11.358896],"EWG^FMA_PE(LTMA,-10AY,0,AM,\"PORTAGG\",\"MEANR\")":[14.7337357574307,14.6138848734776,14.6075797328855,14.718788848131,14.362012336552,14.1376633976943,14.39475913418,13.340858136888,14.2076848643679,14.3041438746311,15.0003373818095,15.969329688375,16.5789382677572,16.4752384945739,16.2083107847515,15.5365046443721,15.6868042736867,14.3859908298261,13.936797819827,14.0130367965955,14.8162783746056,13.8257268710975,12.457789099153,12.4719771796126,12.7575857472389,13.001756769401,12.7876979461969,12.8150749789155,12.9806764931532,13.3402986936458,13.4737758636556,13.8257029014134,13.6817457662818,14.7247231882734,14.9412623282234,15.2064965460287,14.9255686402088,14.8135449589263,14.8238939935637,14.7625450017367,14.3961237519146,14.1189711372623,14.4381875628097,14.7829864964564,15.3364769431514,15.4858211094476,15.7795171574538,14.5110322902422,14.1708202911564,14.1656518452382,14.218728192379,14.0145827847019,14.03980804953,13.9935374148392,14.0446504385728,13.32277103392,12.8989868913158,12.1663180402705,12.8123103489956,13.1493923043739,13.2005630975281,13.3621427418646,13.2607367873268,13.3554398586535,13.4795634462159,13.4188966343211,14.0907563177368,14.5270020178307,15.0162720808143,15.5201120480362,15.8690304505981,16.0014112377082,13.39010612496,14.4007909719884,15.6670426303486,17.3731204958216,19.1716911146798,19.564985239149,19.8882731171008,20.1562793656797,21.394292510823,21.1673956342225,22.0026370866519,21.1729328424062,20.1430846940991,19.6773476961001,18.934165677578,18.5481850314866,17.7749175947035,17.0761097049362,16.210972129425,15.757476264145,15.2006001441333,13.9979411771341,13.7881781790228,13.2241279233914,12.4641196396287,12.4153450723187,12.0162600199877,11.6434735514359,11.4939230443404,11.1327435229559,10.5866881649991,10.2603412325875,11.0884594217902,10.6174612033849,11.3054562444387,11.5842236184696,11.3061993027828,11.4441763888659,11.3781754823608,11.2341525176158,11.318513011184,11.0966236614894,11.1558772540419,10.6964156908307,11.3702178911901,11.8955399823031,11.7485907648017,12.1549331583267,12.5220569932486],"WL-FDS^FG_PRICE_CHANGE(0,-6AM)":-12.6637554585153,"NI-FDS^FG_PRICE_CHANGE(0,-6AM)":-8.04537061461356,"CPALM-FDS^FG_PRICE_CHANGE(0,-6AM)":19.2982456140351,"BRENT-FDS^FG_PRICE_CHANGE(0,-6AM)":-9.91501416430595,"TIOS-FDS^FG_PRICE_CHANGE(0,-6AM)":-8.83392226148409,"EWD^FG_PRICE(0)":41.08,"QQQ^FG_PRICE(0)":445.87,"EWG^FG_PRICE(0)":31.31,"EWQ^FG_COMPANY_NAME":"iShares MSCI France ETF","EWJ^FG_TOTAL_RETURNC(0,-6AM)":18.19315,"CC_US^FG_COMPANY_NAME":"United States","USDITL^FG_COMPANY_NAME":"Italian Lira per U.S. Dollar","USDANG^FG_COMPANY_NAME":"Netherlands Antilles Guilder per U.S. Dollar","USDUSD^FG_COMPANY_NAME":"U.S. Dollar per U.S. Dollar","USDGBP^FG_COMPANY_NAME":"British Pounds per U.S. Dollar","USDJPY^FG_COMPANY_NAME":"Japanese Yen per U.S. Dollar","USDCAD^FG_COMPANY_NAME":"Canadian Dollar per U.S. Dollar","USDNZD^FG_COMPANY_NAME":"New Zealand Dollar per U.S. Dollar","EWD^P_PRICE_RETURNS_PR('52W',2,-10AY,0,AM)":[16.925632,20.049404,14.180183,21.263277,9.790266,9.043348,-1.2363315,-6.430042,2.028811,-2.0955682,-9.651768,0.68985224,-2.8844237,-1.3994157,-3.7152827,-3.3328354,-1.0875762,-8.551968,-8.229918,-2.031362,-5.1868796,-6.770134,-12.602639,-14.968318,-10.510039,-6.9961843,-12.860149,-10.652465,-12.059027,-3.9243698,0.7060766,-1.0098636,-4.147702,2.6423693,18.392586,16.3684,11.150063,6.1112165,23.29929,20.526386,26.376045,19.484747,26.073349,30.303038,28.46322,23.075533,27.855253,14.9276495,12.040305,12.279928,5.005276,-2.831763,-3.930217,-0.89345574,-1.4743268,-12.184745,-12.932533,-16.03073,-14.101612,-9.370303,-3.4519494,1.3731122,-7.340002,3.3981323,0.093984604,-7.577312,-5.9595227,8.34173,13.683594,24.912071,18.10043,17.627144,-27.132719,-18.51995,-3.2337248,2.78548,16.077364,25.65111,18.219137,17.410099,25.774061,20.693016,27.798153,29.49537,96.535194,88.173904,72.496056,57.296097,40.464436,38.064148,34.30855,36.65359,25.656342,18.168413,5.8457613,-2.326101,-6.6150546,-14.446759,-23.684782,-28.250677,-26.714098,-26.44139,-34.684063,-37.448647,-28.090637,-23.605942,-14.970589,-7.2367487,-9.835995,-1.7357349,7.1743965,11.955965,10.412931,2.0529866,16.408073,15.104771,10.647535,22.224463,7.087028,12.404466,22.403145],"EWQ^FG_TOTAL_RETURNC(-10AY,0,AM)":[-0.76416135,3.6401868,0.7092118,1.3749123,-5.268902,-2.745092,0.256598,-8.117008,3.02428,-2.4629354,-0.23971796,6.8081737,-0.93738437,1.8168092,3.345728,-4.064745,2.111268,-6.1239777,-2.0286381,3.6946893,-1.4095545,-3.8433254,-8.47525,3.2608628,6.4035177,2.802968,-3.5284698,1.6209483,-2.7079403,4.0103555,-0.414598,-0.37468672,-2.1312177,4.3017983,3.451109,-0.79428554,4.4835925,1.1877418,11.170017,-0.2460599,2.0840526,0.03402233,4.6938777,0.8447051,-0.54768324,1.4087081,6.1839223,-4.103798,-0.3776014,3.3480763,0.67236423,-5.566108,2.6583552,-1.214838,2.8802633,-8.870721,-3.6934733,-6.4894915,5.082798,6.009519,4.0788174,2.2251725,-3.151399,4.7484875,-0.19691586,-3.5843492,3.7176013,0.9207487,3.1932235,2.3646593,0.71098804,-1.503998,-36.210663,13.727415,3.5223365,12.72341,7.2619557,-0.587219,-2.362752,1.7081857,13.086069,2.0496845,2.681291,1.9881248,1.8620849,5.2556396,4.233384,1.1960149,-2.731526,1.5512228,-0.47405958,2.3021936,2.302122,-1.6768873,0.5285382,-1.3932765,-7.491332,-0.14408827,-5.6854305,-5.0519524,1.5262127,2.908492,-10.25722,1.9815922,13.150597,2.515006,9.546685,1.2332082,-0.94747543,8.526921,-1.6368628,-1.0099351,4.2570114,-5.24981,-3.2387555,-5.7814655,9.453893,5.7810664,-3.2159328,4.7204614,4.155123],"QQQ^FMA_DIV_YLD(NTMA,-10AY,0,AM,\"PORTAGG\",\"MEANR\")":[1.38534582717674,1.41565675651319,1.34494655998774,1.2941685271334,1.24622798040882,1.21949181954911,1.22440761678877,1.27515306163191,1.21062848824627,1.21262839079642,1.22290965617192,1.21085807847868,1.23755863087303,1.25214882800097,1.23049546013423,1.24148679635537,1.21337669801828,1.38585063306433,1.34754999645467,1.32732589887072,1.27355972719427,1.30506448773577,1.40060596334466,1.41946530413245,1.34745993113556,1.32569373184659,1.38887128607851,1.36307527822762,1.31184083582249,1.2768836189723,1.26458114234243,1.26438502357683,1.28127676871053,1.27752854989474,1.2548676233177,1.21729483650758,1.22615871422933,1.21399718521173,1.18279691794141,1.16782878735106,1.16400040363875,1.19955614496651,1.1704047003371,1.14200520907822,1.09983457164492,1.08633211726086,1.03594553405841,1.07820464443266,1.0720606389752,1.11608613283126,1.09242748946046,1.04629273985359,1.03757147392802,1.08191145285751,1.07475794369408,1.14774033501963,1.25427622267547,1.39748880191207,1.23608899103476,1.20292794327789,1.11883333084187,1.10041734651795,1.14370696924894,1.10862383835309,1.09598703955693,1.11031706741651,1.10363322297679,1.0944870241377,1.08698695235324,1.04853665449997,1.00281296175189,0.978235596471824,1.32792636205067,1.09883715774454,0.968900594344685,0.90847114016676,0.843498209189061,0.792337460302834,0.832459554983581,0.795117771426531,0.778282291855565,0.773241389200234,0.737787363573413,0.734634684258341,0.780101182306347,0.723636420501312,0.754184633396296,0.722590783273914,0.706333611707047,0.701102174721882,0.708490721243544,0.693359942899716,0.651930343782798,0.680474276617083,0.759047336046003,0.79323892732331,0.781410618778117,0.82396239791926,0.960021454172138,0.990276333879625,0.915103523735224,0.875066653184596,1.00466843574871,1.04299003460977,1.02604027790371,1.00964368912099,0.982861555200383,0.959740731918904,0.912567151517503,0.89673545403118,0.83051111544595,0.778028755375808,0.754772780344287,0.904812894120403,0.933613164794251,0.960941234185206,0.889768258310414,0.920575758087312,0.891168641991215,0.903020763757148,0.883810126702373],"EWL^FMA_PE(NTMA,-10AY,0,AM,\"PORTAGG\",\"MEANR\")":[15.7425425467695,16.0062861303051,16.3922511124425,16.3420024175951,15.919625301387,16.0529847285552,16.1897100214925,15.2196588468785,16.259563260335,15.8136684895989,15.5015514454588,17.40947998589,18.1262175954562,18.120703845295,17.9850218657059,17.0379215650683,17.7110269507402,16.5872289185066,16.468348712471,16.4918263532886,17.0437286820462,16.4669149998849,15.4630809886431,16.23857586289,16.4982186692766,17.0629412146172,16.7541683828853,16.691258222872,17.0716098587491,17.2959159397223,17.220081251581,16.7441776012431,16.3180408150502,16.7566094842469,16.9365119124329,17.5820875440438,17.6240030721128,17.208094590521,18.0546702035091,17.9302316040161,17.8064361866579,17.4350704457572,17.7031288126932,17.8309451336204,17.7792577096001,17.7168498646985,17.9196403365418,16.8212883068473,16.1441412809354,16.090779201842,16.2714178665853,15.3374378492715,16.1764337781417,16.0818844276366,16.0396008562494,15.4043805867062,15.370575917721,14.510648588218,15.5836518380407,16.1181222501538,16.56846882977,16.8729257710156,16.6873790715507,17.1654805627326,17.1719672758134,16.9187695515369,17.1302484788603,17.0050596104351,17.3647252143672,17.8791371429028,18.2680090404862,18.4692071763161,14.4331093131319,17.7339734710908,18.9497812396629,19.6013424993308,20.0241800402046,19.4960839106404,19.1686633846286,18.5161995234361,18.8855773948528,18.2392138741471,18.9770923461566,18.75694624956,18.680324432354,19.3239026018528,19.090730410894,19.9257100693839,19.6162267482493,19.8874051650421,18.7283388944583,18.9042020310947,19.3294429478021,19.4004330621771,18.581218504271,18.0838679852456,18.3335954821743,18.2785060840309,16.5153369609096,15.2787601684564,16.3762367814292,16.7013940220146,15.3816598890013,15.1747497728607,16.7274573222316,16.4312563733306,17.2689454150476,17.3355025599823,16.6604416941883,17.6796056108389,17.4640037914767,16.3360820857356,16.7017801923169,16.221933742328,16.4860533360507,15.4712532960078,16.2016467640593,16.7630312345384,16.7891383331342,17.5338758502792,17.661928176964],"FXI^FG_TOTAL_RETURNC(0,-1AM)":1.8228054,"VWO^P_PRICE(0)/P_PRICE_LOW_PR(0,,,USD,,,\"PRICE\",\"INTRA\",\"52W\")-1":0.11814177,"VGK^FMA_PCT_ABOVE_MAVG(200,0,,,,\"PORTAGG\")":61.2421383647799,"EWD^PERCENT_CHANGE(FMA_EPS(+1,0,,,,\"PORTAGG\",\"MEAN\"),FMA_EPS(+1,-3AM,,,,\"PORTAGG\",\"MEAN\"))":-4.96671563151964,"EWQ^FG_TOTAL_RETURNC(0,-3AM)":5.5640697,"QQQ^FMA_ROE(NTMA,-20AY,NOW,FY,\"PORTAGG\",\"MEANR\")":[14.817843581598,15.4866947775921,16.8339704998129,17.9560593685279,16.5654843697708,17.5965741262714,20.0003742371644,20.9591568938239,20.7921963775154,20.047298915306,22.0568276514703,21.8504635786249,21.1146076459691,22.0784263508941,26.4902293367872,25.011729152832,24.534442850509,26.6372021642568,24.0483215722889,25.3011114335366],"TRYMY10Y-FDS^FG_YIELD(-10AY,0,Y,,\"YTM\")":[4.131911,4.345605,4.195897,3.902544,4.235642,3.300551,2.804181,3.573893,4.131847,3.727505],"TRYAU10Y-FDS^FG_YIELD(-10AY,0,Y,,\"YTM\")":[2.81,2.88,2.76,2.63,2.315,1.375,0.972,1.671,4.051,3.955],"NI-FDS^FG_PRICE_CHANGE(0,-3AM)":4.55908818236352,"TIOS-FDS^FG_PRICE_CHANGE(0,-3AM)":-18.0104944202202,"FC0000CH^FG_PRICE(0)":324.61136,"FC0000AU^FG_PRICE(0)":358.24484,"EWN^FG_PRICE_MAVG(0,,,,200)":42.74738,"EWC^FG_PRICE_MAVG(0,,,,200)":35.02205,"USDSEK^STD(FG_PRICE_CHANGE(0,-3AY,M))":2.97429494344496,"USDCHF^STD(FG_PRICE_CHANGE(0,-3AY,M))":2.55066207178098,"USDUSD^STD(FG_PRICE_CHANGE(0,-3AY,M))":0.0,"USDEUR^STD(FG_PRICE_CHANGE(0,-3AY,M))":2.27878581990319,"USDAUD^STD(FG_PRICE_CHANGE(0,-3AY,M))":3.07648357729992,"EWI^FMA_EPS(NTMA,-20AY,0,CY,,\"PORTAGG\",\"MEANR\")":[3.169168339117,3.12405993279458,5.04981282066684,5.56224784875388,4.17624790880873,3.08892808052067,3.32359348097665,2.98712765861625,2.83099275676073,2.51709042577162,2.20451072320163,1.95489186317479,1.78844259381098,2.35129536081733,2.64924756496654,2.59251661571796,1.99711745729498,2.96400297596909,3.54736708862932,3.81180346997282],"EWN^P_PRICE_RETURNS_PR('52W',2,-10AY,0,AM)":[22.659456,26.015532,17.985212,26.862919,11.72421,7.7700257,3.9856315,-4.687744,-0.44095516,-0.91034174,-4.943055,1.6265035,4.941416,4.1051984,8.3732605,2.341044,9.743452,1.1093259,-1.921618,8.772635,3.1931639,-0.40550232,-5.453086,-8.582634,-3.545314,-2.8128922,-9.198153,-6.6318393,-9.301191,-1.169914,5.6129694,0.73405504,-2.387786,4.984939,15.842652,16.018904,12.425434,11.846268,25.983084,24.000431,31.713057,26.098633,29.385508,31.791962,36.04238,34.09103,39.414753,28.278564,22.575687,21.541893,12.103653,8.670795,7.1130514,3.613913,0.92476606,-7.9832315,-8.546305,-16.659344,-16.070097,-6.163067,-4.0434303,-3.262037,-3.794402,2.6864529,1.4854789,1.1499405,4.8190236,15.792143,18.646872,31.58672,26.747799,18.452084,-23.229568,-11.021954,-0.46412945,7.3874116,12.808025,16.39788,10.544098,13.565874,19.687927,22.946632,32.67319,34.82722,96.1402,80.53216,66.76495,50.722168,40.724693,46.343815,52.175926,45.528267,37.394596,20.194912,6.6034555,-0.11744499,-4.7760544,-14.675694,-22.919577,-26.68392,-21.959232,-26.00416,-36.49259,-37.135117,-26.951963,-20.040596,-10.747946,-6.671768,-1.973635,5.179155,18.119383,23.436678,20.9306,14.199936,20.57898,18.879736,13.451946,19.429993,8.914005,16.130627,23.475933],"SPY^FG_TOTAL_RETURNC(-10AY,0,AM)":[1.7046094,0.4511237,1.1174202,4.0959597,0.7145047,1.0945559,1.0722756,-3.3034325,6.4976454,0.47171116,-1.6656995,4.0176272,0.048196316,-0.38496256,1.8606782,-0.777483,0.44590235,-6.6682396,-0.066399574,2.743566,3.6962152,-3.0668676,-7.427973,2.844286,7.146406,2.1009445,-1.6653061,1.9652843,3.7540793,1.0519505,-0.74379444,-0.85256696,2.8834462,3.1584144,0.4296422,4.3000817,-0.73630214,0.3679514,1.5857458,2.4441361,1.6176224,-1.6121209,3.1805634,3.0955434,1.1201501,3.4411907,4.794836,-3.694594,0.5412698,-1.4125705,2.5355458,0.7691264,1.9836664,2.381289,2.4350762,-5.3905907,-4.0651617,-8.635033,10.702122,4.1131973,3.084886,1.8578887,-1.2102544,3.1138897,1.0782361,-1.5883148,2.466619,0.5732894,3.4267783,3.8772702,3.2956004,0.65802336,-30.968708,19.335663,7.998824,5.1296234,5.3039074,4.452169,-3.2949448,4.820013,3.676355,3.9693713,4.452777,1.506877,0.1865983,6.8270445,-0.27158856,1.7630458,3.252864,2.0273805,-1.8781543,4.6030045,3.3730984,-0.8919418,-5.416143,-0.85620284,2.6542544,-1.4244258,-11.055559,-3.3219814,6.324148,5.8552146,-10.230595,-0.82143545,5.4235935,-1.6637027,2.4985075,0.81084967,0.3409505,3.3315778,1.5574932,4.285872,3.9637685,-2.8395772,-1.458919,-2.3644507,7.616508,4.7101617,2.0583868,3.063655,5.354607],"EWU^FMA_DIV_YLD(NTMA,-10AY,0,AM,\"PORTAGG\",\"MEANR\")":[3.9961482538545,3.92701981011548,3.83389158685432,3.83432896108197,3.89491264727226,3.92924817360739,3.90153985817078,4.1987680734051,4.00984894256654,4.13883703106732,4.07367903680646,3.94578008453403,3.89505638005482,3.88014483625808,3.85207764822693,4.04039488657605,4.07427415146291,4.39993241371633,4.48203350649025,4.25772179412717,4.22360903499264,4.44542765152722,4.66516135251781,4.61485602125878,4.34256500319832,4.2023094429083,4.3527263762471,4.26715444950521,4.13664023734486,4.08530011100557,4.18835038736913,4.2857418100981,4.42172640999,4.32299867762333,4.29308005604855,4.26869702207405,4.29336842163992,4.44291525122781,4.22858365501445,4.315763184418,4.26347757590242,4.38829686243687,4.34845656531661,4.28100068933573,4.37446573505147,4.25571832870753,4.17384072282199,4.4116284098901,4.56392084863237,4.39342065668774,4.21641977151412,4.43127112328258,4.40850446235198,4.51126342512204,4.51679779086999,4.83070597815816,4.91495516235678,5.21478301593075,5.11487313328544,4.95503655995837,4.85427674939576,4.82207689741669,4.87902125898827,4.79126481102497,4.80801437783155,5.08395655450667,4.91135426812969,4.91829079205582,4.85316380766222,4.57796952251224,4.56490664510286,4.71100642437905,6.97655085282471,5.80344360429783,4.31753687428218,4.06728623385156,3.97246608619681,4.05170889160006,4.26851035540801,4.37350702379446,4.01603855249809,4.00223834764024,3.89246603835607,3.99031076973222,4.01982011083952,3.9760535563719,3.91492949378402,3.94175149549768,4.11941721450305,4.23273924432505,4.25744322060316,4.04928479512253,4.05616860033845,4.00390448081901,3.86023009226083,3.83923939821999,3.96227406671281,3.93830963496073,4.14979438038551,4.33027592013659,4.29330257329571,4.21792774127763,4.51117620402205,4.63073998030394,4.3622462053804,4.23701608172631,4.07219616655852,4.05344335212455,4.31907864475492,4.06370167332109,4.29001705346168,4.41485819619727,4.30685481625881,4.59274078927799,4.41503163901388,4.59702806478302,4.47921088305548,4.30029013823453,4.45031183770006,4.21885515433271,4.13251556586236],"EWJ^FMA_PE(NTMA,-10AY,0,AM,\"PORTAGG\",\"MEANR\")":[12.6785010305084,12.92435827897,12.649802307209,13.8945772851621,13.7033947599655,13.7872149518068,14.1693633612147,12.7176379847658,14.533363196839,14.3332210878367,13.9659470029376,14.8992878845547,15.6124187551251,15.8222022144556,16.238784921676,15.5155974524686,15.7147431100881,14.5700227074708,13.458913700195,14.0930662591329,14.7968998408974,13.93116004772,11.8366352749165,12.0496146097453,12.7769887854743,13.3854099708167,13.2055252574719,13.056296372144,13.7234218671207,13.1999097400267,13.6433986191692,13.6011668441542,14.2366456560204,14.971522774338,14.651375296076,14.3967726380471,14.2260537938517,13.4776269570852,14.1663293779178,14.440913551792,14.3018694223789,13.6389495462763,13.9943759522914,14.3831873090459,14.5206778070161,14.7257158256998,15.2634875894685,13.3468459430562,12.8236995300135,13.027126929695,13.456489704496,12.9600138790748,12.900305967207,12.3955198630686,13.2522009189224,12.3328512637998,11.8620840060972,11.068554444202,11.7525552123163,12.4377108242893,12.6534703147415,12.7032384114308,12.3342005813684,12.6498401940054,12.8344694226833,12.4021780462953,13.4283515438401,13.5534859847126,14.0770957301772,14.6325136267469,14.6252743315321,14.2410865040729,11.0345319948362,13.2854321702426,14.999936556795,17.8102351185961,18.0101796738705,17.9618462728069,18.4144782075311,17.8751558731093,18.3554350105917,18.3356663225591,18.7308590244217,18.5883420228175,18.1307878884435,16.6872326314258,16.2485780294066,15.9267787458733,15.6501994952525,14.9219723081459,15.8201386749657,15.1630780093378,15.3066012548586,14.4190861341056,13.9080979251666,13.551260945641,13.0260380039586,13.0995387681097,12.6556590983758,12.2869611692753,12.8425956893987,13.0534313838677,12.4939120031807,12.1773766822549,12.8268193850626,12.266308159953,12.5353060275425,13.0603617879196,12.6518446630156,13.3677652934759,14.2430297425285,14.9672592365541,14.5364862370147,14.0520203422211,14.8010800000223,13.889943051131,14.3496645402665,13.8610185192629,14.9095126119701,15.308540410107,15.6371720229554],"EWC^FMA_PE(LTMA,-10AY,0,AM,\"PORTAGG\",\"MEANR\")":[16.5035780962786,16.3382233352605,16.2369256286626,16.282480102011,16.3105302056528,16.4656419801761,16.2208774714986,15.6133639859212,16.0367495674716,15.4836332050226,15.5724927875838,16.8890064689003,17.056064576718,17.2860536414594,17.2999944487148,17.0681023207364,16.92519618381,16.3393590263388,16.7260179701312,16.788394195699,16.7356437914676,16.208871911584,14.5990311657571,15.4295959323948,16.0283077187194,16.2949237925772,16.4854119470978,16.7549884997774,17.2001730400723,17.4953083081,17.7333645597732,18.2740709595542,18.7473863171112,19.3118817183329,19.9477875008539,19.9209736521201,19.1430799343537,18.906962939607,18.5578153216589,18.1011117810351,18.0632138973847,17.5967740487712,17.5642101887133,17.5465534535062,17.3922757436155,17.2595853830211,17.2884953361791,15.9667547623946,15.7904554181958,15.6120818374772,15.6253130292015,15.5810256583692,15.4935870473719,15.3301809898496,15.1683550205227,14.525056107651,14.0337307945213,12.8216128933924,14.1209983742583,14.8330668542167,14.7445173512326,14.6669825600435,14.5266326951885,14.5472140057791,14.4880767561533,14.3838156208912,14.8020949112412,14.6081418364961,15.0956540389104,15.3429411151476,15.6791643329019,15.7139394754165,13.776175351558,14.9567798186383,16.8113486758527,17.259174082093,17.871728796651,18.257028307323,18.0791810022117,18.6750987302528,19.4816343881514,20.2898828854306,20.9486345291608,20.6256672929469,19.7704429737078,19.3451169803558,18.8841874240172,18.6014861645513,18.0020714647619,17.339344182118,16.5937490888562,16.915227203612,16.3394647971549,15.4313829899497,14.9995068318366,15.191773736243,15.1536062297544,14.8572436060277,14.2772308383899,13.6397595592261,13.2214876954067,13.2706614528033,12.5754730779615,12.2845264544013,12.5733798271175,12.23947299598,12.7392300665732,12.6012135187464,12.5463052346121,12.8245785362705,12.8649210355595,12.8667040963178,13.4598152143447,13.259872055546,13.3957645739372,13.1021039589462,13.721108040744,14.4046108440396,14.5722441977082,14.7006759658342,14.9217474554776],"WL-FDS^FG_PRICE_CHANGE(0,-3AM)":9.08471109596045,"CPALM-FDS^FG_PRICE_CHANGE(0,-3AM)":18.4540010887316,"BRENT-FDS^FG_PRICE_CHANGE(0,-3AM)":0.0,"EWU^FG_PRICE_MAVG(0,,,,200)":32.26905,"FXI^PERCENT_CHANGE(FMA_EPS(+1,0,,,,\"PORTAGG\",\"MEAN\"),FMA_EPS(+1,-3AM,,,,\"PORTAGG\",\"MEAN\"))":-3.92676623640929,"EWJ^FG_TOTAL_RETURNC(0,-3AM)":13.781082,"VWO^P_PRICE(0)/P_PRICE_HIGH_PR(0,,,USD,,,\"PRICE\",\"INTRA\",\"52W\")":0.9716938,"EWI^FG_TOTAL_RETURNC(0,-12AM)":31.330181,"EWD^PERCENT_CHANGE(FMA_EPS(+1,0,,,,\"PORTAGG\",\"MEAN\"),FMA_EPS(+1,-1AM,,,,\"PORTAGG\",\"MEAN\"))":-0.50993075393794,"EWQ^FG_TOTAL_RETURNC(0,-1AM)":4.155123,"EWU^FMA_ROE(NTMA,-20AY,NOW,FY,\"PORTAGG\",\"MEANR\")":[17.0013743335587,17.4840740170497,19.4425742504053,18.9225481633064,14.9735451636047,14.6457818658238,16.1542964974398,15.1996078376158,14.4781479669762,13.3640315886099,12.2326503305714,11.1900784012713,12.1967915012023,12.7329318595365,13.1887832891224,12.8710545012496,11.2050609808234,13.9227699470217,15.8587444123321,14.732463877154],"TRYMX10Y-FDS^FG_YIELD(-10AY,0,Y,,\"YTM\")":[5.8237,6.2537,7.5651,7.6401,8.7069,6.8373,5.552,7.558,9.0223,8.95],"TRYPE10Y-FDS^FG_YIELD(-10AY,0,Y,,\"YTM\")":[5.681629,7.426917,6.415413,5.167133,5.645114,4.243226,3.535983,5.889906,7.923381,6.6087],"USDAUD^STD(FG_PRICE_CHANGE(0,-1AY,AM))":2.55642220218155,"EWD^FMA_EPS(NTMA,-20AY,0,CY,,\"PORTAGG\",\"MEANR\")":[1.55275820794805,1.54581744522321,2.18886161040082,2.54439610565031,1.55027933568846,1.36361799599867,2.27207932583515,2.18253517023992,2.32063293486455,2.31545066006368,2.02872425818202,1.94857888922314,1.75138174890933,2.10390186893761,2.115438961001,2.04500090470961,2.21381527836792,2.4898156587914,2.56419575016557,2.5100925842499],"EWQ^P_PRICE_RETURNS_PR('52W',2,-10AY,0,AM)":[24.86037,32.32868,20.495296,29.582918,16.269386,8.473885,3.0389547,-7.896328,-3.5247743,-5.840069,-8.861846,-4.1514516,-5.1161346,-6.426561,-3.9768696,-9.607786,-2.0499587,-5.4529905,-7.6080856,4.2690277,1.0698915,-1.6305208,-9.751236,-11.621893,-6.2829375,-5.3752184,-11.382431,-6.4343095,-10.850203,-5.1861105,0.40117502,-3.5389483,-4.245031,3.8660645,18.257534,12.790155,10.755014,9.014833,27.103592,23.316406,29.390192,24.44359,30.827225,31.987274,34.571243,30.838549,35.26175,29.814743,23.774994,26.321924,14.480114,8.374702,8.211195,7.6238036,5.759418,-4.919595,-7.4524937,-14.660543,-15.058523,-6.6388426,-2.4625123,-3.9040685,-7.1867228,2.9508471,0.3440857,-2.313298,-1.3008952,9.063232,16.86213,26.226212,22.60517,13.915407,-30.573845,-22.326029,-16.97359,-10.062122,-3.974998,-0.9900093,-6.794381,-6.067151,2.840519,2.6211858,4.628873,7.3681355,76.44829,60.11324,61.212967,44.7269,31.242847,33.048927,36.659348,37.457478,24.080717,19.808567,17.296743,13.938189,2.9941797,-2.2895217,-11.47238,-17.046309,-13.41517,-11.839998,-20.882761,-21.130705,-12.767136,-9.048051,-2.2762418,1.7509103,8.948553,18.40911,23.45419,28.749107,32.21214,21.73071,31.250847,23.139751,17.298115,21.035158,7.9697013,10.617733,16.316105],"EWL^FMA_DIV_YLD(NTMA,-10AY,0,AM,\"PORTAGG\",\"MEANR\")":[3.26334842592375,3.23083968174258,3.2030909195417,3.21447314813105,3.34301515406123,3.34792187627285,3.29066449606286,3.48364420333708,3.22526286562279,3.28488023478789,3.50540442888882,3.19493223754832,3.05933368920966,3.04284633104958,3.05194834524454,3.23891181601589,3.11823283595249,3.30792559169902,3.3452801941458,3.35694329204605,3.22379306076531,3.36081385966095,3.61727667742148,3.545220472161,3.5164618312829,3.43526600552866,3.53320644241307,3.5423103494047,3.49879200889092,3.46979556242389,3.47476791641228,3.56742675198337,3.65938500358781,3.56616736417389,3.52230032714073,3.36350564207631,3.35253647807395,3.45218101166211,3.29377916133254,3.2660780611443,3.28432749165607,3.33400675006154,3.27871525809949,3.24966037876628,3.23306819065856,3.21651014368715,3.16403380670957,3.34969080905579,3.47656189060338,3.43479232535952,3.43578443232971,3.62555035579307,3.42167513725533,3.40847232229981,3.40084739441311,3.55312583626533,3.58213805463394,3.71524614199325,3.46354294014338,3.34552082119125,3.31891327317163,3.28800706694223,3.29824863798291,3.21114839362282,3.21027166533471,3.24986263326602,3.20683131263701,3.22122803740274,3.13735149292433,3.03897830447652,2.9607752391554,2.93328552085048,3.81366594964767,3.36081541580378,3.18287907172789,3.04071212004107,2.93584983748191,2.9479147534443,2.94668917168682,2.9982122718217,2.88812794463314,2.92602502856465,2.80340373454488,2.84611919452709,2.8254800443156,2.73870426115476,2.74965272005439,2.61732386284783,2.62000243800957,2.56359419917719,2.700784668062,2.67472135348091,2.5835416134179,2.57991849016234,2.67405248890151,2.79053229627967,2.7715521363383,2.79346058352255,3.04974756970702,3.27869870670565,3.09193543636172,3.09438755753858,3.345743268849,3.39462724382704,3.13749001663932,3.20161955474602,3.06334580528549,3.07555405427964,3.24623539303684,3.05675584961871,3.0780211377929,3.20055473959089,3.16521022142486,3.29714751831631,3.2935819044159,3.52821536416501,3.39934850639011,3.29352314107184,3.34187792215908,3.29664819570599,3.2701113771527],"EWG^FMA_PE(NTMA,-10AY,0,AM,\"PORTAGG\",\"MEANR\")":[12.8431756938204,12.8516827494846,13.0766651793887,13.3775164895927,12.776852453962,12.522207953917,12.9481588340572,11.7324840785485,12.7882914875153,12.8489629399095,13.4921900189755,14.3791236954653,15.5961346773817,15.3337885707006,14.734690479664,13.4893897642187,14.0643556634726,12.3005861796804,12.0462069169611,12.5687195134615,13.8551774870897,13.0543318697272,11.9678686269671,11.9441515133279,12.6709477971996,13.2756700539393,12.3962658665405,12.3099759883845,12.5227099348886,12.9365114692617,12.8105768781213,13.0537447694821,12.7896152739759,13.6523886277245,13.744290848276,13.8914252678508,13.7802403053219,13.6397854774381,13.8297910272041,13.7945250882742,13.185003885294,12.9277594771044,13.4468816146034,13.7943454782864,13.9686239146546,13.9574944149276,14.2223903759097,13.1649479056731,12.9585033258188,13.1761383633635,13.4465050336424,12.9706462114756,12.9849931266052,12.8294030002555,12.8405984967396,11.9691476749086,11.5217564023359,11.0267567517539,11.7177722778855,12.0164308148611,12.2377727374962,12.8911577902584,12.5170907608996,12.6426575438608,12.7576789396309,12.4607616831121,13.1101827120198,13.401158560941,13.9293908971687,14.2192548913009,14.4148014565505,14.375801549094,10.0043374041136,13.6666349359134,15.8233471836451,17.8345858824584,18.8333167085031,17.7347966548426,16.7310788489031,16.0955717092902,16.1630531247761,15.7119051826227,16.0717508208376,15.6780714053552,15.9270628334146,15.6632144330014,14.7842072984687,14.8789180639029,14.3062984959268,14.1899761103456,13.6941462152315,13.6355331225025,13.7604013796232,13.0812222878478,13.0784016991169,12.3538309085282,11.6433989429152,11.599576158912,10.6635752618516,10.1143563724378,10.1471035497854,10.090093152451,9.51561665353631,9.4606338309228,10.7071735687615,10.5765128693462,11.4031199551592,11.616074466051,11.1669167880026,11.4581699961439,11.158617909738,10.7505204593879,10.8332947227765,10.456164908219,10.4844705871009,9.88283357476853,10.7345178204042,11.1634890914819,11.0315197620324,11.6251350259704,12.0704620930793],"WL-FDS^FG_PRICE_CHANGE(0,-1AM)":2.31814548361311,"CPALM-FDS^FG_PRICE_CHANGE(0,-1AM)":9.59456056408965,"BRENT-FDS^FG_PRICE_CHANGE(0,-1AM)":0.0,"EWN^FG_PRICE_MAVG(0,,,,60)":46.21325,"EWU^FG_PRICE_MAVG(0,,,,60)":32.755833,"EWC^FG_PRICE_MAVG(0,,,,60)":36.6955,"SPY^FG_COMPANY_NAME":"SPDR S&P 500 ETF Trust","FXI^PERCENT_CHANGE(FMA_EPS(+1,0,,,,\"PORTAGG\",\"MEAN\"),FMA_EPS(+1,-1AM,,,,\"PORTAGG\",\"MEAN\"))":0.0464765999368703,"VWO^FG_TOTAL_RETURNC(0,-6AM)":9.2641945,"EWD^FMA_PCT_ABOVE_MAVG(200,0,,,,\"PORTAGG\")":83.7209302325581,"EWQ^PERCENT_CHANGE(FMA_EPS(+1,0,,,,\"PORTAGG\",\"MEAN\"),FMA_EPS(+1,-3AM,,,,\"PORTAGG\",\"MEAN\"))":-5.09651007862275,"EWL^P_PRICE(0)/P_PRICE_HIGH_PR(0,,,USD,,,\"PRICE\",\"INTRA\",\"52W\")":0.9721058,"EWG^FG_TOTAL_RETURNC(0,-12AM)":17.072117,"EWU^FMA_RBICS_REV_CURRENT(30, LOC, \"PORTAGG\")":17.7139371648032,"TRYNZ10Y-FDS^FG_YIELD_NAME":"New Zealand Benchmark Bond - 10 Year","REFGBBANK-FDS^(SUBARRAY(NOT_NA(NO_REPEAT_F(FG_YIELD(NOW,-10AY,D))),0,1)-SUBARRAY(NOT_NA(NO_REPEAT_F(FG_YIELD(NOW,-10AY,D))),1,1))*100":25.0,"TRYUS10Y-FDS^FG_YIELD_NAME":"US Benchmark Bond - 10 Year","CAGDPY@GB^EE_ACTUAL_ANNUAL(MED,+1)":-2.95,"CC_GB^FG_COMPANY_NAME":"United Kingdom","USDSEK^STD(FG_PRICE_CHANGE(0,-1AY,AM))":2.88869183613869,"USDCHF^STD(FG_PRICE_CHANGE(0,-1AY,AM))":2.05634028196729,"USDUSD^STD(FG_PRICE_CHANGE(0,-1AY,AM))":0.0,"USDEUR^STD(FG_PRICE_CHANGE(0,-1AY,AM))":1.64847976263964,"QQQ^FG_TOTAL_RETURNC(-10AY,0,AM)":[-0.395751,-2.42697,2.3030877,4.70407,3.4817338,3.020835,1.3324618,-3.1106234,7.226181,0.8056283,-2.089727,6.1386347,0.33950806,-0.4330635,2.3320436,-0.39414167,3.6582112,-10.104471,3.4578562,1.7410994,6.4732194,-2.693808,-9.185058,0.7734299,6.375134,2.6533127,-3.7776768,1.2392044,5.2837253,3.604877,1.0114431,0.0,0.33009052,1.9212842,2.3161173,5.8417797,-0.2834499,2.1184802,3.9831042,2.3835778,2.3944855,-2.1233737,2.6423216,2.94199,4.5659304,1.5287161,5.5791736,-0.9137869,1.4417291,-2.7677894,3.7584662,4.5645356,1.8667102,0.7654071,1.8574,-5.650073,-7.3112965,-7.981533,12.308968,3.8547635,6.573653,2.6400805,-2.9670715,3.7067652,1.5176654,-1.2460053,1.1503935,1.5618205,4.297018,4.962826,5.692899,3.1306028,-25.869633,20.284689,11.703836,6.7156076,8.276248,6.768942,-4.9568057,6.2352777,2.1781206,6.578052,5.645466,1.427877,-5.40148,8.485115,-3.6193252,5.426979,4.994774,1.7064929,-0.31697154,3.0369997,7.0824623,-3.5341442,-9.640038,-2.8945923,2.6364326,-4.5503855,-13.607663,-2.4499834,9.356773,5.0361037,-12.015974,-2.8706372,2.3491383,-2.7583838,3.3753872,4.0151477,5.709958,2.020359,6.2853456,7.692802,3.7938714,-3.1227589,-1.5177131,-0.9109676,9.551609,5.1766157,3.3427954,1.0518074,4.8975587],"EWA^FMA_PE(LTMA,-10AY,0,AM,\"PORTAGG\",\"MEANR\")":[15.2416937827447,15.2763566539992,15.1227209619398,15.1251827221979,15.3698612098919,15.5088365578252,15.0201032852782,14.8978731781834,14.7187949275655,14.4472713137842,14.7535302489835,16.0585798294627,16.2918339428668,16.3531709684492,16.1727720987828,16.0728003586647,16.2008897804358,15.5039754593051,15.2282212131654,15.573749987097,15.711572078039,15.3960949497945,14.6430619513997,15.1718117066642,15.1972996627148,15.4339977889243,15.6806663728403,15.7676747935482,16.3041688925256,16.658087789312,16.4395358568828,16.8360321572039,16.9164180220087,17.4968572068624,17.6338489225176,17.8936876170058,17.3970856175613,17.2706529574721,16.9862520695836,16.7015010172152,16.8294394827482,16.7003773837743,16.3671939227008,16.7209858489174,16.6442763785307,16.7362425754533,16.5652247975026,16.399602151429,16.4326498421424,16.2561738366328,16.3257249911012,16.3134596263606,16.3589700334754,16.4089626468432,16.0816063939496,15.5159117832605,14.8648774467737,14.2454800785266,15.2609966992131,15.827219702534,15.8625225123014,15.8513450872888,16.0492784957369,16.2652813593759,16.3860710678592,16.2193108453101,16.8055483457641,17.0657313514938,17.3122340898006,17.9800718008,18.6662486990995,18.9112660895619,16.1101869044614,16.7893400072631,17.6454054203668,18.4527204179859,19.277928953628,19.6665494068422,19.1269432805317,20.0048764920542,21.8656358150391,22.9780652729919,23.4648686691622,22.4460279711902,21.4947469343916,21.1642713951011,20.6802089926005,20.2629576604521,19.2426337385455,18.9613988064358,18.4421285347346,18.8634203544533,18.0880293186142,17.6413289268703,16.9738165590657,15.9806795378185,15.738134121955,15.6778744675602,15.0992256455987,14.1474824248736,14.3384492756489,14.580482841744,13.6790899680378,13.2126382091239,14.0566645317503,14.1409030921511,14.7631597650033,14.5287549971057,14.1238183295423,14.3444408904695,14.3746367148827,14.6822722383519,14.9224636605663,14.6825494159432,14.8507315128537,14.5208983880783,15.1513115175266,16.303377479306,16.0241095205866,16.4968691198856,16.5817283799741],"NI-FDS^FG_PRICE_CHANGE(0,-1AM)":5.60436231445016,"TIOS-FDS^FG_PRICE_CHANGE(0,-1AM)":-12.8515318146111,"EWI^P_PRICE(0)/P_PRICE_LOW_PR(0,,,USD,,,\"PRICE\",\"INTRA\",\"52W\")-1":0.3019458,"QQQ^FG_TOTAL_RETURNC(0,-3AM)":9.544266,"EWC^PERCENT_CHANGE(FMA_EPS(+1,0,,,,\"PORTAGG\",\"MEAN\"),FMA_EPS(+1,-1AM,,,,\"PORTAGG\",\"MEAN\"))":-0.930705520261693,"ENZL^FG_TOTAL_RETURNC(0,-1AM)":1.0078311,"VWO^SIZE(FG_CONSTITUENTS)":4715,"EWQ^FMA_COS_DOWN(\"EPS\",\"1M\",+1,0,,,\"PORTAGG\",\"MEANR\")":24.0,"EWG^FG_ROE(0)":12.3288954686977,"REFEUREFI-FDS^PROPER_NAME(0,,,\"SECURITY\",\"NAME\")":"Eurozone Main Refinancing Operations Minimum Bid Rate","REFAUCASH-FDS^FG_YIELD(NOW,,,0)":4.35,"TRYUS10Y-FDS^PCTCHG(FG_YIELD(0,,,,\"YTM\"),FG_YIELD(-1AM,,,,\"YTM\"))":-1.1859637,"EWL^FMA_ROE(NTMA,-20AY,NOW,FY,\"PORTAGG\",\"MEANR\")":[15.9587717941353,16.6709442456462,17.3190561042513,18.194046530629,15.5136874283454,17.2258858021045,16.663378494352,15.1353221205521,15.5882414428409,15.2483951449653,14.5028009204846,13.2798091113486,13.3994953105419,13.9322208239423,14.6457996836392,14.5388198691271,14.6677795152565,16.3837417700753,16.6906517335277,19.2996868123636],"TRYIN10Y-FDS^FG_YIELD(-10AY,0,Y,,\"YTM\")":[7.86,7.89,6.63,7.35,7.35,6.55,5.9,6.45,7.33,7.19],"TRYGR10Y-FDS^FG_YIELD(-10AY,0,Y,,\"YTM\")":[9.61,8.24,7.15,4.14,4.37,1.45,0.618,1.315,4.585,3.099],"QQQ^FG_COMPANY_NAME":"Invesco QQQ Trust Series I","CAGDPY@GB^EE_ACTUAL_ANNUAL(MED,0)":-2.95,"CC_CH^FG_COMPANY_NAME":"Switzerland","USDSEK^FG_PRICE_CHANGE(0,-6AM)":-6.4970493,"USDCHF^FG_PRICE_CHANGE(0,-6AM)":-0.40425658,"USDUSD^FG_PRICE_CHANGE(0,-6AM)":0.0,"USDEUR^FG_PRICE_CHANGE(0,-6AM)":-1.8506646,"USDAUD^FG_PRICE_CHANGE(0,-6AM)":-2.283281,"EWN^FMA_EPS(NTMA,-20AY,0,CY,,\"PORTAGG\",\"MEANR\")":[1.49109929215903,1.5900517234348,2.15625739003115,2.62697068480407,1.79921066251297,1.65442974417331,2.1135843669069,1.84050659390711,1.84155905202006,1.85694784607263,1.61003576125895,1.5506283745409,1.60511092021475,1.99467947715871,2.00955458235889,1.99085797419876,2.00892945351409,2.43601807668502,2.42941425498409,2.95560750409213],"SPY^P_PRICE_RETURNS_PR('52W',2,-10AY,0,AM)":[23.05994,22.72383,15.417337,26.001286,18.945229,23.615753,19.010948,13.440537,17.11147,16.639542,12.414587,16.98177,14.76469,14.24905,15.088844,9.922242,9.408188,1.0070086,-0.13093352,6.114471,3.875947,-0.31589866,-6.157261,-6.6595078,-0.6329894,1.8467188,-1.392442,1.0390639,4.3667912,7.201147,12.233818,8.305502,7.4566245,14.357746,24.759567,25.820732,16.564142,14.585662,19.121815,18.9299,16.480946,13.410128,17.894089,22.64601,20.487679,20.817947,26.532507,16.406036,17.904222,15.44354,16.895449,14.984155,15.295601,20.0822,19.214594,9.966207,3.791666,-8.325476,-2.717179,4.693532,7.3421955,9.35266,6.8516016,9.337902,8.243334,4.1654825,4.1026473,10.765839,19.415987,33.004368,26.68618,22.481882,-17.05302,-3.9055228,5.0523043,7.9727054,11.5835905,18.43258,11.773276,16.492928,16.58616,16.877556,18.186892,17.471577,65.56278,54.842793,42.98512,38.40629,35.71049,33.030308,34.50216,34.2237,32.914616,27.573513,15.520096,12.631536,15.609884,6.6800117,-4.93356,-9.609956,-6.9212794,-2.6607513,-11.6495905,-16.231209,-14.569574,-15.234828,-9.945023,-6.5972385,-8.702082,-4.297203,9.321939,17.873323,15.2565365,5.789542,16.12661,17.098045,16.697872,24.261904,26.03327,26.493275,32.81368],"EWU^FG_TOTAL_RETURNC(-10AY,0,AM)":[-4.9929323,4.115021,3.9999962,0.778389,-0.9925127,-1.9258499,-0.58910847,-7.753086,2.6766539,-2.5454104,-1.0911107,5.295098,-1.4143527,0.7970214,4.902482,-3.3165812,-1.1940539,-7.980716,-1.6880155,3.1971693,-1.4343083,-6.018096,-8.712572,4.4232845,4.705107,2.8481007,-1.8461525,2.7586222,-3.2215536,2.519381,-0.44108033,-3.7341774,-1.1176884,2.699256,2.2973418,2.7590632,1.5298247,-0.4612565,7.59964,-3.216976,2.9117346,-1.9451797,4.328215,0.7778764,-1.0005653,3.5960197,5.9074163,-5.765623,-1.3090491,4.5847774,2.6468158,-5.1011267,0.81136227,-2.6731849,0.85647106,-5.65154,-1.7070174,-7.009691,7.4253917,4.521966,3.461063,0.9856701,-3.2534838,0.81032515,-0.124418736,-6.4154506,5.0249577,1.8377662,0.8400798,5.235636,0.6264925,-3.0536592,-38.654434,17.996014,6.33713,4.41972,3.0900002,-0.6744087,-4.9038115,0.9520054,12.29862,2.207458,7.0637107,0.1617074,1.3561487,4.014027,3.5221934,-0.7472575,-2.2734165,1.4267921,-1.8042803,5.0140142,-2.135235,0.38648844,4.5285344,1.6913891,-2.6845694,1.1394382,-4.8917828,-4.9255967,-0.8013427,2.8273344,-8.968902,-2.2294104,10.812796,4.0901065,6.0194135,0.0915885,-3.842634,7.1677804,-1.3909459,-0.59682727,2.4315119,-5.1983175,1.5847802,-3.8689554,4.5115232,4.240179,-2.5906801,2.1589518,3.7672281],"EWJ^FMA_DIV_YLD(NTMA,-10AY,0,AM,\"PORTAGG\",\"MEANR\")":[2.2039348091621,2.16156136528031,2.25370759149053,2.05659569326344,2.08107772290316,2.05768534101458,2.00639305179748,2.24027130595851,1.94976065748657,1.97180319069752,2.02574668073336,1.90598148520216,1.82912940592292,1.82456605427912,1.84203319979619,1.91024143775999,1.88392881117792,2.02094644491183,2.18464258004541,2.09180412487313,2.00020851613267,2.10997602384589,2.50082519814487,2.51303717130127,2.40399901832262,2.3039729663343,2.38195148956895,2.43353667873692,2.34675202757047,2.42441926141922,2.34938660926341,2.34279797821504,2.22777000328764,2.08263920286649,2.12089435472609,2.12688089830695,2.14290943385693,2.27189414492703,2.20151078711361,2.16634763367838,2.15624643917012,2.22504172062491,2.15603654278611,2.09375033941542,2.08898404062881,2.04844354452505,1.98461803992112,2.18161949727555,2.26291198496611,2.23439025119991,2.18320465777464,2.27153061283342,2.2809295352768,2.37385946667564,2.23243756132627,2.38680580014321,2.53417681499449,2.7298021243985,2.64761940495709,2.56015716853852,2.55685460546419,2.56631366359215,2.66415819433833,2.69250642517286,2.66649243280881,2.78379445793552,2.57431772389208,2.56451459291695,2.48283982601247,2.42752864051104,2.42894601893344,2.50116735552417,3.27962460011387,2.90475776671597,2.72636197953538,2.47291306388242,2.46910020460175,2.41522801206409,2.35006542749454,2.37534195133478,2.24255205471908,2.15979391213097,2.08274963370009,2.03825299008744,2.01047366389626,2.15772262158759,2.18971909029155,2.23278620706711,2.26191584498899,2.32254465468936,2.16403706869489,2.23882107331528,2.21588403999355,2.33284571194024,2.41700525159677,2.47669564139631,2.55687211589411,2.548484228904,2.63915039763335,2.71236750938502,2.59327282989631,2.55168021102097,2.67550767723656,2.74311711952318,2.61643204927733,2.74728335825833,2.6890686216796,2.61085080889667,2.71046734849329,2.58164667355494,2.44911390696027,2.32017974496805,2.37720510382462,2.43995432545742,2.31646839618689,2.46579166163086,2.38448174451396,2.45734928522482,2.28015134835395,2.22803471921408,2.17765160146462],"EWC^FMA_PE(NTMA,-10AY,0,AM,\"PORTAGG\",\"MEANR\")":[15.142730584226,14.8610583722886,14.7958370573734,15.0107340269245,15.0494421024248,15.2035027332322,14.8817641624827,14.110632371532,14.9097226459368,15.2628642702012,15.8240608452155,17.3365517190018,17.1684376983059,17.4166411690044,16.8707254169838,16.0437327745369,15.5651786921012,14.5116568782717,14.9720770407803,14.9216280896026,14.648176634722,14.309183455482,13.4088362421767,14.7101050964884,16.1706186242843,16.5184654471665,16.4145969563589,16.4182641449829,16.5668060532661,16.4296771339149,16.1155116427577,16.1693333867502,16.0650263028126,15.9409349426102,16.1960048140973,16.4406070651119,15.611430855586,15.80233094217,15.527647307414,15.1664980724797,15.563501222778,15.3409202445755,15.6034188598134,15.7934789301647,15.8972278934237,15.9502669736091,15.7579108415669,14.6112047804169,14.4909557158653,14.1130331686968,14.3755570391332,14.3618308373369,14.2302386809933,13.9186461836889,13.7207618508399,12.8834181886489,12.6204426594422,11.777730421635,13.3283988257423,14.0807289582851,14.2491459839972,13.9994623415739,13.6739403782241,13.7760768323577,13.6822234938865,13.593326794141,14.1297211689308,13.7968562971873,14.3453538518953,14.520281912079,14.7192730199047,15.0150758140171,11.1242024992922,15.061838215567,18.1898764241669,17.8651327583764,17.6977299375974,17.3550290785924,16.2682845624977,15.9388267201642,16.0378679796625,15.9399397464648,16.007824936489,16.0705557968304,15.4931404986196,15.4729426646621,15.3447925811567,15.6368164439859,15.1501678342507,14.8412872254299,14.4911888302253,15.1092298319548,14.8603055652879,14.255640796583,13.8455440890379,13.8683930521253,13.8791501747682,13.2610690901605,12.2071691124817,11.4230275376361,11.2144317046449,11.8454227031972,11.1932254234344,11.1460467915049,11.9086874598236,12.0209773702305,12.8610111435154,12.722569129652,12.4059099127457,13.1619051334682,13.0151491456949,12.735765828151,13.4866112497064,12.8577441367597,12.7633210796526,12.2620214853663,12.7985379369824,13.5377694793038,13.6873100231909,14.0019598951687,14.4897833466545],"ENZL^FMA_PE(LTMA,-10AY,0,AM,\"PORTAGG\",\"MEANR\")":[17.9758814406622,17.9096737286589,17.9291592294231,17.9115933867413,17.9734937919931,18.0187840631252,17.7643404554934,17.9543915127188,18.7784100435702,19.0401387534111,19.6358171416005,20.0512324528168,20.3814970750879,20.1191136909312,19.9880130205619,19.7701370291584,19.8234680996059,19.4082032376429,19.0865467613311,19.3716503642136,19.4093229720054,19.444412983199,18.9626991919436,19.1966001449046,19.3148523171507,19.5061512998379,19.6402543032251,19.5807269293807,20.2988047790329,20.7649033638206,20.8721981663312,20.1075417451936,19.9818392261576,19.702803231501,20.3900594570109,20.4459973369214,19.7383306990798,19.7761968054248,19.9465763491337,20.0774869174673,20.3497145820659,20.8030298624,20.4592011847642,20.9994577739483,21.3692053780474,22.2720253602381,21.9826483306366,22.1159037325648,22.6153684569491,22.2814646387766,22.3702083123956,22.8496050469872,22.8732272957404,23.2844370576566,23.735286351707,22.6265312751349,22.368635629301,22.6722839931872,23.6043249880053,24.0053792125613,24.0058836123839,24.1795180117208,24.4154125816931,24.4243909922375,25.1037819125587,25.2001330363253,28.4746245731505,29.1537269170053,29.7175478920984,32.2339311757562,33.0206881403687,33.7103273173697,30.1728660730865,31.3367505330836,32.5167260195454,32.2948434442741,33.8874068177976,34.2154906196155,32.8564691541269,35.2728982419804,35.2428411043767,36.4369372049474,37.5809811414574,34.8078209217878,34.4875892306759,34.373854122701,34.8851875421853,35.6379978879953,36.5726684019017,37.5139293460788,38.7663357287293,38.945649959812,38.5867778632292,38.9687337147475,37.1133216831069,36.1299188194238,35.1031642135905,34.5500746426601,34.0089505924656,32.8543676652045,33.1341879156177,34.1480091695522,33.1470346465987,30.7643675200782,30.522483942815,29.16292757557,30.0399540023687,29.2013094822435,28.9230531276996,28.5473427436474,28.2093889550712,26.1793474755765,25.5269573344851,24.3440782146453,23.8494202857271,22.756372275695,22.2098297881143,23.9093806842857,23.0573169123882,22.6861068490424,23.8320441922562],"WL-FDS^FG_PRICE_MAVG(0,,,,30)":625.6433,"NI-FDS^FG_PRICE_MAVG(0,,,,30)":17075.834,"CPALM-FDS^FG_PRICE_MAVG(0,,,,30)":4089.4,"BRENT-FDS^FG_PRICE_MAVG(0,,,,30)":85.86,"TIOS-FDS^FG_PRICE_MAVG(0,,,,30)":120.50733,"EWN^FG_PRICE_MAVG(0,,,,30)":47.9445,"EWU^FG_PRICE_MAVG(0,,,,30)":32.949665,"EWC^FG_PRICE_MAVG(0,,,,30)":37.074333,"FXI^FMA_PCT_ABOVE_MAVG(200,0,,,,\"PORTAGG\")":47.0588235294118,"EWJ^PERCENT_CHANGE(FMA_EPS(+1,0,,,,\"PORTAGG\",\"MEAN\"),FMA_EPS(+1,-3AM,,,,\"PORTAGG\",\"MEAN\"))":-2.636335944446,"VWO^FG_TOTAL_RETURNC(0,-3AM)":3.7593007,"EWI^P_PRICE(0)/P_PRICE_HIGH_PR(0,,,USD,,,\"PRICE\",\"INTRA\",\"52W\")":0.9878724,"EWJ^FMA_ROE(NTMA,-20AY,NOW,FY,\"PORTAGG\",\"MEANR\")":[9.47226395470966,9.71080928595139,9.94594902069009,9.91062584648368,6.32645011325218,5.71374560341251,7.77608846456594,7.29309511734397,7.60463906390222,8.908847583029,9.08038865449702,8.77889818317635,8.62096827520989,9.23986519100434,9.49570678525962,8.35596284306888,7.43859940178972,9.22076576077531,9.22544562724396,9.29901050449311],"TRYQA10Y-FDS^FG_YIELD(-10AY,0,Y,,\"YTM\")":[null,2.7255995,3.5394266,null,null,null,null,null,null,null],"TRYCH10Y-FDS^FG_YIELD(-10AY,0,Y,,\"YTM\")":[0.314,null,-0.12,-0.09,-0.176,-0.434,-0.49,-0.111,1.617,0.703],"EWU^FG_COMPANY_NAME":"iShares MSCI United Kingdom ETF","EWG^FMA_ROE(NTMA,-20AY,NOW,FY,\"PORTAGG\",\"MEANR\")":[11.8275550599933,12.5810872006639,13.372977849048,14.712722857709,11.5210886767193,11.0094337648339,13.0475804034897,12.3546044213534,12.1037876491794,12.1465108243325,11.8873581616615,12.0284649417774,11.8967042128795,12.2469207943648,11.6510152415578,10.4475672102116,9.71407742399289,12.1999545354885,11.8188093455252,11.9408562756701],"TRYUS10Y-FDS^FG_YIELD(-10AY,0,Y,,\"YTM\")":[2.1881,2.2961,2.4752,2.4325,2.6836,1.9185,0.9174,1.5119,3.8776,3.8791],"TRYEU10Y-FDS^FG_YIELD(-10AY,0,Y,,\"YTM\")":[0.5475,0.636,0.2082,0.4294,0.239,-0.189,-0.575,-0.181,2.533,2.004],"CAGDPY@SE^EE_ACTUAL_ANNUAL(MED,+1)":5.4,"CAGDPY@DE^EE_ACTUAL_ANNUAL(MED,+1)":6.55,"CC_NZ^FG_COMPANY_NAME":"New Zealand","USDSEK^FG_COMPANY_NAME":"Swedish Krona per U.S. Dollar","USDCHF^FG_COMPANY_NAME":"Swiss Franc per U.S. Dollar","USDEUR^FG_COMPANY_NAME":"Euro per U.S. Dollar","USDAUD^FG_COMPANY_NAME":"Australian Dollar per U.S. Dollar","EWL^FMA_EPS(NTMA,-20AY,0,CY,,\"PORTAGG\",\"MEANR\")":[1.15167978614637,1.184604896687,1.51903625271091,1.83335061944152,1.66417500457453,1.62932904763549,1.96787353815353,1.86668659044302,1.99956682614325,2.16083764016243,2.02137608124255,1.83898355626911,1.75546716180555,2.01138269666406,2.17519879472254,2.28084252382762,2.36864078670768,2.66234515884581,2.58388720632297,2.86429657456778],"EWG^P_PRICE_RETURNS_PR('52W',2,-10AY,0,AM)":[24.792397,32.859673,20.923471,29.050945,17.961157,11.438417,5.721736,-6.988364,-3.9726138,-7.065749,-10.003739,-4.4296503,1.3474584,-1.9203246,-0.8678436,-8.32678,-2.8705478,-8.6908455,-10.636359,1.3121963,-1.2427032,-3.9672852,-13.314814,-16.479038,-14.200634,-9.224338,-15.576249,-9.638691,-12.106646,-0.016909838,4.713309,0.52375793,-4.5868278,2.5431752,19.1283,19.149542,13.3059025,8.881235,26.38731,24.021685,26.130867,17.264557,25.351906,28.28412,34.672367,28.951454,32.80597,20.416248,17.524683,18.86629,9.401405,1.933825,1.8783212,1.2609482,-2.2801518,-12.9063015,-16.562689,-22.965305,-21.56551,-15.671563,-13.208092,-12.290746,-13.562703,-5.9959707,-9.1191,-10.937577,-8.622617,4.585922,10.508442,19.456459,14.789354,11.0896,-32.28537,-20.274347,-11.29108,-1.7128527,8.821082,14.0456915,7.845974,3.859508,5.3857803,9.6141815,12.128878,13.37986,87.38181,61.065613,50.69879,34.43272,19.980228,19.722927,19.096601,18.57065,15.45149,4.7300816,0.78982115,-1.7961204,-12.233866,-18.759787,-24.760033,-28.801352,-30.039412,-30.727577,-35.099125,-34.304703,-24.081553,-19.811016,-12.26018,-8.508128,-0.35440326,9.171009,16.519238,22.038305,29.870165,23.345434,30.954218,24.89332,16.23727,21.80065,7.9056263,10.286844,17.072117],"EWA^FG_TOTAL_RETURNC(-10AY,0,AM)":[-0.5997598,6.3555956,-0.9455383,1.5272975,1.620388,1.6153216,-7.208866,-1.9521892,-1.4628232,-5.7343187,0.40650368,5.802977,1.7431974,-3.1759322,-1.0358214,-2.573049,-2.6656806,-11.35186,-1.9659877,3.7398338,1.0971785,-3.1040132,-7.346493,4.260361,11.91827,3.0933142,-4.3285728,1.4395833,4.5534134,2.310717,-1.7779887,1.4187813,-2.5566757,2.5722504,5.5004954,4.8849225,-0.4926145,0.49505234,-2.8660953,-0.29852986,5.8128476,0.89325905,-0.17707348,2.4833798,-1.2548745,2.6419044,3.4995556,-3.3812284,-0.5249381,-2.5065958,3.6986947,-0.79363585,2.101028,-0.13135076,-2.2358596,-6.2331796,-1.4347196,-7.126224,11.665762,2.283764,2.5178194,1.5755296,0.684309,2.9675484,2.1553636,-5.890113,4.530585,0.580883,-0.4442513,2.9095411,3.1844258,-2.5289357,-41.160946,15.844547,12.064516,11.122429,7.6761246,0.5859375,-4.6116533,4.580152,10.948908,5.2717924,5.2941203,0.91780424,-2.4120212,5.713129,0.8049011,1.6251206,-2.3141146,-1.6310692,-1.0264516,5.2253723,-3.980285,-0.7048309,-3.4081578,2.3037553,7.1309447,2.2966146,-8.523589,-8.492273,2.0647645,3.90805,-8.097344,-1.7814219,10.343146,1.3643742,8.839285,-3.773588,-5.1150856,4.4474363,-1.0752678,2.820456,-0.30159354,-7.044077,-0.7438421,-3.3723712,8.240425,10.515857,-3.7220836,1.5034318,3.3432126],"ENZL^JULIAN(FMA_DIV_YLD(NTMA,-10AY,0,AM,\"PORTAGG\",\"MEANR\").DATES)":[41719,41750,41780,41810,41841,41872,41901,41933,41964,41992,42025,42055,42083,42115,42145,42174,42206,42237,42268,42298,42328,42359,42390,42419,42450,42481,42510,42542,42572,42601,42634,42664,42695,42725,42755,42787,42815,42846,42874,42907,42937,42968,42999,43028,43060,43090,43119,43152,43180,43210,43241,43272,43301,43333,43364,43392,43425,43455,43483,43517,43545,43573,43606,43637,43665,43698,43728,43759,43790,43819,43851,43882,43910,43942,43972,44001,44033,44064,44095,44125,44155,44186,44217,44246,44274,44307,44337,44368,44398,44428,44460,44490,44519,44551,44582,44610,44641,44672,44701,44733,44763,44792,44825,44855,44886,44916,44946,44978,45006,45037,45065,45098,45128,45159,45190,45219,45251,45281,45310,45343,45369],"EWD^FMA_PE(LTMA,-10AY,0,AM,\"PORTAGG\",\"MEANR\")":[15.2636183553548,15.33183880883,15.6324411231574,15.7422649807883,15.9163710565956,15.7894817365026,16.1584603709867,15.5601518620424,17.0656471777609,17.458647634163,17.9468374409553,20.0300247453008,20.1541613897879,19.6588670992821,19.1387207170293,18.6851392235876,18.7767844396582,17.5910735265738,16.9461517626988,16.7632015325046,16.9690806421044,15.8752093952793,14.3930110921454,15.0976474193208,15.5858929873592,15.7952214492407,15.4642334667032,15.4895788398115,15.7420228041227,15.9355214557497,16.1581717906076,17.5740847085732,17.2980097256461,18.3003373635682,18.2382630390698,17.6750405511339,17.4692359593794,17.5565902599816,18.0467414720574,17.6561664381281,17.4393044093537,16.7080750515459,17.3958557870082,18.4201226155528,18.2942268985044,18.3014928224342,18.3237893276404,16.9307670463934,16.8861642706577,16.8426226470787,16.9040433261049,16.4412941015485,16.4682453393492,16.6686592074019,16.9310801892151,15.4162400529065,14.6834969409005,13.8185949019786,15.2243604995117,18.2147278130586,18.0138156130317,17.8697906665663,17.4687568770487,17.2442813575206,17.0084938477929,15.8699528612329,16.327404102116,16.8643029170995,15.8799108752647,16.4651887729488,16.8987635208375,14.333014473699,12.4327821827058,13.9402823888944,15.2043098891751,16.6367623460504,17.9735074864069,16.9021746592891,17.5425650254683,15.8029709175833,16.6550045642936,16.827979761343,18.4147949725186,17.7592371988911,17.9672481679189,18.0585277919899,17.561998180992,17.9231673028957,17.7477559556272,17.4164921255272,17.0265187091141,17.2747131403998,16.7404288938488,16.2136423308441,12.31935152245,11.8513886681742,12.0437193966499,12.3650759048654,13.3246919681464,13.2563379392576,14.237701619452,14.8790005710732,14.4479143468901,15.0415437833427,14.0429412135388,15.5034841677261,22.8149801043692,25.8416421115906,24.7561510480215,23.6412464928326,22.5824402508196,21.1783923366013,19.8380210724866,18.0547692468249,17.0946530609255,16.2716548369053,15.7297446555734,18.0294302877725,14.5586857918696,15.6491311439694,16.0200264808988],"DDR3512M-FDS^FG_PRICE_CHANGE(0,-6AM)":-3.56525852700712,"PASP-FDS^FG_PRICE_CHANGE(0,-6AM)":-16.3346613545817,"PLATI-FDS^FG_PRICE_CHANGE(0,-6AM)":0.216684723726979,"W-FDS^FG_PRICE_CHANGE(0,-6AM)":-5.03690838037343,"COPP-FDS^FG_PRICE_CHANGE(0,-6AM)":10.36410745943,"FC0000JP^FG_PRICE(0)":182.7026,"FC0000NZ^FG_PRICE(0)":388.07468,"EWQ^FG_PRICE(0)":41.36,"EWL^FG_PRICE(0)":47.57,"EWA^FG_PRICE(0)":24.42,"EWL^FG_COMPANY_NAME":"iShares MSCI Switzerland ETF","EWC^FG_COMPANY_NAME":"iShares MSCI Canada ETF","SPY^FG_TOTAL_RETURNC(0,-3AM)":10.8173485,"URTH^P_PRICE(0)/P_PRICE_HIGH_PR(0,,,USD,,,\"PRICE\",\"INTRA\",\"52W\")":0.99703646,"VGK^FG_TOTAL_RETURNC(0,-12AM)":17.48153,"EWI^PERCENT_CHANGE(FMA_EPS(+1,0,,,,\"PORTAGG\",\"MEAN\"),FMA_EPS(+1,-1AM,,,,\"PORTAGG\",\"MEAN\"))":-0.666917606747126,"EWN^FG_TOTAL_RETURNC(0,-1AM)":5.1118135,"SPY^FG_TOTAL_RETURNC(0,-6AM)":21.922398,"CAGDPY@SE^EE_ACTUAL_ANNUAL(MED,0)":6.76905401199225,"USDITL^FG_PRICE_CHANGE(0,-6AM)":-1.8506646,"EWG^FMA_EPS(NTMA,-20AY,0,CY,,\"PORTAGG\",\"MEANR\")":[1.52066411043583,1.60643474084628,2.11909900762238,2.80661608339197,1.99715132688841,1.74300870329695,2.17390808983831,2.1750966873774,2.27358500860511,2.40616014173578,2.13415894814862,1.96165601541568,1.94158660997406,2.40362877806351,2.32116072306873,2.08815829612982,1.97990608176048,2.44949512523756,2.36388795150729,2.65680492825543],"EWG^FMA_DIV_YLD(NTMA,-10AY,0,AM,\"PORTAGG\",\"MEANR\")":[3.00971628627993,3.03311837613261,3.01733069319183,2.96454587281453,3.12359602967975,3.19029341422634,3.08001519858691,3.40930980785112,3.19844048766093,3.19162642216306,3.05036127207835,2.85378396382259,2.65367516152077,2.71364944070221,2.80980224784254,3.05823509895378,2.93344194229885,3.36551240069974,3.43465820646208,3.27581683262012,2.91499867379185,3.10651219134688,3.42218524084641,3.4989740995772,3.30308020346352,3.16077514552406,3.36980413571922,3.37887271018241,3.32124874355541,3.1928354679625,3.22119608865088,3.12450638729058,3.17607797213775,2.97131312132727,2.94446012997618,2.91068368804726,2.97711435148665,2.96816310433191,2.91924626506604,2.92169031485676,3.05916421411205,3.14423775441522,3.03869425073586,2.95878795340199,2.916425041143,2.90591392230007,2.85853629926864,3.11699475663325,3.17909285505001,3.16194205188653,3.09336647648248,3.21112652891011,3.21469904851205,3.25458880692002,3.26177569699965,3.52386947787037,3.67794971732853,3.93256124433979,3.71411516331461,3.64012989208186,3.58668044059172,3.41653387691734,3.53477878900838,3.50370111573568,3.48034163004347,3.56548626398865,3.38385910478751,3.30315259272756,3.13568087419414,3.07755210911519,3.03088778757758,3.02421537096313,4.47054442525038,3.60065303506426,3.27451614267081,2.89837406593892,2.75634680370327,2.84012057270534,2.93741315436828,2.88795342886815,2.8356481851433,2.79977349382005,2.70834760935453,2.76116177415257,2.75731678758832,2.73657419692244,2.83719830166729,2.79782261513321,2.86226395550197,2.85454705579277,2.95214751342653,2.97418039893329,2.9463110060641,3.10593664570473,3.13288220952942,3.30040582976468,3.53089008400159,3.53678203174298,3.86275421533179,4.05583998123821,4.06952761207799,3.99778891557546,4.2439222578285,4.26529371269561,3.76892602655998,3.81230241348136,3.54298281110256,3.48461004043875,3.61990933707746,3.49926135273734,3.53780728032168,3.64656740326302,3.64827712421277,3.77304102523691,3.78822966022038,4.03148243397898,3.72237374387117,3.56039820816068,3.63019722446392,3.48537636786588,3.32269006475039],"DDR3512M-FDS^FG_PRICE(0)/MAX(FG_PRICE(0,-1AY))":0.8320041581166,"EWG^FMA_COS_DOWN(\"EPS\",\"1M\",+1,0,,,\"PORTAGG\",\"MEANR\")":30.0,"EWC^FG_ROE(0)":11.3637914699464,"EWC^FMA_DIV_YLD(NTMA,-10AY,0,AM,\"PORTAGG\",\"MEANR\")":[2.89329031924197,2.90313069711251,2.87860813914719,2.81119747993823,2.77807257253838,2.75715185862479,2.81143194972171,2.98332590064125,2.87888648043595,2.97428426112846,2.96994760813548,2.86390363306494,2.90768727616785,2.81860664123329,2.85893725263589,2.97968644706434,3.0641298143678,3.25355455455391,3.18935167639617,3.2192484244691,3.28748210384774,3.38117294741374,3.62082871471198,3.3429085781001,3.12920790900494,3.063029131062,3.07070166577869,3.07382890364896,2.98035726737766,2.95665938409226,2.95544935725938,2.90080158040592,2.87312207966262,2.82943346170352,2.80350269420408,2.76687841777092,2.95751635021444,2.92231146116829,2.97660355379911,3.04832029829762,3.03561985105312,3.09232647130774,3.01932755028056,2.93913009201442,2.91526346347189,2.90421382328482,2.89285050495279,3.09990201164095,3.11822859871235,3.17794500396807,3.05265621687284,3.05865594539802,3.05632864282144,3.10365331690814,3.13926180769074,3.32942614208271,3.40999186901561,3.70157031016241,3.36494241515796,3.27040392137426,3.24950418237797,3.17814092642641,3.29515129874217,3.28923260671153,3.31823581461239,3.40672860790911,3.28188572321895,3.37001979338294,3.2551879311935,3.24139759415469,3.21773413171812,3.22713273879212,4.89917333967054,4.1229929462512,3.72274528941023,3.55341360986413,3.41394724895134,3.35904695247012,3.49210858454702,3.44372262437514,3.24125411531742,3.12330847464071,3.0401058571727,2.93209410496052,2.83845227424866,2.76875612774601,2.70872274218075,2.63492196413998,2.72532935494381,2.71525300149044,2.8096283932789,2.67634040209571,2.70635987184465,2.82059776117104,2.88375281317636,2.87182801541012,2.77761060359525,2.8616698541139,3.18256506055682,3.35534307458791,3.41055381237496,3.31236108684705,3.49192708148608,3.54971471143137,3.3486648561296,3.43733727240596,3.32466136199933,3.37920691452131,3.43350500541987,3.23025316872027,3.27173214451844,3.33986553165294,3.16342006731628,3.58530045111483,3.58693889346848,3.72680141001953,3.50276436317751,3.39176686726542,3.36154102400172,3.29395563203176,3.1461035250888],"PLATI-FDS^FG_PRICE_CHANGE(0,-1AY)":-7.96019900497512,"COPP-FDS^FG_PRICE_CHANGE(0,-1AY)":0.696777404504156,"EWL^FG_PRICE_MAVG(0,,,,30)":47.323,"VWO^PERCENT_CHANGE(FMA_EPS(+1,0,,,,\"PORTAGG\",\"MEAN\"),FMA_EPS(+1,-1AM,,,,\"PORTAGG\",\"MEAN\"))":-12.916703594352,"EWN^P_PRICE(0)/P_PRICE_LOW_PR(0,,,USD,,,\"PRICE\",\"INTRA\",\"52W\")-1":0.35987866,"SPY^PERCENT_CHANGE(FMA_EPS(+1,0,,,,\"PORTAGG\",\"MEAN\"),FMA_EPS(+1,-1AM,,,,\"PORTAGG\",\"MEAN\"))":-0.101446060268754,"EWL^PERCENT_CHANGE(FMA_EPS(+1,0,,,,\"PORTAGG\",\"MEAN\"),FMA_EPS(+1,-1AM,,,,\"PORTAGG\",\"MEAN\"))":-0.733377479050374,"EWC^P_PRICE(0)/P_PRICE_LOW_PR(0,,,USD,,,\"PRICE\",\"INTRA\",\"52W\")-1":0.21617317,"FXI^SIZE(FG_CONSTITUENTS)":51,"EWD^SIZE(FG_CONSTITUENTS)":44,"EWG^FMA_COS_UP(\"EPS\",\"1M\",+1,0,,,\"PORTAGG\",\"MEANR\")":22.0,"REFFFUND-FDS^FG_YIELD(NOW,,,0)":5.5,"TRYIT10Y-FDS^PCTCHG(FG_YIELD(0,,,,\"YTM\"),FG_YIELD(-3AM,,,,\"YTM\"))":2.4505658,"CC_AU^IMF_IFS_RCPI_Q(0)":4.051988,"EWI^FMA_PE(NTMA,0,,,\"PORTAGG\",\"MEANR\")":9.73164023124763,"EWU^JULIAN(FMA_DIV_YLD(NTMA,NOW,NOW,M,\"PORTAGG\",\"MEANR\").DATES)":45351,"EWG^FMA_PE(LTM,0,,,\"PORTAGG\",\"MEANR\")":12.7770271915083,"TRYCA10Y-FDS^PCTCHG(FG_YIELD(0,,,,\"YTM\"),FG_YIELD(-1AM,,,,\"YTM\"))":-0.9587705,"SPY^FMA_EVAL_EBIT(LTMA,NOW,NOW,M,\"PORTAGG\",\"MEANR\")":20.793622257573,"SPY^P_PRICE(0)/P_PRICE_HIGH_PR(0,,,USD,,,\"PRICE\",\"INTRA\",\"52W\")":0.9963558,"EWC^FG_TOTAL_RETURNC(0,-3AM)":5.6415915,"EWC^SIZE(FG_CONSTITUENTS)":88,"TRYIT10Y-FDS^PCTCHG(FG_YIELD(0,,,,\"YTM\"),FG_YIELD(-1AM,,,,\"YTM\"))":-5.9079328,"TRYDE10Y-FDS^FG_YIELD(0,,,,\"YTM\")":2.416,"CC_NZ^IMF_IFS_RCPI_Q(0)":4.655029,"EWI^JULIAN(FMA_DIV_YLD(NTMA,NOW,NOW,M,\"PORTAGG\",\"MEANR\").DATES)":45351,"SPY^FMA_EVAL_EBITDA(NTMA,0,,,\"PORTAGG\",\"MEANR\")":14.2861351858689,"EWL^FMA_EVAL_EBIT(LTMA,NOW,NOW,M,\"PORTAGG\",\"MEANR\")":16.6730710815139,"TRYAU10Y-FDS^PCTCHG(FG_YIELD(0,,,,\"YTM\"),FG_YIELD(-1AM,,,,\"YTM\"))":-1.9650079,"EWA^JULIAN(FMA_ROE(NTMA,-20AY,NOW,FY,\"PORTAGG\",\"MEANR\").DATES)":[38352,38716,39080,39447,39813,40178,40543,40907,41274,41639,42004,42369,42734,43098,43465,43830,44196,44561,44925,45289],"CAGDPY@NL^EE_ACTUAL_ANNUAL(MED,+1)":9.0,"USDSEK^FG_PRICE_CHANGE(0,-3AM)":3.478384,"USDCAD^STD(FG_PRICE_CHANGE(0,-3AY,M))":1.88393951090363,"EWC^FMA_EPS(NTMA,-20AY,0,CY,,\"PORTAGG\",\"MEANR\")":[1.20309203563583,1.51116357259943,1.75142389864603,2.13167450038286,1.71974218387406,1.79551827424964,2.09754276006241,2.2894893869441,2.21761530023934,2.02017545762442,1.86130476812284,1.52246252495242,1.66157074539786,1.86172454535832,1.97740509819126,2.07393921799229,1.95784087398727,2.66448337817763,2.74920456102042,2.68263358415049],"DDR3512M-FDS^FG_PRICE_CHANGE(0,-1AY)":-16.79958418834,"EWN^P_PRICE(0)/P_PRICE_HIGH_PR(0,,,USD,,,\"PRICE\",\"INTRA\",\"52W\")":0.9873949,"SPY^FMA_PCT_ABOVE_MAVG(200,0,,,,\"PORTAGG\")":79.1252485089463,"EWC^P_PRICE(0)/P_PRICE_HIGH_PR(0,,,USD,,,\"PRICE\",\"INTRA\",\"52W\")":0.99323976,"EWA^FG_ROE(0)":12.894826753035,"REFFFUND-FDS^PROPER_NAME(0,,,\"SECURITY\",\"NAME\")":"US Federal Funds Target Rate","EWI^FMA_PE(LTM,0,,,\"PORTAGG\",\"MEANR\")":10.8395535632734,"EWG^JULIAN(FMA_DIV_YLD(NTMA,NOW,NOW,M,\"PORTAGG\",\"MEANR\").DATES)":45351,"USO^P_PRICE(0)/P_PRICE_HIGH_PR(0,,,USD,,,\"PRICE\",\"INTRA\",\"52W\")":0.9223196,"EWD^FMA_COS_DOWN(\"EPS\",\"1M\",+1,0,,,\"PORTAGG\",\"MEANR\")":14.0,"ENZL^FG_ROE(0)":5.55285269385473,"TRYAU10Y-FDS^PCTCHG(FG_YIELD(0,,,,\"YTM\"),FG_YIELD(-3AM,,,,\"YTM\"))":1.8168231,"TRYPH10Y-FDS^FG_YIELD(-10AY,0,Y,,\"YTM\")":[3.8633,4.1,4.6281,5.6986,7.1730304,4.847582,3.4208684,4.796723,6.9293385,6.0028777],"USDSEK^FG_PRICE_CHANGE(0,-1AM)":0.77973604,"EWA^FMA_DIV_YLD(NTMA,-10AY,0,AM,\"PORTAGG\",\"MEANR\")":[4.90235752992007,4.77312567452035,4.83367520609209,4.84150427480854,4.71964754840497,4.67209708678489,4.9053239947119,5.01102946748131,5.06095179277994,5.03889726230921,4.99556973033838,4.61014099572624,4.52666079882994,4.60992759053469,4.7999728896284,4.84456711366352,4.78568613097617,5.26320564885613,5.42904275644225,5.21382501664238,5.19537772535675,5.31689545169299,5.35147314384404,5.10804248493358,4.73070605151964,4.63643750181721,4.58241801264873,4.64394461983854,4.45656344404904,4.44739351973754,4.61841005869796,4.5518764372082,4.63780758012875,4.55967041523736,4.53116025197695,4.49200623589042,4.56958160692555,4.53088184771634,4.6499430988821,4.71023573682541,4.58680000059446,4.5683663469799,4.63136904437332,4.48119487303092,4.48889276299518,4.46770218521839,4.53071806952728,4.64090995537948,4.69058545528695,4.79620307397167,4.62973655716039,4.61511494628832,4.56786422787026,4.59813769474829,4.73591209126864,4.97791348122911,5.30880524892307,5.52005221606656,5.08322022534321,4.95236521705367,4.95890141355482,4.90718907492549,4.71613457700103,4.60024006920032,4.56579935344288,4.69040763266036,4.43186392512945,4.42962122276312,4.39364617199346,4.2428234663907,4.13622291090971,4.05158117649965,5.82365503740817,4.44418790623332,3.72989091403087,3.43722112449029,3.35540221421782,3.37951815223671,3.6630647290272,3.57124192534631,3.47169772803671,3.53695164165947,3.50137256799601,3.84654470818352,3.9639607569013,3.91833984229459,3.94210798406471,3.95507700020333,4.22723990377051,4.12855335985804,4.1429280469439,3.937438962787,4.01240771743786,3.9357299689691,4.05003811765821,4.30660238195959,4.2582308309597,4.27382313533162,4.68055501534659,5.27110311590665,4.99620126736624,4.68460689736722,5.04361467201897,5.14764239873597,4.66598646948052,4.52485523931848,4.28360773887664,4.37839445310854,4.7080918755592,4.40478897854091,4.41583578857412,4.24703892051032,4.15809327747862,4.33518885762488,4.29266856384188,4.44436672559962,4.31392443644007,4.02645088005137,4.09492180799788,4.01304756724311,4.00597579184285],"VWO^FMA_PCT_ABOVE_MAVG(200,0,,,,\"PORTAGG\")":32.7100747910251,"QQQ^P_PRICE(0)/P_PRICE_HIGH_PR(0,,,USD,,,\"PRICE\",\"INTRA\",\"52W\")":0.99227756,"EWL^FMA_PCT_ABOVE_MAVG(200,0,,,,\"PORTAGG\")":62.2222222222222,"FXI^FMA_COS_DOWN(\"EPS\",\"1M\",+1,0,,,\"PORTAGG\",\"MEANR\")":19.0,"ENZL^FG_COMPANY_NAME":"iShares MSCI New Zealand ETF","REFGBBANK-FDS^FG_YIELD(NOW,,,0)":5.25,"EWC^FMA_EVAL_EBIT(LTMA,NOW,NOW,M,\"PORTAGG\",\"MEANR\")":16.3678486891031,"EWG^FG_COMPANY_NAME":"iShares MSCI Germany ETF","USO^FG_TOTAL_RETURNC(0,-6AM)":-4.4646263,"EWJ^FG_PRICE_MAVG(0,,,,200)":63.19505,"EWJ^FG_COMPANY_NAME":"iShares MSCI Japan ETF","SPY^FG_TOTAL_RETURNC(0,-1AM)":5.354607,"EWN^FG_TOTAL_RETURNC(0,-6AM)":29.417824,"QQQ^FG_TOTAL_RETURNC(0,-6AM)":25.070023,"EWC^FG_TOTAL_RETURNC(0,-1AM)":4.6862125,"EWD^FMA_COS_UP(\"EPS\",\"1M\",+1,0,,,\"PORTAGG\",\"MEANR\")":9.0,"EWD^FMA_EVAL_EBIT(LTMA,NOW,NOW,M,\"PORTAGG\",\"MEANR\")":15.891919424764,"EWC^FMA_EVAL_EBITDA(NTMA,0,,,\"PORTAGG\",\"MEANR\")":9.96897962727802,"EWU^P_PRICE(0)/P_PRICE_HIGH_PR(0,,,USD,,,\"PRICE\",\"INTRA\",\"52W\")":0.99515355,"TRYCN10Y-FDS^FG_YIELD(-10AY,0,Y,,\"YTM\")":[3.653331,2.901145,3.070911,3.93859,3.259862,3.197311,3.1948,2.7893,2.855,2.574],"CAGDPY@NL^EE_ACTUAL_ANNUAL(MED,0)":9.1,"USDCAD^STD(FG_PRICE_CHANGE(0,-1AY,AM))":1.56034228858647,"QQQ^P_PRICE_RETURNS_PR('52W',2,-10AY,0,AM)":[33.09697,29.561579,21.516396,33.045624,30.682755,33.148838,27.99865,19.394815,26.168215,23.690414,17.112518,22.231102,21.817505,25.817299,25.852907,19.865501,19.9291,4.6496034,6.8445683,12.194788,11.621881,7.539487,-0.25365353,-4.662567,0.40092468,3.5131454,-2.1627903,-1.0710359,0.48030615,7.675624,13.06554,11.1306305,4.7187924,9.685457,23.69913,29.791714,21.667349,21.033455,32.2361,32.273853,28.643942,21.531296,23.493444,27.601814,32.493782,31.983448,36.491657,27.49989,29.705727,23.471487,23.23264,25.857723,25.156902,28.904497,27.918743,17.558193,3.924942,-5.809766,0.50828457,5.0159574,10.328711,13.568056,8.915817,8.022345,7.6281667,5.5033445,4.1981697,12.779486,26.903963,40.269245,36.228214,35.27831,-4.432374,10.272657,26.945328,31.647682,39.325058,50.632786,41.537964,48.050953,44.72028,47.275149999999996,47.20906,40.67923,77.51554,66.629684,43.77197,42.035877,37.731255,32.110012,37.60573,33.463036,38.912212,26.59812,8.28104,3.214395,12.474918,-1.0399938,-11.786586,-17.92317,-14.513302,-10.8002,-22.076029,-26.54382,-29.790766,-29.226154,-21.277052,-13.270462,-10.673279,-4.52404,17.095543,29.673588,23.077179,13.516939,27.061808,32.66481,38.747322,50.069237,54.12755,45.747875,44.627773],"PLATI-FDS^FG_PRICE_CHANGE(0,-3AM)":-3.9460020768432,"COPP-FDS^FG_PRICE_CHANGE(0,-3AM)":3.53076627862352,"EWI^FG_PRICE_MAVG(0,,,,200)":32.55335,"DBA^FG_TOTAL_RETURNC(0,-1AM)":7.990968,"CAGDPY@CA^EE_ACTUAL_ANNUAL(MED,+1)":-0.7,"EWG^P_PRICE(0)/P_PRICE_LOW_PR(0,,,USD,,,\"PRICE\",\"INTRA\",\"52W\")-1":0.26735473,"USDSEK^FG_PRICE_CHANGE(0,-1AY)":1.1206388,"EWU^P_PRICE_RETURNS_PR('52W',2,-10AY,0,AM)":[14.3556595,19.855618,15.471209,25.829947,16.84581,14.838982,7.4839473,-1.9281566,-0.4356444,-2.4322093,-7.8957853,-3.7953615,-0.3199458,-3.3530653,-2.514404,-6.518042,-6.665957,-12.428183,-13.396215,-3.1158447,-6.360203,-10.309023,-17.220188,-17.386263,-12.809772,-11.035567,-15.913791,-11.5283375,-13.343769,-7.494026,-2.231121,-8.797873,-8.504904,-0.01822114,13.619065,10.254669,6.911099,3.470993,13.928485,6.832421,13.602865,8.655632,13.860714,19.040918,19.338644,20.380688,24.749004,14.289963,11.094308,16.61805,11.35323,9.185421,6.611371,6.1629057,2.6301146,-3.8349986,-4.6031,-14.369422,-13.025451,-3.6597729,0.9967208,-3.1199574,-8.084572,-2.3589551,-2.4239063,-6.984818,-3.225422,4.548216,7.257402,20.379007,13.699282,5.458498,-37.58195,-26.937353,-19.69455,-16.585796,-14.142191,-8.875155,-17.489857,-18.207502,-8.997589,-11.534375,-5.875105,-3.2562613,56.38485,41.633595,37.884308,31.06141,24.242735,25.59191,31.00624,36.277546,18.678606,16.64574,13.883662,15.511012,11.013424,7.9454064,-1.2080669,-5.003029,-3.5720646,-1.7900467,-9.373349,-15.624392,-4.4610558,-0.9362638,-1.0501444,-1.104027,-2.2809029,3.5435677,8.436573,12.242818,15.900755,6.854737,19.242931,19.038296,10.57638,10.735798,1.9605398,3.844154,12.062347],"ENZL^FMA_DIV_YLD(NTMA,-10AY,0,AM,\"PORTAGG\",\"MEANR\")":[4.05332409485155,4.12445759473644,4.17425973391635,4.26425703692055,4.45210501401178,4.49515012974268,4.62649699465832,4.60247275690355,4.44678153961263,4.46255241450638,4.34096270130248,4.27549863967424,4.35178770439163,4.46887337674836,4.45748220529361,4.50699823538501,4.57708149001172,4.88614810134764,5.11716632509331,4.9862790259135,4.90674340250469,4.88526572968686,4.93145932314537,4.92522979200155,4.61232805070132,4.50188537673027,4.48069907674465,4.45931432811163,4.20889109887482,4.12992615571692,4.30802396836096,4.57150787058349,4.62866242256139,4.68083774016024,4.51910206682884,4.55501315438109,4.636819300525,4.59351897461212,4.48295674581196,4.4043033904292,4.39712922437836,4.32007284671201,4.44754861704679,4.34755399365135,4.39765763532969,4.21880492381521,4.28162295355334,4.32544420669124,4.16172807111068,4.34430512185683,4.23200651896813,4.0224911579762,4.07609641093191,3.97234986143785,3.93915933776198,4.25938588713736,4.30286089726672,4.22402255929649,4.03738344663791,3.99518560543404,3.91817833808542,3.70535227064247,3.65796990486497,3.62922340924557,3.43685314974151,3.43223855296733,3.37111486240202,3.29521557462338,3.31951841576253,3.16385889222262,3.08402127436241,2.99518999959424,3.65889469648539,2.75852198526947,2.52919333388072,2.51610690429187,2.4008311766816,2.30985092232506,2.49196081818265,2.34538396461663,2.4219263168353,2.47578025360178,2.4638441728724,2.5645684206892,2.56153788646239,2.61732838047642,2.67005259582784,2.69658460766698,2.61515380784491,2.62861382402672,2.60087021165797,2.65727938686646,2.73284055461786,2.77161392883609,2.94722031699415,2.99524905450864,3.01517704557684,3.12534316606088,3.21407496301532,3.41723896778763,3.29271912657931,3.14704509686352,3.28828407474178,3.51429446454801,3.33640978021795,3.46904135082793,3.31595094613258,3.3382526171482,3.57528413311502,3.4103487493752,3.4442821806367,3.48359085083845,3.42818701115214,3.53020035228921,3.42642455126622,3.53923506395956,3.43813073474725,3.00545684664127,3.04435215534629,2.98293212213474,2.80284778537959],"DDR3512M-FDS^FG_PRICE_CHANGE(0,-3AM)":-2.42914745942632,"QQQ^FG_TOTAL_RETURNC(0,-1AM)":4.8975587,"EWJ^FG_TOTAL_RETURNC(0,-12AM)":28.990137,"EWC^PERCENT_CHANGE(FMA_EPS(+1,0,,,,\"PORTAGG\",\"MEAN\"),FMA_EPS(+1,-3AM,,,,\"PORTAGG\",\"MEAN\"))":-4.90400784306769,"FXI^FMA_COS_UP(\"EPS\",\"1M\",+1,0,,,\"PORTAGG\",\"MEANR\")":17.0,"EWN^FMA_COS_DOWN(\"EPS\",\"1M\",+1,0,,,\"PORTAGG\",\"MEANR\")":29.0,"EWC^FMA_COS_DOWN(\"EPS\",\"1M\",+1,0,,,\"PORTAGG\",\"MEANR\")":35.0,"EWI^FMA_RBICS_REV_CURRENT(30, LOC, \"PORTAGG\")":34.5462492743982,"TRYIT10Y-FDS^FG_YIELD_NAME":"Italy Benchmark Bond - 10 Year","REFGBBANK-FDS^PROPER_NAME(0,,,\"SECURITY\",\"NAME\")":"UK Bank Rate","TRYSE10Y-FDS^PCTCHG(FG_YIELD(0,,,,\"YTM\"),FG_YIELD(-3AM,,,,\"YTM\"))":20.532131,"TRYNZ10Y-FDS^PCTCHG(FG_YIELD(0,,,,\"YTM\"),FG_YIELD(-3AM,,,,\"YTM\"))":2.366493,"TRYDE10Y-FDS^FG_YIELD_NAME":"Germany Benchmark Bond - 10 Year","VWO^FMA_EVAL_EBIT(LTMA,NOW,NOW,M,\"PORTAGG\",\"MEANR\")":13.9146839212733,"EWD^FMA_EVAL_EBITDA(NTMA,0,,,\"PORTAGG\",\"MEANR\")":11.2873925226541,"SPY^FG_FCF_YIELD_NTM(0)":4.10147139550472,"EWL^FMA_EVAL_EBITDA(NTMA,0,,,\"PORTAGG\",\"MEANR\")":12.8825139747199,"EWC^FG_FCF_YIELD_NTM(0)":5.07882247529024,"USO^FG_TOTAL_RETURNC(0,-3AM)":11.284947,"EWN^FMA_COS_UP(\"EPS\",\"1M\",+1,0,,,\"PORTAGG\",\"MEANR\")":16.0,"EWD^FMA_RBICS_REV_CURRENT(30, LOC, \"PORTAGG\")":27.1998242779551,"REFCHMPR-FDS^(SUBARRAY(NOT_NA(NO_REPEAT_F(FG_YIELD(NOW,-10AY,D))),0,1)-SUBARRAY(NOT_NA(NO_REPEAT_F(FG_YIELD(NOW,-10AY,D))),1,1))*100":-25.0,"TRYNZ10Y-FDS^PCTCHG(FG_YIELD(0,,,,\"YTM\"),FG_YIELD(-1AM,,,,\"YTM\"))":-5.1606154,"EWD^FG_FCF_YIELD_NTM(0)":5.15584847074335,"EWC^FMA_DIV_YLD(NTMA,NOW,NOW,M,\"PORTAGG\",\"MEANR\")":3.25812743272384,"USO^FG_TOTAL_RETURNC(0,-1AM)":4.9453616,"EWD^JULIAN(FMA_DIV_YLD(NTMA,NOW,NOW,M,\"PORTAGG\",\"MEANR\").DATES)":45351,"EWA^FMA_EVAL_EBIT(LTMA,NOW,NOW,M,\"PORTAGG\",\"MEANR\")":12.4410790169921,"DBA^FG_TOTAL_RETURNC(0,-6AM)":14.21442,"ENZL^FMA_COS_DOWN(\"EPS\",\"1M\",+1,0,,,\"PORTAGG\",\"MEANR\")":7.0,"CC_DE^FG_COMPANY_NAME":"Germany","CAGDPY@CH^EE_ACTUAL_ANNUAL(MED,+1)":8.0,"USDGBP^STD(FG_PRICE_CHANGE(0,-3AY,M))":2.41245979550438,"USDCAD^FG_PRICE_CHANGE(0,-6AM)":0.30750036,"PLATI-FDS^FG_PRICE_CHANGE(0,-1AM)":1.98456449834619,"COPP-FDS^FG_PRICE_CHANGE(0,-1AM)":4.43928248806298,"EWI^FG_PRICE_MAVG(0,,,,60)":34.7105,"EWJ^FG_PRICE_MAVG(0,,,,60)":67.2265,"SPY^PERCENT_CHANGE(FMA_EPS(+1,0,,,,\"PORTAGG\",\"MEAN\"),FMA_EPS(+1,-3AM,,,,\"PORTAGG\",\"MEAN\"))":-0.4099096470994,"VGK^P_PRICE(0)/P_PRICE_LOW_PR(0,,,USD,,,\"PRICE\",\"INTRA\",\"52W\")-1":0.2175808,"EWN^FG_TOTAL_RETURNC(0,-3AM)":10.526312,"EWC^FMA_PCT_ABOVE_MAVG(200,0,,,,\"PORTAGG\")":67.0454545454545,"USDCHF^FG_PRICE_CHANGE(0,-3AM)":4.9422383,"URTH^FG_TOTAL_RETURNC(0,-12AM)":28.766941,"VGK^FG_FCF_YIELD_NTM(0)":5.04614547304439,"REFEUREFI-FDS^FG_YIELD(NOW,,,0)":4.5,"CAGDPY@CH^EE_ACTUAL_ANNUAL(MED,0)":7.64151941312264,"USDSEK^FG_PRICE(0)":10.4627,"EWL^P_PRICE_RETURNS_PR('52W',2,-10AY,0,AM)":[17.43102,20.526123,16.709364,24.023724,15.903627,13.1197815,7.75578,0.34503937,4.816556,3.0988574,0.8151293,2.2064328,3.7940025,3.0677438,4.4208765,0.25738478,3.4479976,-2.0193636,-2.7047873,3.1071305,-3.1788945,-2.7644217,-11.010271,-11.236495,-10.831761,-9.63828,-13.859642,-9.510356,-10.737723,-5.931413,0.05648136,-3.7461162,-5.8133483,-1.9783199,9.261656,11.6698265,10.462725,7.506478,19.98502,16.748201,19.745731,13.605738,15.542614,20.0045,24.603199,23.216988,24.888266,16.034662,10.863459,9.125161,1.3169885,-3.300935,-0.22394657,3.8615584,4.071951,-3.7492692,-3.8512588,-10.513371,-6.6663265,-0.365597,5.355072,5.8181405,7.165718,19.175316,13.758254,10.155511,8.698809,16.749405,20.647358,32.92874,27.28584,24.647976,-10.032755,3.7368774,6.151855,7.2384715,11.24152,13.763344,13.211894,10.989893,12.4339695,10.232306,11.671162,7.2370887,38.784218,30.682432,29.960941,27.937937,22.540236,23.472607,17.235828,22.039402,20.169985,20.213318,11.0463505,9.899199,11.533022,4.457557,-6.7990837,-17.38016,-12.359821,-13.679928,-17.720371,-20.911533,-15.248526,-16.282255,-8.962083,-5.924362,-8.272982,2.3167968,12.381721,17.13748,14.296436,8.3801155,17.493607,14.889884,8.784151,14.521098,6.338382,8.674002,11.376059],"DDR3512M-FDS^FG_PRICE_CHANGE(0,-1AM)":-0.836157475346266,"QQQ^PERCENT_CHANGE(FMA_EPS(+1,0,,,,\"PORTAGG\",\"MEAN\"),FMA_EPS(+1,-3AM,,,,\"PORTAGG\",\"MEAN\"))":-0.0644825839547809,"SPY^SIZE(FG_CONSTITUENTS)":504,"EWQ^SIZE(FG_CONSTITUENTS)":63,"EWC^FMA_COS_UP(\"EPS\",\"1M\",+1,0,,,\"PORTAGG\",\"MEANR\")":32.0,"EWQ^FMA_RBICS_REV_CURRENT(30, LOC, \"PORTAGG\")":10.7535343809749,"TRYSE10Y-FDS^FG_YIELD_NAME":"Sweden Benchmark Bond - 10 Year","TRYSE10Y-FDS^PCTCHG(FG_YIELD(0,,,,\"YTM\"),FG_YIELD(-1AM,,,,\"YTM\"))":-1.3963007,"TRYUS10Y-FDS^FG_YIELD(0,,,,\"YTM\")":4.2743,"TRYCA10Y-FDS^FG_YIELD(0,,,,\"YTM\")":3.5122,"VWO^FMA_EVAL_EBITDA(NTMA,0,,,\"PORTAGG\",\"MEANR\")":8.19565148200538,"EWD^FMA_DIV_YLD(NTMA,NOW,NOW,M,\"PORTAGG\",\"MEANR\")":3.29605026326781,"SPY^FMA_DIV_YLD(NTMA,NOW,NOW,M,\"PORTAGG\",\"MEANR\")":1.47138559472213,"EWL^FG_FCF_YIELD_NTM(0)":4.93379248915301,"EWC^FMA_PE(NTMA,0,,,\"PORTAGG\",\"MEANR\")":14.4897833466545,"EWL^FMA_PE(LTM,0,,,\"PORTAGG\",\"MEANR\")":14.941064251725,"USDGBP^STD(FG_PRICE_CHANGE(0,-1AY,AM))":1.67905064459856,"USDAUD^FG_PRICE_CHANGE(0,-3AM)":3.295529,"EWI^FMA_PE(NTMA,-10AY,0,AM,\"PORTAGG\",\"MEANR\")":[13.302240995688,13.7026595292843,13.4776816445115,14.4776738856528,13.6807443029779,13.3789240313269,13.8927748559943,12.3830650768054,13.135151822678,12.4526822287783,13.516370194816,15.2604524277468,15.7871336688048,15.7895690787065,15.9220003985332,15.0323889583764,15.5047171536576,14.2559178390983,14.294483882522,14.5209852816471,14.7989927951777,13.9377805049168,12.7858930435165,12.1685465185011,13.6308479114004,13.6425093725099,13.572588248728,12.6651518744666,12.400896971519,12.242165454654,11.7911328646665,12.1996159174956,11.4123581893453,13.8702244711954,13.3737120198855,13.1207114342615,13.3918997962252,12.9396446114148,13.8350913214073,13.3693019561813,13.3981315270577,13.2973091631899,13.5367674505143,13.48317368143,13.2280749624318,13.2313803480978,13.723024020421,12.5983893937637,12.6463685920029,13.0694795120097,12.2774044687053,11.4149818646613,11.4033245724639,10.9096215946983,11.0507822568771,9.79563609303259,9.4569440393395,9.22792530018578,9.89856193864263,10.3744610285067,10.8289758309891,10.9743371254587,10.3264210872442,10.5834804241097,10.6509063744615,10.2608045154685,10.8568754332495,10.9480613718074,11.2081993088727,11.6441301000518,11.5075000516322,11.828448499122,8.35411352793344,11.0927849683033,14.7608812140403,17.4875203492844,18.0188261017635,15.9451028948637,14.7315639704691,14.2741902544344,15.0491033127265,14.4279889563446,13.71568750438,13.9221333156361,13.9818339571607,13.6382841386851,13.4035616926896,13.6321018750563,12.8527946096819,12.0186063033334,11.4450783265712,11.7223909091765,11.5928211158226,10.8317913621391,10.9981908732871,10.444037929157,9.54861076796183,9.6226162917251,8.90785669063103,7.97542926301005,7.53245185288894,7.62370502669908,7.59721448706027,7.49291811311296,8.12454440955473,7.72763550418207,8.29440782774337,8.41861628269522,8.30485781442474,8.75966805782665,8.34700697675159,8.65919059523636,8.89242912265706,8.15536973994077,8.42552958048526,7.91299649428939,8.22975270091929,8.87645510234631,8.93349903197918,9.10322842409733,9.73164023124763],"PLATI-FDS^FG_PRICE_MAVG(0,,,,30)":906.9,"COPP-FDS^FG_PRICE_MAVG(0,,,,30)":3.8833334,"EWI^FG_PRICE_MAVG(0,,,,30)":35.828667,"EWJ^FG_PRICE_MAVG(0,,,,30)":69.183,"VGK^P_PRICE(0)/P_PRICE_HIGH_PR(0,,,USD,,,\"PRICE\",\"INTRA\",\"52W\")":0.98908234,"QQQ^PERCENT_CHANGE(FMA_EPS(+1,0,,,,\"PORTAGG\",\"MEAN\"),FMA_EPS(+1,-1AM,,,,\"PORTAGG\",\"MEAN\"))":0.143941652800729,"EWA^FG_TOTAL_RETURNC(0,-12AM)":14.080084,"EWQ^FMA_COS_UP(\"EPS\",\"1M\",+1,0,,,\"PORTAGG\",\"MEANR\")":29.0,"SPY^FMA_RBICS_REV_CURRENT(30, LOC, \"PORTAGG\")":12.5169610337793,"REFCHMPR-FDS^FG_YIELD(NOW,,,0)":1.5,"TRYIT10Y-FDS^FG_YIELD(0,,,,\"YTM\")":3.679,"EWD^FMA_PE(NTMA,0,,,\"PORTAGG\",\"MEANR\")":16.4969837914038,"EWC^FMA_PE(LTM,0,,,\"PORTAGG\",\"MEANR\")":16.5205488086943,"DBA^P_PRICE(0)/P_PRICE_HIGH_PR(0,,,USD,,,\"PRICE\",\"INTRA\",\"52W\")":0.9991646,"REFEUREFI-FDS^(SUBARRAY(NOT_NA(NO_REPEAT_F(FG_YIELD(NOW,-10AY,D))),0,1)-SUBARRAY(NOT_NA(NO_REPEAT_F(FG_YIELD(NOW,-10AY,D))),1,1))*100":25.0,"VWO^FMA_DIV_YLD(NTMA,NOW,NOW,M,\"PORTAGG\",\"MEANR\")":3.15415612175552,"EWC^JULIAN(FMA_DIV_YLD(NTMA,NOW,NOW,M,\"PORTAGG\",\"MEANR\").DATES)":45351,"SPY^FMA_PE(LTM,0,,,\"PORTAGG\",\"MEANR\")":25.8951431545667,"EWN^FG_PRICE(0)":49.35,"VGK^FG_TOTAL_RETURNC(0,-3AM)":5.2331448,"EWU^FG_TOTAL_RETURNC(0,-12AM)":12.062347,"REFJPTON-FDS^(SUBARRAY(NOT_NA(NO_REPEAT_F(FG_YIELD(NOW,-10AY,D))),0,1)-SUBARRAY(NOT_NA(NO_REPEAT_F(FG_YIELD(NOW,-10AY,D))),1,1))*100":20.0,"EWC^FMA_ROE(NTMA,-20AY,NOW,FY,\"PORTAGG\",\"MEANR\")":[14.6738571923606,15.7709471724654,15.8547136543611,16.5705490516163,13.8099900139916,11.8327104416904,12.6984457284378,13.5092848924233,12.804929450575,12.2925364029644,11.8034021278505,10.9923508764539,11.4792366602027,11.3979128674428,12.4990081822477,11.9786783863837,11.1922086822881,14.1061782856045,14.0029403106189,13.1440312273413],"TRYUS10Y-FDS^PCTCHG(FG_YIELD(0,,,,\"YTM\"),FG_YIELD(-3AM,,,,\"YTM\"))":10.065925,"EWJ^FMA_DIV_YLD(NTMA,NOW,NOW,M,\"PORTAGG\",\"MEANR\")":2.19308426995126,"EWU^FG_TOTAL_RETURNC(0,-3AM)":3.2611966,"TRYCA10Y-FDS^FG_YIELD_NAME":"Canada Benchmark Bond - 10 Year","EWG^FG_TOTAL_RETURNC(-10AY,0,AM)":[-3.45155,1.9678593,1.2222528,2.2878885,-4.0992975,-4.2300105,0.44858456,-9.172106,5.8055997,-0.518322,0.07187128,5.9245944,2.5762677,-1.2227416,2.308464,-5.232179,1.4195085,-9.968847,-1.6916573,2.9722333,2.0129204,-2.1965742,-9.668827,0.67424774,6.8229437,4.506266,-5.0993624,1.698935,-1.3504684,7.139969,-1.5813231,-1.1476636,-3.1733751,5.112052,3.8797975,1.7209888,1.5838742,0.42523146,9.244883,0.63034296,0.3272295,-0.39138794,5.206287,1.5561819,1.2565136,0.64685345,6.2405944,-7.122594,-0.8554816,1.5716434,0.5461216,-6.23855,1.4172673,-2.1124482,1.527226,-8.960104,-3.556031,-7.076347,6.973946,0.97414255,2.0408154,3.8909078,-2.100104,1.9693375,-1.7291069,-4.2888584,4.098046,4.2678475,1.9054294,1.4542937,1.7747402,-2.2803485,-37.371307,21.479452,8.930981,11.921191,9.831774,0.3063321,-1.5609086,0.4136443,3.2955766,5.6346774,4.109597,0.030589104,1.6824841,4.993987,1.9197702,-0.15932322,-1.9759417,1.1101365,-3.0627012,-0.029802322,0.7453799,-4.33405,0.19267797,-2.8340101,-8.846151,-2.8129458,-5.607814,-5.5220184,-3.6804676,-0.17368793,-8.916914,1.193893,16.422844,1.0473251,11.436594,-0.32408834,-0.7225454,6.4774394,0.2050519,-0.5131066,2.5008798,-5.1890016,-3.2982945,-5.584705,10.758233,5.883682,-2.2004128,2.8383493,5.385399],"CAGDPY@JP^EE_ACTUAL_ANNUAL(MED,+1)":3.4,"USDAUD^FG_PRICE_CHANGE(0,-1AM)":-0.39577484,"EWJ^P_PRICE_RETURNS_PR('52W',2,-10AY,0,AM)":[2.5809765,-0.26069283,-7.827723,14.878643,2.7017117,10.140753,-0.17740726,-6.541443,-3.030312,-0.9602964,-3.9253712,9.347141,18.696928,19.303858,20.634687,6.8479896,8.114195,0.3383875,-0.8728802,11.078501,10.461569,5.9857607,-4.510832,-10.279221,-9.116613,-6.8350315,-11.284727,-7.2723746,-7.103312,-1.8250346,10.99614,4.2645335,0.13953447,5.254984,18.74429,21.513962,14.035427,8.24399,17.196918,17.67435,16.874718,12.441707,11.335492,16.486729,21.72327,21.643364,28.904999,18.728388,18.336285,19.934141,16.654814,10.123194,8.806992,7.210183,10.015631,0.15021563,-7.4737253,-15.558201,-13.294422,-8.391857,-7.24265,-7.902813,-10.590368,-5.4775896,-4.1643915,-5.288368,-3.3336997,3.7189841,11.526155,19.203722,12.043512,5.9802055,-15.501463,-8.556289,-0.11547208,4.9200296,4.9093485,9.896242,4.5599937,4.9292207,11.037564,11.3976,17.852795,25.598013,58.968807,39.576756,30.689991,22.661245,21.451616,16.691065,26.488865,15.454197,10.432863,3.9005876,-4.4038353,-8.394777,-10.115272,-13.753533,-13.746845,-20.806615999999998,-17.37808,-14.547229,-28.998816,-25.680721,-21.259266,-17.126387,-10.012627,-10.423719,-7.543784,3.3749938,9.443307,20.827938,15.514922,7.715285,22.76107,21.119928,16.50076,17.45634,17.658484,22.924053,28.990137],"DDR3512M-FDS^FG_PRICE_MAVG(0,,,,30)":0.9680709,"EWN^PERCENT_CHANGE(FMA_EPS(+1,0,,,,\"PORTAGG\",\"MEAN\"),FMA_EPS(+1,-3AM,,,,\"PORTAGG\",\"MEAN\"))":-0.926318739545316,"EWA^P_PRICE(0)/P_PRICE_LOW_PR(0,,,USD,,,\"PRICE\",\"INTRA\",\"52W\")-1":0.19354844,"SPY^FMA_COS_DOWN(\"EPS\",\"1M\",+1,0,,,\"PORTAGG\",\"MEANR\")":186.0,"EWA^SIZE(FG_CONSTITUENTS)":60,"QQQ^FMA_RBICS_REV_CURRENT(30, LOC, \"PORTAGG\")":0.861039068445162,"TRYNL10Y-FDS^FG_YIELD_NAME":"Netherlands Benchmark Bond - 10 Year","TRYNL10Y-FDS^PCTCHG(FG_YIELD(0,,,,\"YTM\"),FG_YIELD(-3AM,,,,\"YTM\"))":19.400356,"VWO^FG_FCF_YIELD_NTM(0)":5.06354955521454,"SPY^FMA_PE(NTMA,0,,,\"PORTAGG\",\"MEANR\")":20.899401057473,"EWL^FMA_DIV_YLD(NTMA,NOW,NOW,M,\"PORTAGG\",\"MEANR\")":3.30332242739859,"REFCHMPR-FDS^PROPER_NAME(0,,,\"SECURITY\",\"NAME\")":"Swiss Policy Rate - Sight Deposit Rate","EWD^FMA_PE(LTM,0,,,\"PORTAGG\",\"MEANR\")":15.0608295744507,"EWL^FMA_PE(NTMA,0,,,\"PORTAGG\",\"MEANR\")":17.661928176964,"TRYNL10Y-FDS^PCTCHG(FG_YIELD(0,,,,\"YTM\"),FG_YIELD(-1AM,,,,\"YTM\"))":-0.8058635,"TRYSE10Y-FDS^FG_YIELD(0,,,,\"YTM\")":2.401,"TRYAU10Y-FDS^FG_YIELD(0,,,,\"YTM\")":4.091,"VWO^FG_PE_NTM(0,,,90,0)":13.5921407535063,"EWC^FG_PRICE(0)":38.2,"EWJ^FMA_RBICS_REV_CURRENT(30, LOC, \"PORTAGG\")":17.7091909618778,"REFSEREPO-FDS^(SUBARRAY(NOT_NA(NO_REPEAT_F(FG_YIELD(NOW,-10AY,D))),0,1)-SUBARRAY(NOT_NA(NO_REPEAT_F(FG_YIELD(NOW,-10AY,D))),1,1))*100":25.0,"VWO^FG_PE(0)":12.8647740050643,"EWL^JULIAN(FMA_DIV_YLD(NTMA,NOW,NOW,M,\"PORTAGG\",\"MEANR\").DATES)":45351,"ENZL^P_PRICE_RETURNS_PR('52W',2,-10AY,0,AM)":[21.658468,16.568077,18.299389,33.006,22.785997,22.056461,5.6457043,3.382492,9.408558,12.553716,6.38386,7.1242213,1.8846512,2.0045042,-2.4548411,-11.038542,-11.490429,-11.553669,-13.301492,-4.9930153,-9.403467,-4.2426944,-9.171391,-5.716461,0.9508252,7.2290063,11.011171,23.422623,30.501926,43.31397,50.490295,25.208055,22.487175,13.642311,28.968966,25.015032,9.620655,5.8463693,10.393214,11.676478,12.84436,6.5295577,5.6785464,12.511396,13.0759,24.066675,18.407799,17.597961,25.697958,17.618502,15.33103,13.550425,6.8689704,5.8819413,8.677506,1.8558621,8.058381,-1.0457754,3.3406377,5.72592,4.60701,8.826447,11.5543,7.8069925,20.487118,10.975754,7.7381253,21.810186,18.556416,27.090788,25.380062,20.54428,-19.199144,-5.84988,0.29762983,9.330845,9.778333,15.795172,13.333201,16.836666,22.844898,16.808641,18.715023,15.103304,58.146942,38.789497,27.46811,14.146113,6.3613653,7.6261044,13.399506,6.2321663,-5.4415646,-8.62608,-17.388105,-15.3697195,-10.028261,-16.115856,-22.549772,-25.024933,-22.259443,-19.348085,-27.99976,-33.132183,-20.682938,-15.470284,-5.5835543,-6.4585924,-13.5198,-5.113709,9.864319,10.863865,6.922877,-4.657638,1.1474013,4.098797,-2.3320973,2.203524,-6.568086,-6.602907,-2.924031],"CC_NL^IMF_IFS_RCPI_Q(0)":0.80520856,"USDANG^STD(FG_PRICE_CHANGE(0,-3AY,M))":0.0,"USDGBP^FG_PRICE_CHANGE(0,-6AM)":-3.0037522,"EWD^FMA_PE(NTMA,-10AY,0,AM,\"PORTAGG\",\"MEANR\")":[15.7172698754293,15.4441655259031,15.8164595318611,15.6178525479844,15.4851330070068,14.750751467963,14.9239661448463,13.8503121808754,15.576260967062,15.5372217490273,15.9534036919626,16.9722015731247,17.4445789435228,16.7068720929079,16.0712634988566,15.5487206735117,16.2944944414727,14.8881549686422,14.5244346828935,14.8585864543559,15.5533075902819,14.7103432080902,13.7618596098958,14.9529648968398,15.1647181828777,15.7447933758523,14.7520541754704,14.7550470044936,15.1603496538079,15.3180917892956,15.5031005913117,16.4986556706849,16.1545985086291,16.5076969190082,16.173601057791,16.6012912273238,16.6578915923375,16.8548921791858,17.9874406260666,16.8636751590204,16.3559641032027,15.5487027383877,16.4024895416069,17.2923776298861,16.8907480190507,16.5426132156712,16.7274281140693,16.3515401973933,15.9833370323769,15.9804808375417,16.2166711726025,15.2487439216403,15.3446470194569,15.6663265376069,15.8985700305688,14.3487098993693,13.8472021012774,13.2863595605209,14.4322592674037,14.7828726759484,15.1072518803191,15.4924771592964,14.9980359191972,15.1062061875416,15.0813115212464,13.7394140356333,14.7351286409081,15.6964436646407,15.5179397537477,16.2861455325113,16.4784520125403,16.9047108510599,12.2671867858782,15.9393254923857,17.7242056320997,19.0155920947884,19.6354689529273,17.9981502293117,17.8265103624784,17.1161106497542,17.3050130946035,16.8464346110342,18.931312973747,19.0314996728653,20.0149477520914,19.4563808103231,18.0186618563916,18.6483441428652,18.531528837361,18.3372118566773,17.8811478110623,18.4036025092,18.8597221754694,17.8328050817548,16.9614648896172,15.6153795079444,15.6656165396759,15.2700842095589,15.6585026386392,14.3656730704476,15.0048541482304,14.8858540055084,13.4258777125134,13.2774565422325,12.8759612813189,12.8283437557649,13.6876526014636,14.0436418626897,13.4944151325824,13.8147259010351,13.7704964079547,13.429974424163,13.2284712764467,12.4772425525438,12.9554904585921,12.6291394824656,13.3579374510239,15.6091007892741,15.0844509581951,16.0148736535254,16.4969837914038],"CPALM-FDS^MAX(FG_PRICE(0,-5AY))":8163.0,"TIOS-FDS^MAX(FG_PRICE(0,-5AY))":219.77,"EWD^FG_PRICE_MAVG(0,,,,200)":35.6966,"EWG^FG_PRICE_MAVG(0,,,,200)":28.26735,"VGK^FG_TOTAL_RETURNC(0,-6AM)":15.475929,"QQQ^FMA_PCT_ABOVE_MAVG(200,0,,,,\"PORTAGG\")":74.5098039215686,"EWL^FMA_RBICS_REV_CURRENT(30, LOC, \"PORTAGG\")":18.5381872854437,"CAGDPY@JP^EE_ACTUAL_ANNUAL(MED,0)":3.55112124522863,"USDAUD^FG_PRICE_CHANGE(0,-1AY)":1.2481928,"WL-FDS^MAX(FG_PRICE(0,-5AY))":763.4,"EWN^PERCENT_CHANGE(FMA_EPS(+1,0,,,,\"PORTAGG\",\"MEAN\"),FMA_EPS(+1,-1AM,,,,\"PORTAGG\",\"MEAN\"))":1.99417598193696,"EWA^P_PRICE(0)/P_PRICE_HIGH_PR(0,,,USD,,,\"PRICE\",\"INTRA\",\"52W\")":0.9752396,"SPY^FMA_COS_UP(\"EPS\",\"1M\",+1,0,,,\"PORTAGG\",\"MEANR\")":172.0,"EWA^FMA_COS_DOWN(\"EPS\",\"1M\",+1,0,,,\"PORTAGG\",\"MEANR\")":23.0,"TRYFR10Y-FDS^FG_YIELD_NAME":"France Benchmark Bond - 10 Year","TIPSCL10Y-FDS^FG_YIELD(-10AY,0,Y,,\"YTM\")":[null,null,null,null,null,null,null,null,null,5.3314],"USDANG^STD(FG_PRICE_CHANGE(0,-1AY,AM))":0.0,"EWC^P_PRICE_RETURNS_PR('52W',2,-10AY,0,AM)":[5.412483,14.998698,11.001897,24.363947,18.624985,21.619392,14.145899,4.07871,7.638335,2.3839116,-4.477918,-2.6116908,-3.425771,-1.4500499,-4.241997,-11.88466,-19.64481,-26.09803,-23.69743,-17.619526,-22.738998,-23.71804,-27.232986,-21.827215,-11.777705,-11.831331,-13.293589,-7.26856,0.72073936,7.1759224,8.900011,9.263002,14.208078,25.521421,46.45183,33.010696,12.964582,8.49812,11.379517,6.9209337,12.606764,7.500422,14.949918,15.124941,14.374995,13.181853,15.61898,3.3269048,8.753002,7.4421763,14.278257,10.965216,5.8956385,7.9535246,2.863872,-5.363536,-7.2210193,-17.62798,-10.434514,0.9895086,1.8964291,3.492713,-1.5604913,3.86976,2.5981784,-0.67018867,3.0931354,8.673323,14.242994,26.612305,18.395079,12.868047,-31.267834,-19.758272,-11.716336,-7.5748262,-3.5031319,4.038799,-4.489875,-0.77264905,2.8758287,6.136477,7.185304,9.779846,85.066376,59.38585,56.362213,48.23195,37.744568,30.262566,35.383736,44.127975,35.591198,22.96436,19.529402,17.657518,19.131351,14.712154,-1.1663854,-6.5502048,-5.69796,0.13304949,-7.5458884,-17.430353,-10.664457,-9.385448,-7.078701,-6.9654703,-16.292263,-8.746332,-2.1205187,2.8443694,8.0378895,-2.8511643,6.3955426,6.792283,2.604413,12.569321,6.737089,8.736706,18.77557],"EWN^FMA_PE(NTMA,-10AY,0,AM,\"PORTAGG\",\"MEANR\")":[13.8737088343116,14.0218736868482,14.12855215075,14.570525966856,14.0727015260962,14.2342088038957,14.8323813029305,13.8425479909133,15.0124934295933,14.6640209303116,15.3707468608122,16.4370446295784,17.5522313301558,17.4620992427707,17.23002530506,16.253186713725,17.017261128894,14.8617788460951,14.7215258252244,15.2972291455122,16.3331370416191,15.1887882978782,14.3750865365836,14.3135939229231,15.3387241918843,15.363476883523,14.8130262294545,14.5160827631193,14.7259138354309,14.7652275167909,14.7554985443078,14.8866798049604,14.5831022331066,15.1295574322184,15.0790703517132,15.6047076131263,16.0072265803806,16.1227343733152,16.3110730849352,16.0633113910583,15.8870327337855,15.6898935913388,15.8234076054119,16.1924782377583,16.0746205429081,16.0639184740211,16.4907647441549,15.6117240987801,15.6691189392655,15.4843756580229,15.9394250370001,15.6732833095331,16.0128610987015,15.4506886803543,15.1455135496148,14.1928415454299,14.0069616645574,13.011900818352,13.6370287671703,14.8213842441289,15.2593114319685,15.7626743854562,15.2014387024999,15.4679899564166,15.7048698743572,15.2769386941193,16.2732015088927,16.1822029461404,16.5137249457448,17.1646478557999,17.2474803535118,17.8739988674667,12.6291631337267,16.0680091660909,17.9408870839624,19.7316687821175,20.4306184365103,19.6286328271342,18.8473645577762,19.5874234742246,20.5880690405058,20.22260954989,21.7573129460276,22.5778810362219,21.8616154030764,22.1401943995175,21.2006121037957,21.2123572144186,20.8790294120283,21.5155661854672,21.3456130632131,21.1056500871159,21.5161634838146,19.8943078511399,19.114884310226,18.0427361655897,18.0276738276191,18.0233841586301,16.5382169644315,15.6925674650802,17.509850433387,17.3774864083402,15.2754067781301,14.7508581744744,16.3164838582699,15.8368565246402,16.84158617221,16.7531693275352,16.0083001790928,16.1048878290033,15.8836281246068,15.4945744300749,15.8682394600487,14.6168016265296,13.7289024714353,13.0540700733017,14.6069047732143,15.2012444403329,14.8714147354531,16.0674686180465,16.0186150181719],"WL-FDS^FG_PRICE(0)":640.0,"CPALM-FDS^FG_PRICE(0)":4352.0,"TIOS-FDS^FG_PRICE(0)":110.94,"TRYFR10Y-FDS^PCTCHG(FG_YIELD(0,,,,\"YTM\"),FG_YIELD(-3AM,,,,\"YTM\"))":15.515154,"USDNZD^STD(FG_PRICE_CHANGE(0,-3AY,M))":3.53129360615239,"EWI^FG_TOTAL_RETURNC(0,-3AM)":11.153973,"URTH^FMA_COS_DOWN(\"EPS\",\"1M\",+1,0,,,\"PORTAGG\",\"MEANR\")":598.0,"TRYCH10Y-FDS^PCTCHG(FG_YIELD(0,,,,\"YTM\"),FG_YIELD(-3AM,,,,\"YTM\"))":-7.5949397,"EWI^FMA_ROE(NTMA,-20AY,NOW,FY,\"PORTAGG\",\"MEANR\")":[12.7201174133668,14.3538872460945,15.0689086026843,13.8121430445963,10.7897502226351,8.0585564947071,8.81990423698703,8.11660136585425,7.83939542493847,7.34575996709421,7.29870487123998,7.28937842659948,7.64480507807432,9.05384965064241,10.3909656073461,10.2353053584578,8.27578853786002,11.7277999998841,13.3202789860828,13.3572177464321],"USDCHF^FG_PRICE_CHANGE(0,-1AM)":2.0888805,"USDAUD^FG_PRICE(0)":1.5221858,"PASP-FDS^MAX(FG_PRICE(0,-5AY))":3158.12,"W-FDS^MAX(FG_PRICE(0,-5AY))":14.2525,"EWQ^FG_PRICE_MAVG(0,,,,200)":37.789574,"EWA^FG_PRICE_MAVG(0,,,,200)":22.6931,"EWJ^PERCENT_CHANGE(FMA_EPS(+1,0,,,,\"PORTAGG\",\"MEAN\"),FMA_EPS(+1,-1AM,,,,\"PORTAGG\",\"MEAN\"))":1.42157963589842,"VGK^FG_TOTAL_RETURNC(0,-1AM)":4.111743,"EWN^FMA_PCT_ABOVE_MAVG(200,0,,,,\"PORTAGG\")":57.4074074074074,"EWA^FG_TOTAL_RETURNC(0,-6AM)":16.735994,"EWJ^SIZE(FG_CONSTITUENTS)":219,"EWA^FMA_COS_UP(\"EPS\",\"1M\",+1,0,,,\"PORTAGG\",\"MEANR\")":22.0,"EWG^FMA_RBICS_REV_CURRENT(30, LOC, \"PORTAGG\")":22.665656730962,"TRYFR10Y-FDS^PCTCHG(FG_YIELD(0,,,,\"YTM\"),FG_YIELD(-1AM,,,,\"YTM\"))":-1.3457569,"TRYAU10Y-FDS^FG_YIELD_NAME":"Australia Benchmark Bond - 10 Year","VWO^JULIAN(FMA_DIV_YLD(NTMA,NOW,NOW,M,\"PORTAGG\",\"MEANR\").DATES)":45322,"EWN^FMA_EVAL_EBIT(LTMA,NOW,NOW,M,\"PORTAGG\",\"MEANR\")":22.4852642524619,"SPY^JULIAN(FMA_DIV_YLD(NTMA,NOW,NOW,M,\"PORTAGG\",\"MEANR\").DATES)":45351,"EWJ^FMA_EVAL_EBIT(LTMA,NOW,NOW,M,\"PORTAGG\",\"MEANR\")":18.2420412527071,"EWA^FMA_EVAL_EBITDA(NTMA,0,,,\"PORTAGG\",\"MEANR\")":8.54505832298869,"DBA^FG_TOTAL_RETURNC(0,-3AM)":15.055311,"VWO^FG_TOTAL_RETURNC(0,-1AM)":1.7198682,"EWQ^FG_PRICE_MAVG(0,,,,60)":39.372665,"EWI^FG_TOTAL_RETURNC(0,-6AM)":21.611298,"TRYNZ10Y-FDS^FG_YIELD(0,,,,\"YTM\")":4.5852,"EWN^FMA_EVAL_EBITDA(NTMA,0,,,\"PORTAGG\",\"MEANR\")":12.5939224895889,"QQQ^FMA_EVAL_EBIT(LTMA,NOW,NOW,M,\"PORTAGG\",\"MEANR\")":25.0078011678763,"EWJ^FG_FCF_YIELD_NTM(0)":4.02737152139848,"EWA^FG_FCF_YIELD_NTM(0)":4.82129393142715,"TRYFR10Y-FDS^FG_YIELD(-10AY,0,Y,,\"YTM\")":[0.837,0.9989,0.682,0.785,0.71,0.118,-0.344,0.201,3.07,2.534],"CAGDPY@DE^EE_ACTUAL_ANNUAL(MED,0)":6.01260398456499,"USDANG^FG_PRICE_CHANGE(0,-6AM)":0.0,"EWA^P_PRICE_RETURNS_PR('52W',2,-10AY,0,AM)":[-2.4652243,4.8701644,3.409779,24.018728,17.697657,20.057678,0.90777874,-4.6337724,-1.9034266,-1.6638577,-2.3963928,-1.9102335,1.1684418,-8.157551,-8.241266,-12.244118,-15.660924,-26.423471,-22.266256,-17.753536,-14.702236,-13.262218,-19.959766,-20.68838,-13.238859,-7.621169,-9.750205,-7.0166826,-0.120300055,9.291876,15.49437,12.910318,8.829522,15.204847,33.710514,31.96454,17.330683,14.3736,16.601563,14.132273,15.507102,13.906813,15.763367,16.305279,18.541325,18.621826,16.372013,7.200563,7.16573,4.2449474,10.991299,10.440123,5.064392,5.4837584,3.3082247,-5.4784956,-5.6506453,-14.629591,-7.6987386,-2.4933815,0.4891634,2.5232673,1.6533256,5.5072904,6.731689,-0.52369833,6.0284257,14.090562,15.237045,24.711943,17.99097,12.439192,-35.07556,-26.401234,-18.08247,-11.115766,-6.8170366,-0.4047811,-9.115368,-5.5016336,5.1719546,7.730162,9.932793,12.046385,81.06393,72.26751,54.959023,41.71511,28.56672,24.46419,30.4587,31.263565,13.800514,7.1513653,-1.7044127,-0.27561188,9.389698,5.854368,-4.8100653,-13.504612,-9.627354,-4.349703,-11.358494,-17.26098,-4.9186707,-2.9372633,6.28649,2.872789,-8.886504,-6.970811,1.4905095,13.04121,10.420359,-1.218164,6.6857696,7.4867606,2.9575706,12.252914,0.6182313,4.743004,14.080084],"EWA^FMA_PE(NTMA,-10AY,0,AM,\"PORTAGG\",\"MEANR\")":[13.9274085041861,14.3512198838304,14.0939408848456,14.2307213083626,14.7513821436601,14.9545570845838,14.2647873616975,14.0914827949438,13.9994835425048,14.2341685635251,14.7012735354185,16.1580082695938,16.500717799403,16.4267098606396,15.7868348257098,15.4899215497714,15.7172832815805,14.5894904070623,14.321353155852,14.9665355912822,15.2443732536721,15.0870520423819,14.539389323727,15.3074433358274,16.0798272911217,16.3190584144653,16.4278802334472,16.1322275884675,16.6717776612876,16.7831194623937,16.0421188213181,16.0934565203967,15.7001995256548,15.7107927299523,15.7168413845788,16.0189143403291,15.6899543290346,15.7787387112847,15.3598760409749,15.1688880613105,15.6694384113566,15.6887621645178,15.4005841566949,15.9011603531807,15.8857201541751,15.934045143785,15.704492644217,15.407514623776,15.2430939316679,14.9706307707499,15.4466218819604,15.5129137705475,15.6636843075145,15.7555080751632,15.3045452767697,14.5445359394109,14.0132039853533,13.5409468919636,14.7056799229484,15.2375770670421,15.2406057155606,15.3050573638258,15.8701091520842,16.2282143411021,16.2850638735356,15.8974490274047,16.666586032513,16.7594106870363,16.919393799511,17.4615313928309,18.0489566701847,18.3467351808801,12.7641802991023,15.8587679005508,17.7954147475981,19.0173691939851,19.7432777024407,19.66895118923,18.1967421772864,18.624876123274,19.4852995455104,19.2940479680668,19.3560471391777,18.4133169917865,17.7126631217482,18.0541612624187,17.7460265087148,17.723112722786,16.6328322763743,16.8478149498353,16.762660755134,17.6226332468958,17.2501593311286,17.2247852155516,16.6328277171471,15.7619702794235,15.9171317503242,15.7308595768192,14.2815330275574,12.618609075669,13.4061419668885,14.128291390044,13.0747333347862,12.8840816465507,14.1525393408405,14.2511905071203,14.8391724929427,14.7562300728275,13.7707582056508,14.6409581142968,14.6266967604493,15.1569114018553,15.4266016489569,14.870123720762,14.9712769921391,14.4723322163762,15.1872133365441,16.2510815484544,15.9559291109819,16.4207969880227,16.4253110011505],"EWJ^FMA_PCT_ABOVE_MAVG(200,0,,,,\"PORTAGG\")":77.1689497716895,"EWU^P_PRICE(0)/P_PRICE_LOW_PR(0,,,USD,,,\"PRICE\",\"INTRA\",\"52W\")-1":0.12408769,"EWJ^FMA_COS_DOWN(\"EPS\",\"1M\",+1,0,,,\"PORTAGG\",\"MEANR\")":84.0,"REFSEREPO-FDS^FG_YIELD(NOW,,,0)":4.0,"REFJPTON-FDS^FG_YIELD(NOW,,,0)":0.1,"VGK^FMA_EVAL_EBIT(LTMA,NOW,NOW,M,\"PORTAGG\",\"MEANR\")":13.068161161292,"EWJ^FMA_EVAL_EBITDA(NTMA,0,,,\"PORTAGG\",\"MEANR\")":10.8822989038149,"USDCHF^FG_PRICE_CHANGE(0,-1AY)":-2.6469648,"ENZL^FMA_PE(NTMA,-10AY,0,AM,\"PORTAGG\",\"MEANR\")":[17.3326963044811,17.1570866072506,17.1473242807611,17.0983725845146,17.2468358388666,17.2671290805255,16.9458776867369,17.1365318084819,18.0855320076884,18.1252959824212,18.7768636510464,18.9796341997582,18.8322319650986,18.2595748914602,18.1893385115601,17.9516704455703,18.2502404709023,17.8051467743184,17.495530007461,17.930340998453,17.9339355512296,17.8907415380628,17.3632309703266,17.3355101074039,18.2346209778559,19.016751229579,19.2103208646299,18.8530264706285,19.9560785882022,20.3891768755436,20.2689497358452,19.1220858178548,18.6917341239364,18.3021307170576,18.9123031257667,18.9729508871747,18.7350658650399,19.0068523513775,19.4406972369081,19.5398174242318,19.7137817939963,20.2754994720922,19.6212322651114,20.0852452058662,20.220139276637,20.8932741822751,20.5305680627612,20.3792368850117,20.7783971554972,19.9023144179338,20.3754259674844,21.3167975086619,21.101194286268,21.5169349382155,21.734816553579,20.1959892276804,19.6643923389364,19.8541641247753,20.6437248611298,21.1529374034704,21.4311951505713,22.5484485911005,23.2969434924686,23.2083366496416,24.3627077987959,24.3439222983414,25.6230798119236,25.4307246989623,25.0623730738739,25.9790548918875,26.4147773592856,27.4450754740487,22.851064071849,28.4604527329692,31.1701481973904,30.4338551991049,32.5489058608841,32.5514963066558,30.8927239016261,33.0693333302841,32.0262057229332,33.1311580134138,33.6061587269216,31.610052934896,32.4245384989433,31.8578098490301,32.5951864597289,33.3352209453076,34.1783271262254,34.4477780756088,34.7273684237889,33.777251491104,32.6348639179275,32.2972756529611,30.2241382397446,29.4572258063608,29.4205921542229,28.5362587417786,27.3997422829907,25.420487477142,26.0974755172847,27.4377608779436,25.6062354700963,23.0898226672598,23.7665261406651,23.1034334597613,24.0630183783606,24.0529959648801,22.4192440997276,23.2967538989609,23.705107993859,20.6799274290609,20.9055429901282,19.9726354894353,20.2780314511832,19.2888667395883,20.2106675422568,22.6791271981055,22.1301330993302,21.8933284993786,24.7288747400243],"PASP-FDS^FG_PRICE(0)/MAX(FG_PRICE(0,-1AY))":0.640243902439024,"W-FDS^FG_PRICE(0)/MAX(FG_PRICE(0,-1AY))":0.719171325221966,"EWA^FG_PRICE_MAVG(0,,,,60)":23.852833,"EWQ^FG_TOTAL_RETURNC(0,-12AM)":16.316105,"EWA^FG_TOTAL_RETURNC(0,-3AM)":0.9925604,"URTH^SIZE(FG_CONSTITUENTS)":1467,"QQQ^SIZE(FG_CONSTITUENTS)":102,"ENZL^SIZE(FG_CONSTITUENTS)":14,"EWC^FMA_RBICS_REV_CURRENT(30, LOC, \"PORTAGG\")":40.9198307473675,"REFSEREPO-FDS^PROPER_NAME(0,,,\"SECURITY\",\"NAME\")":"Sweden Repo Rate","TRYNL10Y-FDS^FG_YIELD(0,,,,\"YTM\")":2.708,"VGK^FMA_EVAL_EBITDA(NTMA,0,,,\"PORTAGG\",\"MEANR\")":8.7719665946126,"EWQ^P_PRICE(0)/P_PRICE_LOW_PR(0,,,USD,,,\"PRICE\",\"INTRA\",\"52W\")-1":0.22875822,"REFJPTON-FDS^PROPER_NAME(0,,,\"SECURITY\",\"NAME\")":"Japan Policy Rate","USDCHF^FG_PRICE(0)":0.89925,"TRYTR7Y-FDS^FG_YIELD(-10AY,0,Y,,\"YTM\")":[7.979133,10.679033,11.110786,11.586128,15.896213,12.034795,12.534946,23.870693,7.323803,21.984322],"PASP-FDS^FG_PRICE_CHANGE(0,-1AY)":-26.5734265734266,"W-FDS^FG_PRICE_CHANGE(0,-1AY)":-19.9780461031833,"EWQ^FG_PRICE_MAVG(0,,,,30)":40.275333,"EWA^FG_PRICE_MAVG(0,,,,30)":23.996334,"EWQ^PERCENT_CHANGE(FMA_EPS(+1,0,,,,\"PORTAGG\",\"MEAN\"),FMA_EPS(+1,-1AM,,,,\"PORTAGG\",\"MEAN\"))":-0.617357555614714,"EWA^FG_TOTAL_RETURNC(0,-1AM)":3.3432126,"URTH^FMA_COS_UP(\"EPS\",\"1M\",+1,0,,,\"PORTAGG\",\"MEANR\")":574.0,"QQQ^FMA_COS_DOWN(\"EPS\",\"1M\",+1,0,,,\"PORTAGG\",\"MEANR\")":42.0,"EWA^FMA_RBICS_REV_CURRENT(30, LOC, \"PORTAGG\")":40.7151096463948,"TRYGB10Y-FDS^FG_YIELD_NAME":"United Kingdom Benchmark Bond - 10 Year","TRYGB10Y-FDS^PCTCHG(FG_YIELD(0,,,,\"YTM\"),FG_YIELD(-3AM,,,,\"YTM\"))":16.05881,"EWN^FG_FCF_YIELD_NTM(0)":4.04405281821336,"QQQ^FMA_EVAL_EBITDA(NTMA,0,,,\"PORTAGG\",\"MEANR\")":16.4636764669148,"EWA^FMA_DIV_YLD(NTMA,NOW,NOW,M,\"PORTAGG\",\"MEANR\")":3.98465368896067,"VWO^FMA_COS_DOWN(\"EPS\",\"1M\",+1,0,,,\"PORTAGG\",\"MEANR\")":1198.0,"TRYCH10Y-FDS^FG_YIELD_NAME":"Treasury - Switzerland Benchmark Bond 10Y","VGK^FMA_DIV_YLD(NTMA,NOW,NOW,M,\"PORTAGG\",\"MEANR\")":3.63223393714279,"QQQ^FG_FCF_YIELD_NTM(0)":3.61861623015214,"EWJ^FMA_PE(NTMA,0,,,\"PORTAGG\",\"MEANR\")":15.6371720229554,"EWJ^FG_TOTAL_RETURNC(-10AY,0,AM)":[-5.4735003,2.7573586,-0.08944869,9.131598,-0.058931112,-0.7438004,-1.6652763,-5.673158,4.443443,-0.4921913,-0.5212903,7.68559,3.8929462,2.8102994,1.0250568,-3.4197688,1.2084365,-7.8825293,-2.8523505,5.6994796,3.1045794,-3.821522,-10.373444,0.27776957,6.186521,5.3912997,-4.12541,1.2908816,1.3929605,3.885138,2.9268265,-0.7109046,-0.97453594,1.0915756,1.4874458,2.238059,-0.34870505,0.03888607,3.0897737,2.4085522,0.7039666,-0.05518794,1.914227,3.8829684,3.4770489,1.0252237,6.864226,-5.23265,-0.6778002,1.0153055,0.6426096,-3.3253849,-0.6827116,-1.3404369,4.581082,-5.6462345,-4.1835904,-7.8018546,9.041489,0.7571578,0.5681753,0.8747935,-2.8545558,2.2028327,0.3856063,-2.1949828,6.5083265,1.457417,3.0287266,1.6805053,-0.6686747,-4.695386,-20.342577,9.886944,6.1125636,7.3749304,0.35694838,2.4542093,1.3365746,1.8156886,8.916557,2.1131277,5.087316,3.0924797,-0.91112256,-3.281933,-0.6435633,0.77849627,-0.63272715,-1.2883067,9.540939,-7.066554,3.0209303,-2.846539,-3.31195,-1.8207014,-2.1687925,-7.196784,-1.1770844,-6.963402,3.6692023,2.0172477,-8.916056,-2.7234972,9.149921,2.2527814,5.392599,-2.6447713,0.9765625,3.7629724,3.3045292,4.0264964,-0.8893132,-4.8710165,3.8066387,-5.6790533,6.829512,3.0915022,4.387772,2.8679848,5.9595823],"EWI^FMA_PE(LTMA,-10AY,0,AM,\"PORTAGG\",\"MEANR\")":[17.2922490063448,17.1377969274912,16.871517045716,17.2980174984451,17.0039634086964,16.9852515302106,17.9716062095536,16.6422016335087,18.3345088872365,18.2603179464262,21.2611879033645,44.8435167587288,43.4498360947974,40.4830946678947,37.820639100446,34.7472817986185,32.1451175764226,28.6580883066836,25.8816280665591,23.6760833482818,21.9913589580404,18.5217700645064,16.0892782664492,14.6997640824609,15.4420034444901,15.3809480966765,15.4512956030101,14.8653807717449,14.6912655160564,14.7928437231344,14.5679587705027,15.22514073566,14.0956436514831,27.5725423254903,27.9068743305576,20.2692336073474,81.1238681842715,73.7187661896302,67.5135855874797,59.6324923568401,52.7484438526133,45.4827757364141,38.4336511689157,31.7387167288945,24.366034785677,17.6436756713723,16.0950662147587,14.2680675123045,14.1579038419713,14.1978897878037,13.8592216811219,13.3527649259753,13.2017105742455,12.7246877253509,12.7122063521543,11.5220764328876,11.0507338329855,10.5664441881321,11.1708503375256,11.1283636897662,11.3370253041477,11.3660816738568,11.1046586614997,11.1748117289151,11.2193153169656,10.9551673236158,11.3610442483097,11.5585667835883,11.8494714781994,12.3487852107801,12.203432247396,12.6890162128706,10.8370363828957,11.6126777616451,13.6747809874218,15.9592863356868,17.823312634552,17.5137873992996,17.8172519325093,18.8334258217427,21.8319234687339,22.2943802538928,20.8054356947907,20.2878552781776,20.0065966533364,19.3219544461179,18.677306611085,18.2747727363501,17.3425435591959,15.9500239046484,14.7637706128032,14.3751723872062,13.5292061777607,12.047690467871,11.9810773374982,11.5506029459094,10.5423482660754,10.482664320551,10.0914469490491,9.51862335492234,9.02262845107499,8.61601136351666,8.35625008388566,7.98616548410463,8.20467963727787,7.55264254093646,7.98336478156709,8.34186944049704,8.250688898181,8.41102421394401,8.29003913252578,8.49968300422035,8.71019321655576,8.15871824720733,8.36393883596265,7.99141944648548,8.20918807211891,8.82229328043956,8.97170985834834,9.17839362252353,9.45352354318026],"EWQ^FMA_PCT_ABOVE_MAVG(200,0,,,,\"PORTAGG\")":73.015873015873,"EWG^FG_TOTAL_RETURNC(0,-6AM)":17.35996,"EWA^PERCENT_CHANGE(FMA_EPS(+1,0,,,,\"PORTAGG\",\"MEAN\"),FMA_EPS(+1,-3AM,,,,\"PORTAGG\",\"MEAN\"))":-1.77056633298385,"QQQ^FMA_COS_UP(\"EPS\",\"1M\",+1,0,,,\"PORTAGG\",\"MEANR\")":33.0,"ENZL^FMA_RBICS_REV_CURRENT(30, LOC, \"PORTAGG\")":13.7517044499309,"TRYGB10Y-FDS^PCTCHG(FG_YIELD(0,,,,\"YTM\"),FG_YIELD(-1AM,,,,\"YTM\"))":0.73620147,"TRYFR10Y-FDS^FG_YIELD(0,,,,\"YTM\")":2.859,"CC_SE^IMF_IFS_RCPI_Q(0)":5.550837,"VGK^FG_PE_NTM(0,,,90,0)":13.6226878178671,"QQQ^FMA_DIV_YLD(NTMA,NOW,NOW,M,\"PORTAGG\",\"MEANR\")":0.882719537879806,"EWJ^FMA_PE(LTM,0,,,\"PORTAGG\",\"MEANR\")":16.3860644162271,"EWA^FMA_PE(NTMA,0,,,\"PORTAGG\",\"MEANR\")":16.4253110011505,"USDNZD^FG_PRICE_CHANGE(0,-6AM)":-1.8941283,"PASP-FDS^FG_PRICE_CHANGE(0,-3AM)":-14.1455437448896,"W-FDS^FG_PRICE_CHANGE(0,-3AM)":-10.734693877551,"SPY^FG_PRICE_MAVG(0,,,,200)":458.3918,"ENZL^FG_PRICE_MAVG(0,,,,200)":46.177963,"SPY^FG_TOTAL_RETURNC(0,-12AM)":32.81368,"VWO^FMA_COS_UP(\"EPS\",\"1M\",+1,0,,,\"PORTAGG\",\"MEANR\")":774.0,"QQQ^FMA_PE(NTMA,0,,,\"PORTAGG\",\"MEANR\")":26.3214581194614,"EWA^FMA_ROE(NTMA,-20AY,NOW,FY,\"PORTAGG\",\"MEANR\")":[15.4970825561621,16.532509518014,17.0193996486167,15.5609914058652,13.5690116283254,12.8492110125335,14.2386354612725,14.168071267681,12.6921652881541,13.1922555858139,12.5644042089263,10.7321365234713,11.5035211675747,11.9072990069878,12.4009311752812,11.7272453218097,11.0508592064609,12.8471719199911,14.6580605840091,13.2261379950135],"CAGDPY@CA^EE_ACTUAL_ANNUAL(MED,0)":-0.614727995236974,"USDNZD^STD(FG_PRICE_CHANGE(0,-1AY,AM))":2.48024366121825,"EWL^FG_TOTAL_RETURNC(-10AY,0,AM)":[-0.32728314,3.164184,1.7939806,0.39795637,-2.0463407,-1.0940254,-0.8370757,-5.51703,4.9138546,-2.0985484,1.3668895,2.4517298,1.7050505,2.411759,3.1303883,-3.5505474,1.0137558,-6.321335,-1.5307665,0.12689829,-1.3624847,-1.798904,-7.2293043,0.84626675,3.531468,3.7824988,-2.1802783,1.8296838,-0.35636425,3.1639218,0.22838116,-3.6783814,-3.4809053,2.1995902,3.7367105,2.7428985,2.412355,1.0050297,8.302248,-0.119912624,2.2019982,-2.1258295,1.9371867,0.3455162,-0.08608103,1.0626078,4.51833,-3.9695442,-2.1517515,-0.57870746,0.5529642,-4.6723485,5.726731,1.6190767,2.143681,-6.636417,-0.78979135,-5.93999,8.626307,2.876842,3.4663558,0.78828335,0.8938551,6.010592,0.0,-0.69296956,0.9930253,0.07971525,2.5225759,4.377103,3.2754302,0.7448435,-25.447172,16.410744,3.2426476,5.9540033,4.85065,1.5583158,0.5034685,-1.8845379,4.2061687,1.9897938,4.6234846,-2.4939835,-0.47116876,5.4328203,2.6726484,4.304695,0.42699575,2.8953195,-5.0964174,2.1355987,2.801466,1.8364906,-3.3546627,-3.089887,0.5797148,-1.2556612,-8.963943,-6.9557133,6.529379,0.966537,-9.199166,-1.8256605,10.16239,0.59438944,6.192386,-0.8902788,-1.9312859,10.14427,0.3118515,-3.3281922,3.9456367,-4.259801,-1.5638828,-5.258441,5.692017,5.8994412,-1.3293982,1.2189984,0.50706863],"URTH^P_PRICE(0)/P_PRICE_LOW_PR(0,,,USD,,,\"PRICE\",\"INTRA\",\"52W\")-1":0.2920425,"EWI^FG_TOTAL_RETURNC(0,-1AM)":6.721735,"EWU^FG_TOTAL_RETURNC(0,-6AM)":8.143436,"EWG^P_PRICE(0)/P_PRICE_HIGH_PR(0,,,USD,,,\"PRICE\",\"INTRA\",\"52W\")":0.99396825,"CC_IT^IMF_IFS_RCPI_Q(0)":0.98369783,"EWN^FMA_DIV_YLD(NTMA,NOW,NOW,M,\"PORTAGG\",\"MEANR\")":2.4848618906768,"ENZL^FMA_ROE(NTMA,-20AY,NOW,FY,\"PORTAGG\",\"MEANR\")":[null,null,null,null,null,null,10.8532267295878,10.9048734413645,11.45876758647,11.0832589152415,9.94517431688139,9.90242652659034,9.79986582903071,9.84792896856594,9.52177142619013,9.00388708752031,7.5322638919869,6.44400181202057,7.7689690341127,6.57910753918315],"CC_JP^FG_COMPANY_NAME":"Japan","USDJPY^STD(FG_PRICE_CHANGE(0,-3AY,M))":3.05516145651881,"EWI^PERCENT_CHANGE(FMA_EPS(+1,0,,,,\"PORTAGG\",\"MEAN\"),FMA_EPS(+1,-3AM,,,,\"PORTAGG\",\"MEAN\"))":0.329280181242675,"ENZL^FG_TOTAL_RETURNC(-10AY,0,AM)":[8.046902,0.16627312,0.0016570091,1.3480663,-0.6901324,-2.3104668,-3.4984052,0.66378117,3.7027597,-0.43804646,0.6919265,0.21567345,2.527535,-0.024414063,-4.370117,-6.6632566,-2.1547496,-2.3802638,-5.405408,10.3105545,-0.5067587,4.5939445,-4.4907627,3.4028769,10.441101,6.1931133,-1.713872,4.5289397,3.4574866,6.6681743,-0.17009974,-8.221513,-2.6688337,-2.958846,7.4478865,1.1119008,-3.1586409,2.5368452,1.8378973,6.4400554,4.539418,0.6990075,-0.9676039,-1.7204762,-2.7447581,6.4733863,2.7653813,0.20699501,3.5116673,-4.3703914,0.18781424,4.7967196,-2.4454296,0.62149763,1.6471028,-7.3121367,2.5349617,-2.497226,7.2318673,2.6049018,2.4162054,2.310431,-0.13510585,1.2764096,7.255709,-5.7895365,-0.9585917,4.4134736,-0.20392537,7.405591,2.9478908,-1.3524652,-31.648653,19.733501,6.385553,9.264302,8.811903,-0.6259501,-3.0643582,7.641208,5.4153204,1.6558409,4.6280622,-4.3350277,-1.3386607,0.0,-2.2925794,-2.1551669,1.3909459,-0.6169379,3.3406854,0.8378148,-5.674875,-2.2819102,-5.4049435,-2.208835,5.1148057,-6.7661166,-9.657145,-5.4179726,5.1308155,2.6922584,-7.374138,-6.3502493,11.886287,4.1400433,7.9542994,-5.175066,-2.8200448,2.2964478,3.897953,-3.9091647,1.3936162,-8.430052,-1.7344952,-5.159533,6.6809773,8.976221,-3.247434,-3.3131182,1.0078311],"EWL^FG_PRICE_MAVG(0,,,,200)":45.89315,"EWL^FG_TOTAL_RETURNC(0,-1AM)":0.50706863,"EWQ^FG_ROE(0)":12.5099938672616,"REFCATARG-FDS^PROPER_NAME(0,,,\"SECURITY\",\"NAME\")":"Canada Target Rate","TRYJP10Y-FDS^FG_YIELD(0,,,,\"YTM\")":0.7349,"EWQ^FG_FCF_YIELD_NTM(0)":5.5241393562895,"EWG^FMA_PE(NTMA,0,,,\"PORTAGG\",\"MEANR\")":12.0704620930793,"BRENT-FDS^FG_PRICE(0)":85.86,"VWO^PERCENT_CHANGE(FMA_EPS(+1,0,,,,\"PORTAGG\",\"MEAN\"),FMA_EPS(+1,-3AM,,,,\"PORTAGG\",\"MEAN\"))":-16.6996227558443,"EWI^FMA_COS_DOWN(\"EPS\",\"1M\",+1,0,,,\"PORTAGG\",\"MEANR\")":8.0,"SPY^FG_ROE(0)":18.0396609701034,"REFAUCASH-FDS^(SUBARRAY(NOT_NA(NO_REPEAT_F(FG_YIELD(NOW,-10AY,D))),0,1)-SUBARRAY(NOT_NA(NO_REPEAT_F(FG_YIELD(NOW,-10AY,D))),1,1))*100":25.0,"CC_FR^IMF_IFS_RCPI_Q(0)":3.7187452,"EWQ^FMA_DIV_YLD(NTMA,NOW,NOW,M,\"PORTAGG\",\"MEANR\")":3.13363118386142,"ENZL^FMA_EVAL_EBIT(LTMA,NOW,NOW,M,\"PORTAGG\",\"MEANR\")":20.3404028987719,"VGK^FG_PE(0)":12.3181783603183,"UUP^FG_TOTAL_RETURNC(0,-6AM)":1.7261505,"EWI^FMA_DIV_YLD(NTMA,NOW,NOW,M,\"PORTAGG\",\"MEANR\")":5.32485343166789,"SPY^FG_PRICE_MAVG(0,,,,60)":494.45483,"EWG^FMA_DIV_YLD(NTMA,NOW,NOW,M,\"PORTAGG\",\"MEANR\")":3.4332044487201,"EWL^FG_TOTAL_RETURNC(0,-12AM)":11.376059,"EWD^FG_ROE(0)":15.9942624856014,"EWQ^FMA_EVAL_EBITDA(NTMA,0,,,\"PORTAGG\",\"MEANR\")":9.38504404172151,"ENZL^JULIAN(FG_TOTAL_RETURNC(-10AY,0,AM).DATES)":[41719,41750,41780,41810,41841,41872,41901,41933,41964,41992,42025,42055,42083,42115,42145,42174,42206,42237,42268,42298,42328,42359,42390,42419,42450,42481,42510,42542,42572,42601,42634,42664,42695,42725,42755,42787,42815,42846,42874,42907,42937,42968,42999,43028,43060,43090,43119,43152,43180,43210,43241,43272,43301,43333,43364,43392,43425,43455,43483,43517,43545,43573,43606,43637,43665,43698,43728,43759,43790,43819,43851,43882,43910,43942,43972,44001,44033,44064,44095,44125,44155,44186,44217,44246,44274,44307,44337,44368,44398,44428,44460,44490,44519,44551,44582,44610,44641,44672,44701,44733,44763,44792,44825,44855,44886,44916,44946,44978,45006,45037,45065,45098,45128,45159,45190,45219,45251,45281,45310,45343,45372],"COPP-FDS^MAX(FG_PRICE(0,-5AY))":4.929,"EWL^FG_PRICE_MAVG(0,,,,60)":47.42967,"EWL^PERCENT_CHANGE(FMA_EPS(+1,0,,,,\"PORTAGG\",\"MEAN\"),FMA_EPS(+1,-3AM,,,,\"PORTAGG\",\"MEAN\"))":-6.96067188128014,"EWU^FG_ROE(0)":16.8718364073296,"REFAUCASH-FDS^PROPER_NAME(0,,,\"SECURITY\",\"NAME\")":"Australia Target Cash Rate","CC_US^IMF_IFS_RCPI_Q(0)":3.2433991,"EWQ^FMA_PE(NTMA,0,,,\"PORTAGG\",\"MEANR\")":14.6152923130056,"ENZL^FMA_EVAL_EBITDA(NTMA,0,,,\"PORTAGG\",\"MEANR\")":12.2013138601719,"EWG^FMA_PCT_ABOVE_MAVG(200,0,,,,\"PORTAGG\")":73.6842105263158,"CC_CA^IMF_IFS_RCPI_Q(0)":3.2111022,"DDR3512M-FDS^MAX(FG_PRICE(0,-5AY))":3.3053632,"EWA^FMA_PCT_ABOVE_MAVG(200,0,,,,\"PORTAGG\")":71.1864406779661,"CC_AU^FG_COMPANY_NAME":"Australia","ENZL^FMA_PCT_ABOVE_MAVG(200,0,,,,\"PORTAGG\")":50.0,"GLD^FG_TOTAL_RETURNC(0,-1AM)":7.728827,"URTH^FG_TOTAL_RETURNC(0,-3AM)":9.46579,"EWU^PERCENT_CHANGE(FMA_EPS(+1,0,,,,\"PORTAGG\",\"MEAN\"),FMA_EPS(+1,-3AM,,,,\"PORTAGG\",\"MEAN\"))":-3.4784596665487,"SPY^FG_PRICE_MAVG(0,,,,30)":507.99734,"USDITL^STD(FG_PRICE_CHANGE(0,-1AY,AM))":1.64848043693628,"EWN^FG_ROE(0)":9.48984051932671,"EWI^SIZE(FG_CONSTITUENTS)":27,"TRYBR10Y-FDS^FG_YIELD(-10AY,0,Y,,\"YTM\")":[12.319731,15.989595,11.062725,9.887577,8.936093,6.883678,6.961219,10.970291,12.900059,10.455909],"ENZL^FG_PRICE_MAVG(0,,,,60)":46.303833,"EWG^FG_TOTAL_RETURNC(0,-3AM)":5.991876,"EWI^FMA_COS_UP(\"EPS\",\"1M\",+1,0,,,\"PORTAGG\",\"MEANR\")":14.0,"EWL^FG_ROE(0)":24.8262963603062,"EWQ^FMA_PE(LTM,0,,,\"PORTAGG\",\"MEANR\")":17.0181544074463,"ENZL^FG_FCF_YIELD_NTM(0)":0.0866220172041076,"EWU^FMA_EVAL_EBIT(LTMA,NOW,NOW,M,\"PORTAGG\",\"MEANR\")":10.4226221241625,"EWU^FMA_DIV_YLD(NTMA,NOW,NOW,M,\"PORTAGG\",\"MEANR\")":4.20738012417827,"EWN^FG_TOTAL_RETURNC(0,-12AM)":23.475933,"EWC^FG_TOTAL_RETURNC(0,-12AM)":18.77557,"EWU^FMA_PE(NTMA,0,,,\"PORTAGG\",\"MEANR\")":11.2494469954474,"TRYJP10Y-FDS^PCTCHG(FG_YIELD(0,,,,\"YTM\"),FG_YIELD(-1AM,,,,\"YTM\"))":1.2258935,"CAGDPY@IT^EE_ACTUAL_ANNUAL(MED,+1)":0.85,"EWI^FMA_EVAL_EBITDA(NTMA,0,,,\"PORTAGG\",\"MEANR\")":7.43065415984221,"PLATI-FDS^MAX(FG_PRICE(0,-5AY))":1272.59,"EWN^FMA_PE(NTMA,0,,,\"PORTAGG\",\"MEANR\")":16.0186150181719,"USDITL^STD(FG_PRICE_CHANGE(0,-3AY,M))":2.27878559120409,"VGK^FMA_COS_DOWN(\"EPS\",\"1M\",+1,0,,,\"PORTAGG\",\"MEANR\")":546.0,"EWI^FMA_DIV_YLD(NTMA,-10AY,0,AM,\"PORTAGG\",\"MEANR\")":[3.43324785410699,3.42867849373665,3.60291381532912,3.40511777605435,3.54236787126486,3.6509729400533,3.5500979658325,4.01381318151463,3.85010389528602,4.0599271851668,3.91341611082224,3.49670359845252,3.10432585262074,3.14332257437835,3.13799842066124,3.34044048343096,3.16229695847999,3.39851660392416,3.43693647415685,3.58633775115366,3.63258855641483,3.87529951748977,4.41243479008105,4.71852754381658,4.23031865313178,4.27944351407899,4.52920715687063,4.71219477816924,4.74301799757567,4.87853697021189,4.97837895288174,4.78672542112014,4.8849300956209,4.28339085612905,4.30977014940966,4.4314482263472,4.01093193344722,4.07307281644726,3.76622501860903,3.78059234647177,3.80310760004875,3.77246286917437,3.69277373400185,3.83362747327975,3.89267841874735,3.90818929124916,3.7203720386062,3.95737049017277,4.02833200479603,3.89533415311419,4.09470268954962,4.47104926488701,4.45600351132,4.62441345870191,4.51950342756652,5.0843456906451,5.20530735260826,5.39738084223837,5.07212143979012,4.91433101548388,4.66814709599497,4.60895623624655,4.90637586913584,4.78640494717272,4.76715450636307,4.98648841828808,4.72233319918419,4.6775892390457,4.58942668086379,4.3954153227492,4.45993225837051,4.47502496779332,6.74798596369345,5.9742970351768,5.04231249307284,4.2574712140504,4.15881294709843,4.00362524036283,4.2564986115787,4.23033133271384,3.93467199308814,4.06730488430358,4.00505025396856,4.04696383478286,4.04216637835852,4.16879374338176,4.15366320886539,4.08940921038553,4.31076175313574,4.38824167430398,4.61178587912052,4.38791818283093,4.37874939712838,4.69181207509811,4.70647427123216,4.87962721588193,5.21125910261504,5.07144889190789,5.1889827154196,5.76059363055709,6.0185931048728,5.64977958550117,5.68467466951012,6.00453404510024,5.51843349080965,5.83534080564625,5.48430925383499,5.46088345434964,5.53950479752024,5.31556047976343,5.52644051964715,5.39395635632434,5.21068288834228,5.63039570921773,5.42508263067365,5.73924529524308,5.54935016857322,5.4845839095673,5.45869044055583,5.38090096941979,5.11910569414866],"COPP-FDS^FG_PRICE(0)/MAX(FG_PRICE(0,-1AY))":0.976000964785335,"EWI^FMA_PCT_ABOVE_MAVG(200,0,,,,\"PORTAGG\")":72.0,"EWU^SIZE(FG_CONSTITUENTS)":85,"EWJ^FG_ROE(0)":9.82410459469341,"REFNZOCR-FDS^(SUBARRAY(NOT_NA(NO_REPEAT_F(FG_YIELD(NOW,-10AY,D))),0,1)-SUBARRAY(NOT_NA(NO_REPEAT_F(FG_YIELD(NOW,-10AY,D))),1,1))*100":25.0,"CC_GB^IMF_IFS_RCPI_Q(0)":4.3536315,"EWQ^JULIAN(FMA_DIV_YLD(NTMA,NOW,NOW,M,\"PORTAGG\",\"MEANR\").DATES)":45351,"ENZL^FMA_DIV_YLD(NTMA,NOW,NOW,M,\"PORTAGG\",\"MEANR\")":2.89713443638978,"EWG^PERCENT_CHANGE(FMA_EPS(+1,0,,,,\"PORTAGG\",\"MEAN\"),FMA_EPS(+1,-3AM,,,,\"PORTAGG\",\"MEAN\"))":-5.46254595971089,"TLT^FG_TOTAL_RETURNC(0,-6AM)":4.6120644,"FXI^FG_TOTAL_RETURNC(0,-12AM)":-11.382109,"EWI^FG_FCF_YIELD_NTM(0)":6.21791282743706,"VGK^FMA_COS_UP(\"EPS\",\"1M\",+1,0,,,\"PORTAGG\",\"MEANR\")":432.0,"EWN^JULIAN(FMA_DIV_YLD(NTMA,NOW,NOW,M,\"PORTAGG\",\"MEANR\").DATES)":45351,"REFCATARG-FDS^(SUBARRAY(NOT_NA(NO_REPEAT_F(FG_YIELD(NOW,-10AY,D))),0,1)-SUBARRAY(NOT_NA(NO_REPEAT_F(FG_YIELD(NOW,-10AY,D))),1,1))*100":25.0,"TRYVN10Y-FDS^FG_YIELD(-10AY,0,Y,,\"YTM\")":[7.3,6.277413,7.1117578,5.6717234,4.738006,3.5404546,2.4877946,2.059403,4.687226,2.9473283],"ENZL^FG_PRICE_MAVG(0,,,,30)":45.4425,"EWG^FG_TOTAL_RETURNC(0,-1AM)":5.385399,"REFNZOCR-FDS^FG_YIELD(NOW,,,0)":5.5,"QQQ^FMA_PE(LTM,0,,,\"PORTAGG\",\"MEANR\")":34.578969755343,"ENZL^FMA_PE(NTMA,0,,,\"PORTAGG\",\"MEANR\")":24.7288747400243,"CC_JP^IMF_IFS_RCPI_Q(0)":2.9194753,"EWD^P_PRICE(0)/P_PRICE_HIGH_PR(0,,,USD,,,\"PRICE\",\"INTRA\",\"52W\")":0.98845047,"EWU^FG_FCF_YIELD_NTM(0)":6.36977338910678,"TLT^FG_TOTAL_RETURNC(0,-3AM)":-5.3111258,"TLT^FG_TOTAL_RETURNC(0,-1AM)":1.3028026,"EWG^SIZE(FG_CONSTITUENTS)":57,"UUP^P_PRICE(0)/P_PRICE_HIGH_PR(0,,,USD,,,\"PRICE\",\"INTRA\",\"52W\")":0.9338637,"UUP^FG_TOTAL_RETURNC(0,-3AM)":3.71871,"EWU^FMA_EPS(NTMA,-20AY,0,CY,,\"PORTAGG\",\"MEANR\")":[2.78829402631307,2.94932484667975,3.75488864741091,4.07523919059458,2.818707383858,2.6972177795125,3.36495665882676,3.43468170545609,3.30605625416888,3.23218168522276,2.60589751741525,2.12294202915382,2.123898319152,2.42405089418043,2.57732227429949,2.53485794961448,2.03463841368045,2.71427224666172,3.12760120843659,3.00523278574567],"EWD^FG_TOTAL_RETURNC(0,-12AM)":22.403145,"EWU^FMA_COS_DOWN(\"EPS\",\"1M\",+1,0,,,\"PORTAGG\",\"MEANR\")":42.0,"CC_CH^IMF_IFS_RCPI_Q(0)":1.6172575,"QQQ^JULIAN(FMA_DIV_YLD(NTMA,NOW,NOW,M,\"PORTAGG\",\"MEANR\").DATES)":45351,"ENZL^FMA_PE(LTM,0,,,\"PORTAGG\",\"MEANR\")":29.2477735958567,"REFNZOCR-FDS^PROPER_NAME(0,,,\"SECURITY\",\"NAME\")":"New Zealand Official Cash Rate","EWU^FMA_EVAL_EBITDA(NTMA,0,,,\"PORTAGG\",\"MEANR\")":7.37424070244517,"EWL^FMA_COS_UP(\"EPS\",\"1M\",+1,0,,,\"PORTAGG\",\"MEANR\")":15.0,"TRYCH10Y-FDS^PCTCHG(FG_YIELD(0,,,,\"YTM\"),FG_YIELD(-1AM,,,,\"YTM\"))":-24.65596,"EWU^FMA_PE(LTMA,-10AY,0,AM,\"PORTAGG\",\"MEANR\")":[14.2699232227628,14.2833209833486,14.388811469666,14.4030494404575,14.3183181174234,14.2414919820199,14.2481092468444,13.5246065410511,14.0621161887228,13.7647218075741,14.0324867471459,14.7850675997271,15.2963906059173,15.5659672886925,15.7938477606941,15.640266193325,15.7968412641651,15.0825483082746,15.0731648460099,15.6904801501217,15.9193262308823,15.183373584555,14.4527691121823,14.8601274256764,15.7264683262006,16.0258837686862,15.8819323448025,16.1450891465846,16.5243487854319,16.921971703119,16.8843701508846,16.8933811123995,16.3681333918382,16.976231064995,17.0452062986645,17.198900251065,17.2247324516114,16.8648592560914,16.8685333334177,16.5071308127224,16.5060556827643,16.035741514827,15.824864671187,15.7460774217326,15.2555183149629,15.3735201980011,15.6400878940307,14.6166016606304,13.901066481637,14.003907992887,14.1650153332986,13.828459808332,13.8049141461879,13.6470104843322,13.6282517354131,12.9267011028718,12.7058277710016,11.9906287576816,12.4611106427725,13.0266009185568,12.987133091152,13.02155751431,12.9119353657794,13.0156240319932,13.1316287830605,12.7846884938972,13.1140073616252,13.1379710411633,13.2993102734628,14.0732282475819,14.2473143170491,13.9430074933538,11.9446441361683,12.9997368073691,14.2863036630346,15.1517499915493,15.7969031699308,16.2256480524817,16.4300292981322,16.7955793739981,18.4887121144813,19.1433761215218,20.1303898226739,19.5422144898892,18.5111741059031,17.8775963630925,17.3058429389823,16.671076943941,15.7390277332877,14.8867784515691,14.0626850288043,13.7585812102508,13.007379608172,12.2970799338696,12.5981269703659,12.6717691032586,12.4638614803423,12.2205618540007,11.7162820563367,11.2817019349014,10.9623231101553,10.7065616381169,9.953471522078,9.39905628033877,9.63428631538643,9.7152591414686,10.205065963585,10.4288491829256,10.1830989865402,10.4203535826868,10.3472443038836,10.3348882411099,10.5727313332613,10.3202108919414,10.6813178954995,10.3672499564389,10.7358182777769,11.1859289872827,10.9723282872387,11.4872198677348,11.4532600335288],"EWU^FMA_PE(LTM,0,,,\"PORTAGG\",\"MEANR\")":10.5826970733082,"TRYDE10Y-FDS^PCTCHG(FG_YIELD(0,,,,\"YTM\"),FG_YIELD(-3AM,,,,\"YTM\"))":22.577368,"EWN^FMA_PE(LTMA,-10AY,0,AM,\"PORTAGG\",\"MEANR\")":[17.1818308807792,16.9654769013633,16.7868528687784,16.8408312215947,16.4593591373487,16.4731058677686,16.9123784655553,15.9748568263242,17.4715111028698,17.3590566291863,18.3050262091855,19.584008142256,20.0848867167422,19.8705120308958,19.626639450031,18.98907583947,19.2058670550724,17.5481571611308,17.0561552860145,17.1849261679769,18.1275193783847,16.7559804189623,15.5725963881873,16.0113035816168,16.4157280706104,16.3825692606233,16.1541283203753,15.998429941777,16.0878413667238,16.0569402728645,16.0269072235955,16.0136134366619,15.5892702564975,16.2750745405187,16.3081985563969,16.5377989193115,16.4950752684064,16.5682531792339,16.6915786424867,16.6653449178058,16.6358583319115,16.5657614449963,16.8121361894608,17.2264333759233,17.3136872947291,17.3429179551087,17.5685594248004,16.607270642898,16.6428761592258,16.5462702272462,16.6857199607424,16.5802608144705,16.8185489286458,16.553798183138,16.4566534785286,15.6406209447738,15.3097680644435,14.215783463118,14.9261238535329,16.0893605427932,16.1836064443905,16.3279970255819,16.1610477072597,16.3584421527124,16.5549481547219,16.4026986666787,17.1056623818539,17.2708647676061,17.7853072976358,18.6934986138852,18.6790130199869,19.6334352798092,16.5878244387963,17.3997117132338,18.2563361146977,19.5012021577167,20.501242865436,20.8908628228787,21.1923441562876,22.4126319560187,24.8216131654215,26.3060020754825,28.508712029685,30.1029488642152,28.6564556448954,28.1513794239261,27.2351597144581,26.6993260419388,26.0664083365716,25.8536845152907,25.1897811468205,24.6872461682171,24.3320449228566,22.1996046030231,20.9823815561822,18.9280761877395,18.4548900822912,18.5603351030814,18.1671946325936,17.8476660942005,19.2126122429915,19.4098674091634,17.9699735619594,17.4719361788709,18.3768508178119,18.1653619278632,19.2787489865522,21.0197140039976,20.3316598931324,20.0067767521486,19.6481964928719,19.1510645682867,19.0301014204321,17.8225497539994,16.9567149647843,15.8095244504438,16.4475310779631,16.8127160707115,16.4397959209179,17.5652054200574,18.4450620572771],"ENZL^JULIAN(FMA_DIV_YLD(NTMA,NOW,NOW,M,\"PORTAGG\",\"MEANR\").DATES)":45351,"ENZL^JULIAN(FMA_DIV_YLD(LTMA,-10AY,0,AM,\"PORTAGG\",\"MEANR\").DATES)":[41719,41750,41780,41810,41841,41872,41901,41933,41964,41992,42025,42055,42083,42115,42145,42174,42206,42237,42268,42298,42328,42359,42390,42419,42450,42481,42510,42542,42572,42601,42634,42664,42695,42725,42755,42787,42815,42846,42874,42907,42937,42968,42999,43028,43060,43090,43119,43152,43180,43210,43241,43272,43301,43333,43364,43392,43425,43455,43483,43517,43545,43573,43606,43637,43665,43698,43728,43759,43790,43819,43851,43882,43910,43942,43972,44001,44033,44064,44095,44125,44155,44186,44217,44246,44274,44307,44337,44368,44398,44428,44460,44490,44519,44551,44582,44610,44641,44672,44701,44733,44763,44792,44825,44855,44886,44916,44946,44978,45006,45037,45065,45098,45128,45159,45190,45219,45251,45281,45310,45343,45369],"NI-FDS^FG_PRICE(0)":17430.0,"TRYGB10Y-FDS^FG_YIELD(0,,,,\"YTM\")":4.105,"W-FDS^FG_PRICE_MAVG(0,,,,30)":5.602,"USDJPY^STD(FG_PRICE_CHANGE(0,-1AY,AM))":2.2477412086405,"EWD^P_PRICE(0)/P_PRICE_LOW_PR(0,,,USD,,,\"PRICE\",\"INTRA\",\"52W\")-1":0.3387649,"EWU^FMA_COS_UP(\"EPS\",\"1M\",+1,0,,,\"PORTAGG\",\"MEANR\")":33.0,"TRYJP10Y-FDS^PCTCHG(FG_YIELD(0,,,,\"YTM\"),FG_YIELD(-3AM,,,,\"YTM\"))":29.315502,"SPY^P_PRICE(0)/P_PRICE_LOW_PR(0,,,USD,,,\"PRICE\",\"INTRA\",\"52W\")-1":0.3410375,"EWG^FMA_EVAL_EBITDA(NTMA,0,,,\"PORTAGG\",\"MEANR\")":8.39204307468498,"EWG^FG_FCF_YIELD_NTM(0)":6.12112413335654,"EWU^FG_TOTAL_RETURNC(0,-1AM)":3.7672281,"URTH^PERCENT_CHANGE(FMA_EPS(+1,0,,,,\"PORTAGG\",\"MEAN\"),FMA_EPS(+1,-3AM,,,,\"PORTAGG\",\"MEAN\"))":-1.51048274853295,"EWQ^FMA_EVAL_EBIT(LTMA,NOW,NOW,M,\"PORTAGG\",\"MEANR\")":13.2389374779686,"EWL^FG_TOTAL_RETURNC(0,-3AM)":0.37982464,"EWQ^FMA_PE(LTMA,-10AY,0,AM,\"PORTAGG\",\"MEANR\")":[15.9060113081562,15.8098105250149,15.7838347375011,15.8445302298669,15.3873137593292,15.2702784486524,15.5388407061324,14.5708463279629,15.2886691033137,14.9688479290109,15.7607916276536,17.0913388270942,17.6056211367998,17.6375489102628,17.5889847368572,17.0578982009253,17.3935827012444,16.1766589408084,15.8696665993876,15.9386982713752,16.3536887511465,15.2368929213889,13.9892335399471,14.7200914714945,15.1731631424566,15.3187983501598,15.0884699575263,15.0269566927516,15.0025167197773,14.8710241305852,14.8061907804481,15.0726012245269,14.8455476892406,15.6489638787243,15.7915177856933,15.541426286427,15.6023963519013,15.5827654365435,15.7955706349427,15.7270487548548,15.5900005055858,15.440127477889,15.8097693357603,16.0672231629376,15.9701008197542,16.1544724111787,16.6255303624506,15.7546711874617,15.5294965915158,15.5686951000693,15.6615565839468,15.1794050861033,15.2386637535748,15.050488625375,15.1459028549283,14.2063661974912,13.7648067052676,12.9039449751081,13.422658098728,14.4005830960671,14.5862789156379,14.6761979587099,14.5102237176989,14.6569649849835,14.8112597315735,14.7016013890627,15.2071436543483,15.3572697702524,15.9894412759811,16.5087362909565,16.6763226070015,16.5709114894877,14.0467729256136,15.2329868793151,16.2433458225298,18.1894574957338,20.3474891098597,21.9642276667049,22.600790541676,24.1363240647644,27.4235673867492,27.6962851827948,28.7283488090752,28.0011990813493,26.6113551434263,25.7295544664447,24.8031742362798,24.101913230724,22.7069568267392,21.2961861061037,20.1495805628026,19.0080214188959,18.4045798946043,17.0823612202776,16.7186236943251,16.104396683685,15.3393421373632,15.1054311345897,14.3573730782993,13.7298162653163,13.4388208705796,13.0585470825046,12.05151090307,11.5846850184844,12.0819170697603,11.776441507763,12.6476484620259,12.9691209412146,12.8884024898813,13.2335953599743,13.2209034075879,13.1807448204072,13.4436430969213,13.1391889573357,13.1232524504571,12.5013856302734,13.2538027177898,14.0610826466158,13.9177521097754,15.2564053979123,15.5169805208676],"EWG^PERCENT_CHANGE(FMA_EPS(+1,0,,,,\"PORTAGG\",\"MEAN\"),FMA_EPS(+1,-1AM,,,,\"PORTAGG\",\"MEAN\"))":-0.434908568295316,"EWL^SIZE(FG_CONSTITUENTS)":46,"CC_DE^IMF_IFS_RCPI_Q(0)":3.5546436,"TLT^P_PRICE(0)/P_PRICE_HIGH_PR(0,,,USD,,,\"PRICE\",\"INTRA\",\"52W\")":0.8550564,"PLATI-FDS^FG_PRICE(0)/MAX(FG_PRICE(0,-1AY))":0.814977973568282,"EWC^FG_TOTAL_RETURNC(-10AY,0,AM)":[0.344944,2.8875947,2.2385597,4.705882,1.9366026,0.24676323,-1.2923002,-7.1072397,4.1275263,-6.689042,-5.392152,2.5536537,-0.9382844,5.20947,-0.6578922,-4.2523565,-6.45684,-7.8039227,1.914072,0.29215813,-3.2875597,-6.9720564,-9.751522,10.649347,11.314559,5.145514,-3.0886471,3.2284856,1.6023874,2.9037476,-1.2756109,0.62646866,1.0894895,2.243197,2.0152092,3.7271738,-5.461735,0.98822117,-1.0914505,-0.32622814,7.0053935,-1.7625868,5.5657268,0.9365201,0.27490854,1.1766195,3.396225,-6.5693436,-0.49715638,0.07138252,4.885876,-3.2158673,2.33711,-0.06920695,0.58864355,-6.402749,-2.4641395,-10.172314,12.761414,5.0340652,0.39639473,2.8715014,-1.4305651,2.1230817,0.839448,-3.0176938,4.2918444,-1.2345672,2.5347233,1.6780019,3.2399654,0.13076067,-38.752853,19.882727,8.448195,6.3902736,5.7999253,4.5621753,-4.2575655,2.6093364,6.088829,5.1142693,4.2601705,3.0567646,4.1162252,1.8895268,6.3908696,0.8583665,-1.6853988,-0.7346928,-0.87718964,9.236729,-0.6329119,-4.25421,1.3477087,0.3989458,6.516552,-1.8900752,-8.21293,-4.7634363,-0.788784,4.6230793,-7.796228,-2.4420023,7.5093865,-2.8834343,6.7193627,-2.108258,-4.1618166,6.9541454,-1.2492955,-0.23568273,4.2212486,-5.9217873,0.979805,-4.4986725,5.9113383,6.5485,-0.19358397,1.1083484,4.6862125],"TRYCH10Y-FDS^FG_YIELD(0,,,,\"YTM\")":0.657,"USDJPY^FG_PRICE_CHANGE(0,-6AM)":2.7904034,"URTH^FG_TOTAL_RETURNC(0,-6AM)":20.201408,"EWN^FMA_PE(LTM,0,,,\"PORTAGG\",\"MEANR\")":23.5663315984088,"EWL^FG_TOTAL_RETURNC(0,-6AM)":6.4443946,"URTH^PERCENT_CHANGE(FMA_EPS(+1,0,,,,\"PORTAGG\",\"MEAN\"),FMA_EPS(+1,-1AM,,,,\"PORTAGG\",\"MEAN\"))":0.142848363974887,"EWA^JULIAN(FMA_DIV_YLD(NTMA,NOW,NOW,M,\"PORTAGG\",\"MEANR\").DATES)":45351,"TRYTW10Y-FDS^FG_YIELD(-10AY,0,Y,,\"YTM\")":[1.6015,1.015,1.2037,0.9478,0.8648,0.672,0.315,0.7413,1.2812,1.211],"SPY^FMA_PE(LTMA,-10AY,0,AM,\"PORTAGG\",\"MEANR\")":[16.3332181117049,16.2752839964841,16.1990295661506,16.4028395388227,16.4072291968288,16.4599513807028,16.6058578041484,16.2342511594978,17.0730053542918,17.3579591946434,17.0626443357983,17.6429237289594,17.5858031042949,17.5591127952663,17.5975606916361,17.5156174589587,17.5977605998733,16.8354731646229,16.7423188933481,17.0885971282663,17.4911271545451,16.9401863252454,15.6911034762622,16.2966838906097,16.18819342752,16.4452153070474,16.565182572191,16.8151741835239,17.2896224849393,17.5551761242907,17.6670656304825,17.6343437190018,18.200926088202,18.948772704301,18.9415395929387,19.5448527198271,19.3644651264214,19.1994278616709,19.1201745629167,19.1624801421107,19.2438984719265,18.8961069369424,19.2232686245715,19.7137874704413,19.7029698558363,20.3111992429769,21.0904832041873,19.7567245650876,19.6208390512632,19.2645987196442,19.0201415468036,18.7853146738113,18.674750798458,18.6140684186265,18.6887395038247,17.7528810739178,16.7383365597724,15.0645704519365,16.5224888589966,17.0670218322642,17.1698729919531,17.2409942985689,17.1502994067948,17.4041278988124,17.6123651208213,17.5107629026678,17.8618580445052,18.1466151059943,18.8400365918526,19.6974863863848,20.3573913387478,20.2408415805857,17.1533383093871,18.5917697803884,19.9937731340265,20.9670025857204,22.2244205474867,22.976985954264,22.9545432910785,24.160483269028,24.73581287235,26.7477730269563,27.5823084094018,27.1050543452608,26.0789342840654,25.9127809069414,25.1401300577244,24.7878599193886,24.5058840020264,23.9077107885581,23.199698197587,23.3500889923299,23.3653663745995,22.7919355086614,21.2655123976,20.6739851735004,20.6815094412756,20.4022565090099,19.4579528620817,18.7952928366485,19.0311758887719,19.524358225746,18.0125917629186,17.6753575066699,18.2115012245523,17.6915397896497,18.038201718176,18.1471879420938,18.0755901154564,18.3055301792717,18.4261548189411,18.8783362362801,19.5704184225046,19.2166225973093,19.1569568858119,18.9753888878289,20.2975992875825,21.5361465759972,22.0996971380218,22.3181837711001,22.7761030713401],"EWD^FG_TOTAL_RETURNC(0,-6AM)":29.561222,"EWA^PERCENT_CHANGE(FMA_EPS(+1,0,,,,\"PORTAGG\",\"MEAN\"),FMA_EPS(+1,-1AM,,,,\"PORTAGG\",\"MEAN\"))":1.85107513991691,"USDEUR^FG_PRICE_CHANGE(0,-1AY)":-0.833261,"VGK^JULIAN(FMA_DIV_YLD(NTMA,NOW,NOW,M,\"PORTAGG\",\"MEANR\").DATES)":45322,"ENZL^PERCENT_CHANGE(FMA_EPS(+1,0,,,,\"PORTAGG\",\"MEAN\"),FMA_EPS(+1,-1AM,,,,\"PORTAGG\",\"MEAN\"))":-11.6405994719938,"REFFFUND-FDS^(SUBARRAY(NOT_NA(NO_REPEAT_F(FG_YIELD(NOW,-10AY,D))),0,1)-SUBARRAY(NOT_NA(NO_REPEAT_F(FG_YIELD(NOW,-10AY,D))),1,1))*100":25.0,"QQQ^FG_PRICE_MAVG(0,,,,200)":388.62375,"EWA^FMA_PE(LTM,0,,,\"PORTAGG\",\"MEANR\")":17.9877338882236,"EWU^FG_PRICE(0)":33.88,"USDEUR^FG_PRICE_CHANGE(0,-3AM)":1.1877298,"UUP^FG_TOTAL_RETURNC(0,-1AM)":0.53533316,"EWG^FMA_EVAL_EBIT(LTMA,NOW,NOW,M,\"PORTAGG\",\"MEANR\")":13.2685689592599,"BRENT-FDS^MAX(FG_PRICE(0,-5AY))":140.85,"REFCATARG-FDS^FG_YIELD(NOW,,,0)":5.0,"TRYZA10Y-FDS^JULIAN(FG_YIELD(-10AY,0,CY,,\"YTM\").DATES)":[42004,42369,42734,43098,43465,43830,44196,44561,44925,45289],"USDEUR^FG_PRICE_CHANGE(0,-1AM)":-0.51100254,"CAGDPY@IT^EE_ACTUAL_ANNUAL(MED,0)":0.16351971143806,"USDEUR^FG_PRICE(0)":0.9207255,"PASP-FDS^FG_PRICE_CHANGE(0,-1AM)":6.70731707317074,"FXI^P_PRICE(0)/P_PRICE_HIGH_PR(0,,,USD,,,\"PRICE\",\"INTRA\",\"52W\")":0.7865095,"ENZL^FG_TOTAL_RETURNC(0,-12AM)":-2.924031,"EWI^FMA_EVAL_EBIT(LTMA,NOW,NOW,M,\"PORTAGG\",\"MEANR\")":11.2684586911266,"EWJ^JULIAN(FMA_DIV_YLD(NTMA,NOW,NOW,M,\"PORTAGG\",\"MEANR\").DATES)":45351,"VGK^SIZE(FG_CONSTITUENTS)":1296,"EWQ^FMA_EPS(NTMA,-20AY,0,CY,,\"PORTAGG\",\"MEANR\")":[2.02293794620879,2.09338204215347,2.69740018358616,3.1669085058651,2.36664992614361,2.07401175960449,2.36258917800502,2.15605314606315,2.15764377090538,2.15768724966229,1.78907537429816,1.66363137331966,1.69319582409989,2.10907755629154,2.23155948612122,2.19705971714274,1.85113612011142,2.46081798651847,2.80265475944353,2.92072613428035],"ENZL^P_PRICE(0)/P_PRICE_HIGH_PR(0,,,USD,,,\"PRICE\",\"INTRA\",\"52W\")":0.8791423,"TRYDE10Y-FDS^PCTCHG(FG_YIELD(0,,,,\"YTM\"),FG_YIELD(-1AM,,,,\"YTM\"))":0.082844034,"GLD^P_PRICE(0)/P_PRICE_HIGH_PR(0,,,USD,,,\"PRICE\",\"INTRA\",\"52W\")":0.99043745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291135,16.6617703355475,22.2767073894672,22.9690023603335,24.3482730638147],"PASP-FDS^FG_PRICE_MAVG(0,,,,30)":989.2,"ENZL^FG_TOTAL_RETURNC(0,-6AM)":4.1831493,"EWJ^FMA_EPS(NTMA,-20AY,0,CY,,\"PORTAGG\",\"MEANR\")":[2.83572005832403,2.84830335934349,3.29156932486821,3.66778515674736,2.74393009109397,1.93733358061505,3.17729322550467,3.09458124193192,2.8747287105461,3.27496071085416,3.14456301788536,3.44827515089069,3.33160709427031,4.07233312791291,4.56488250158257,4.07638219874125,3.67789534776584,4.61613845138492,4.46089531352278,4.56547544298887],"EWI^FG_ROE(0)":13.3038801537616,"URTH^FG_TOTAL_RETURNC(0,-1AM)":5.0617337,"EWL^P_PRICE(0)/P_PRICE_LOW_PR(0,,,USD,,,\"PRICE\",\"INTRA\",\"52W\")-1":0.14488566,"ENZL^FG_TOTAL_RETURNC(0,-3AM)":-5.5101633,"TRYCA10Y-FDS^PCTCHG(FG_YIELD(0,,,,\"YTM\"),FG_YIELD(-3AM,,,,\"YTM\"))":13.030607,"GLD^FG_TOTAL_RETURNC(0,-6AM)":13.434422,"CC_CA^FG_COMPANY_NAME":"Canada"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5695689,10.4260783076313,13.6402697494705,12.7503134568906,16.3242202004236],"NI-FDS^MAX(FG_PRICE(0,-5AY))":48241.0,"ENZL^PERCENT_CHANGE(FMA_EPS(+1,0,,,,\"PORTAGG\",\"MEAN\"),FMA_EPS(+1,-3AM,,,,\"PORTAGG\",\"MEAN\"))":-15.9987807901588,"GLD^FG_TOTAL_RETURNC(0,-3AM)":6.6198587,"W-FDS^FG_PRICE_CHANGE(0,-1AM)":-6.2580368624089,"DUMMY^ECON_DATE(45344,,, 'MM/YYYY')":"02/2024","DUMMY^ECON_DATE(45252,,, 'MM/YYYY')":"11/2023","DUMMY^ECON_EXPR_DATA('FDS_ECON[NTCPMIMFGSA@NZ]',02/2024,,Q)":44.351116,"DUMMY^ECON_EXPR_DATA('FDS_ECON[NTCPMIMFGSA@NZ]',11/2023,,Q)":45.880733,"DUMMY^ECON_EXPR_DATA('FDS_ECON[NTCPMIMFGSA@AU]',02/2024,,Q)":47.862293,"DUMMY^ECON_EXPR_DATA('FDS_ECON[NTCPMIMFGSA@AU]',11/2023,,Q)":49.327065,"DUMMY^ECON_EXPR_DATA('FDS_ECON[NTCPMIMFGSA@CA]',02/2024,,Q)":47.255585,"DUMMY^ECON_EXPR_DATA('FDS_ECON[NTCPMIMFGSA@CA]',11/2023,,Q)":48.335907,"DUMMY^ECON_EXPR_DATA('FDS_ECON[NTCPMIMFGSA@DE]',02/2024,,Q)":42.238945,"DUMMY^ECON_EXPR_DATA('FDS_ECON[NTCPMIMFGSA@DE]',11/2023,,Q)":39.155674,"DUMMY^ECON_EXPR_DATA('FDS_ECON[NTCPMIMFGSA@JP]',02/2024,,Q)":48.31877,"DUMMY^ECON_EXPR_DATA('FDS_ECON[NTCPMIMFGSA@JP]',11/2023,,Q)":49.252666,"DUMMY^ECON_EXPR_DATA('FDS_ECON[NTCPMIMFGSA@CH]',02/2024,,Q)":41.921543,"DUMMY^ECON_EXPR_DATA('FDS_ECON[NTCPMIMFGSA@CH]',11/2023,,Q)":41.102364,"DUMMY^ECON_EXPR_DATA('FDS_ECON[NTCPMIMFGSA@GB]',02/2024,,Q)":46.0587,"DUMMY^ECON_EXPR_DATA('FDS_ECON[NTCPMIMFGSA@GB]',11/2023,,Q)":44.209953,"DUMMY^ECON_EXPR_DATA('FDS_ECON[NTCPMIMFGMESA@US]',02/2024,,Q)":49.098827,"DUMMY^ECON_EXPR_DATA('FDS_ECON[NTCPMIMFGMESA@US]',11/2023,,Q)":48.91491,"DUMMY^ECON_EXPR_DATA('FDS_ECON[NTCPMIMFGSA@FR]',02/2024,,Q)":42.573967,"DUMMY^ECON_EXPR_DATA('FDS_ECON[NTCPMIMFGSA@FR]',11/2023,,Q)":45.09797,"DUMMY^ECON_EXPR_DATA('FDS_ECON[NTCPMIMFGSA@NL]',02/2024,,Q)":44.495136,"DUMMY^ECON_EXPR_DATA('FDS_ECON[NTCPMIMFGSA@NL]',11/2023,,Q)":44.945713,"DUMMY^ECON_EXPR_DATA('FDS_ECON[]',02/2024,,Q)":null,"DUMMY^ECON_EXPR_DATA('FDS_ECON[]',11/2023,,Q)":null,"DUMMY^ECON_EXPR_DATA('FDS_ECON[NTCPMIMFGSA@IT]',02/2024,,Q)":44.859455,"DUMMY^ECON_EXPR_DATA('FDS_ECON[NTCPMIMFGSA@IT]',11/2023,,Q)":45.562866,"DUMMY^ECON_EXPR_DATA('FDS_ECON[PMIDMMANHE]',02/2024,,Q)":47.378044,"DUMMY^ECON_EXPR_DATA('FDS_ECON[PMIDMMANHE]',11/2023,,Q)":47.086407,"DUMMY^ECON_EXPR_DATA('FDS_ECON[NTCPMIMFGSA@EME]',02/2024,,Q)":50.64065,"DUMMY^ECON_EXPR_DATA('FDS_ECON[NTCPMIMFGSA@EME]',11/2023,,Q)":50.814144}]]></FdsFormulaCache>
</file>

<file path=customXml/itemProps1.xml><?xml version="1.0" encoding="utf-8"?>
<ds:datastoreItem xmlns:ds="http://schemas.openxmlformats.org/officeDocument/2006/customXml" ds:itemID="{AC76F40B-32D3-46D2-813C-EF63A7730506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Charts</vt:lpstr>
      </vt:variant>
      <vt:variant>
        <vt:i4>1</vt:i4>
      </vt:variant>
    </vt:vector>
  </HeadingPairs>
  <TitlesOfParts>
    <vt:vector size="28" baseType="lpstr">
      <vt:lpstr>Assumption</vt:lpstr>
      <vt:lpstr>Aset class Rankings</vt:lpstr>
      <vt:lpstr>Asset class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2024-03-22T10:47:31Z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