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477FBE9-CDD6-4D43-8934-56D27A03EC81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G9" i="57" a="1"/>
  <c r="G8" i="57" a="1"/>
  <c r="G7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9" i="57" a="1"/>
  <c r="D8" i="57" a="1"/>
  <c r="D7" i="57" a="1"/>
  <c r="D6" i="57" a="1"/>
  <c r="G6" i="57" a="1"/>
  <c r="D23" i="1" l="1"/>
  <c r="G6" i="57"/>
  <c r="D6" i="57"/>
  <c r="D7" i="57"/>
  <c r="D8" i="57"/>
  <c r="D9" i="57"/>
  <c r="D17" i="57"/>
  <c r="E17" i="57"/>
  <c r="B17" i="57"/>
  <c r="G2" i="57"/>
  <c r="D2" i="57"/>
  <c r="G3" i="57"/>
  <c r="D3" i="57"/>
  <c r="G4" i="57"/>
  <c r="D4" i="57"/>
  <c r="G5" i="57"/>
  <c r="D5" i="57"/>
  <c r="G7" i="57"/>
  <c r="G8" i="57"/>
  <c r="G9" i="57"/>
  <c r="G10" i="57"/>
  <c r="D10" i="57"/>
  <c r="G11" i="57"/>
  <c r="D11" i="57"/>
  <c r="G12" i="57"/>
  <c r="D12" i="57"/>
  <c r="G13" i="57"/>
  <c r="D13" i="57"/>
  <c r="G14" i="57"/>
  <c r="D14" i="57"/>
  <c r="G17" i="57"/>
  <c r="M14" i="48" a="1"/>
  <c r="M13" i="48" a="1"/>
  <c r="M12" i="48" a="1"/>
  <c r="M11" i="48" a="1"/>
  <c r="M9" i="48" a="1"/>
  <c r="M8" i="48" a="1"/>
  <c r="M6" i="48" a="1"/>
  <c r="M4" i="48" a="1"/>
  <c r="M16" i="48" a="1"/>
  <c r="M10" i="48" a="1"/>
  <c r="M7" i="48" a="1"/>
  <c r="M5" i="48" a="1"/>
  <c r="M5" i="48" l="1"/>
  <c r="M7" i="48"/>
  <c r="M10" i="48"/>
  <c r="M16" i="48"/>
  <c r="M4" i="48"/>
  <c r="M6" i="48"/>
  <c r="M8" i="48"/>
  <c r="M9" i="48"/>
  <c r="M11" i="48"/>
  <c r="M12" i="48"/>
  <c r="M13" i="48"/>
  <c r="M14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J20" i="48" a="1"/>
  <c r="M2" i="38" a="1"/>
  <c r="AK4" i="9" a="1"/>
  <c r="U4" i="9" a="1"/>
  <c r="E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T13" i="56" a="1"/>
  <c r="T9" i="56" a="1"/>
  <c r="T5" i="56" a="1"/>
  <c r="H14" i="56" a="1"/>
  <c r="H10" i="56" a="1"/>
  <c r="H6" i="56" a="1"/>
  <c r="B11" i="56" a="1"/>
  <c r="C7" i="13" a="1"/>
  <c r="P22" i="12" a="1"/>
  <c r="R20" i="12" a="1"/>
  <c r="K19" i="12" a="1"/>
  <c r="M15" i="12" a="1"/>
  <c r="O13" i="12" a="1"/>
  <c r="Q11" i="12" a="1"/>
  <c r="S9" i="12" a="1"/>
  <c r="L8" i="12" a="1"/>
  <c r="N6" i="12" a="1"/>
  <c r="P4" i="12" a="1"/>
  <c r="F23" i="12" a="1"/>
  <c r="E18" i="12" a="1"/>
  <c r="G10" i="12" a="1"/>
  <c r="F5" i="12" a="1"/>
  <c r="B7" i="12" a="1"/>
  <c r="J3" i="39" a="1"/>
  <c r="F13" i="39" a="1"/>
  <c r="C10" i="39" a="1"/>
  <c r="L13" i="28" a="1"/>
  <c r="K8" i="28" a="1"/>
  <c r="H15" i="28" a="1"/>
  <c r="H7" i="28" a="1"/>
  <c r="E13" i="28" a="1"/>
  <c r="E5" i="28" a="1"/>
  <c r="F19" i="1" a="1"/>
  <c r="K13" i="1" a="1"/>
  <c r="I11" i="1" a="1"/>
  <c r="G9" i="1" a="1"/>
  <c r="L6" i="1" a="1"/>
  <c r="J4" i="1" a="1"/>
  <c r="C12" i="1" a="1"/>
  <c r="D10" i="49" a="1"/>
  <c r="C12" i="55" a="1"/>
  <c r="C6" i="40" a="1"/>
  <c r="E9" i="60" a="1"/>
  <c r="E5" i="60" a="1"/>
  <c r="J7" i="48" a="1"/>
  <c r="B2" i="38" a="1"/>
  <c r="Z4" i="9" a="1"/>
  <c r="J4" i="9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6" i="52" a="1"/>
  <c r="D4" i="52" a="1"/>
  <c r="T16" i="56" a="1"/>
  <c r="G10" i="43" a="1"/>
  <c r="C6" i="43" a="1"/>
  <c r="F13" i="42" a="1"/>
  <c r="J10" i="42" a="1"/>
  <c r="F8" i="42" a="1"/>
  <c r="F5" i="42" a="1"/>
  <c r="N2" i="18" a="1"/>
  <c r="H2" i="15" a="1"/>
  <c r="B2" i="46" a="1"/>
  <c r="F5" i="52" a="1"/>
  <c r="U12" i="56" a="1"/>
  <c r="U7" i="56" a="1"/>
  <c r="J15" i="56" a="1"/>
  <c r="G11" i="56" a="1"/>
  <c r="J5" i="56" a="1"/>
  <c r="B5" i="56" a="1"/>
  <c r="N23" i="12" a="1"/>
  <c r="M19" i="12" a="1"/>
  <c r="K13" i="12" a="1"/>
  <c r="F9" i="12" a="1"/>
  <c r="J11" i="39" a="1"/>
  <c r="F2" i="39" a="1"/>
  <c r="M8" i="28" a="1"/>
  <c r="D12" i="28" a="1"/>
  <c r="H20" i="1" a="1"/>
  <c r="H12" i="1" a="1"/>
  <c r="H7" i="1" a="1"/>
  <c r="D8" i="49" a="1"/>
  <c r="C18" i="40" a="1"/>
  <c r="G11" i="60" a="1"/>
  <c r="J19" i="48" a="1"/>
  <c r="H2" i="38" a="1"/>
  <c r="AB4" i="9" a="1"/>
  <c r="D4" i="9" a="1"/>
  <c r="G2" i="47" a="1"/>
  <c r="F10" i="52" a="1"/>
  <c r="I7" i="52" a="1"/>
  <c r="V17" i="56" a="1"/>
  <c r="T12" i="56" a="1"/>
  <c r="M21" i="12" a="1"/>
  <c r="K15" i="12" a="1"/>
  <c r="S10" i="12" a="1"/>
  <c r="S8" i="12" a="1"/>
  <c r="S6" i="12" a="1"/>
  <c r="G14" i="43" a="1"/>
  <c r="G3" i="43" a="1"/>
  <c r="H14" i="42" a="1"/>
  <c r="J11" i="42" a="1"/>
  <c r="D9" i="42" a="1"/>
  <c r="H6" i="42" a="1"/>
  <c r="J3" i="42" a="1"/>
  <c r="N2" i="15" a="1"/>
  <c r="A2" i="7" a="1"/>
  <c r="H2" i="46" a="1"/>
  <c r="C9" i="52" a="1"/>
  <c r="U14" i="56" a="1"/>
  <c r="V9" i="56" a="1"/>
  <c r="I17" i="56" a="1"/>
  <c r="I12" i="56" a="1"/>
  <c r="J7" i="56" a="1"/>
  <c r="B14" i="56" a="1"/>
  <c r="C5" i="13" a="1"/>
  <c r="S19" i="12" a="1"/>
  <c r="Q7" i="12" a="1"/>
  <c r="B6" i="12" a="1"/>
  <c r="M10" i="28" a="1"/>
  <c r="G10" i="28" a="1"/>
  <c r="E6" i="28" a="1"/>
  <c r="H13" i="1" a="1"/>
  <c r="G8" i="1" a="1"/>
  <c r="G3" i="1" a="1"/>
  <c r="C15" i="55" a="1"/>
  <c r="G4" i="60" a="1"/>
  <c r="J5" i="48" a="1"/>
  <c r="AH4" i="9" a="1"/>
  <c r="N4" i="9" a="1"/>
  <c r="H2" i="5" a="1"/>
  <c r="F11" i="52" a="1"/>
  <c r="E6" i="52" a="1"/>
  <c r="H3" i="52" a="1"/>
  <c r="H17" i="56" a="1"/>
  <c r="S21" i="12" a="1"/>
  <c r="R15" i="12" a="1"/>
  <c r="R13" i="12" a="1"/>
  <c r="Q9" i="12" a="1"/>
  <c r="P5" i="12" a="1"/>
  <c r="P3" i="12" a="1"/>
  <c r="G19" i="12" a="1"/>
  <c r="G11" i="12" a="1"/>
  <c r="H13" i="39" a="1"/>
  <c r="C3" i="39" a="1"/>
  <c r="M4" i="28" a="1"/>
  <c r="H3" i="43" a="1"/>
  <c r="F14" i="42" a="1"/>
  <c r="D11" i="42" a="1"/>
  <c r="C8" i="42" a="1"/>
  <c r="C5" i="42" a="1"/>
  <c r="G2" i="18" a="1"/>
  <c r="D2" i="7" a="1"/>
  <c r="F2" i="46" a="1"/>
  <c r="C5" i="52" a="1"/>
  <c r="V15" i="56" a="1"/>
  <c r="U10" i="56" a="1"/>
  <c r="J17" i="56" a="1"/>
  <c r="G12" i="56" a="1"/>
  <c r="J6" i="56" a="1"/>
  <c r="C16" i="13" a="1"/>
  <c r="K23" i="12" a="1"/>
  <c r="P20" i="12" a="1"/>
  <c r="E22" i="12" a="1"/>
  <c r="F13" i="12" a="1"/>
  <c r="B8" i="12" a="1"/>
  <c r="H12" i="39" a="1"/>
  <c r="L13" i="1" a="1"/>
  <c r="G11" i="1" a="1"/>
  <c r="K5" i="1" a="1"/>
  <c r="F3" i="1" a="1"/>
  <c r="F12" i="60" a="1"/>
  <c r="J16" i="48" a="1"/>
  <c r="E2" i="38" a="1"/>
  <c r="S4" i="9" a="1"/>
  <c r="K2" i="5" a="1"/>
  <c r="J10" i="52" a="1"/>
  <c r="H7" i="52" a="1"/>
  <c r="L18" i="12" a="1"/>
  <c r="S13" i="12" a="1"/>
  <c r="O11" i="12" a="1"/>
  <c r="L9" i="12" a="1"/>
  <c r="R6" i="12" a="1"/>
  <c r="G6" i="12" a="1"/>
  <c r="F5" i="39" a="1"/>
  <c r="K15" i="28" a="1"/>
  <c r="H14" i="28" a="1"/>
  <c r="E9" i="28" a="1"/>
  <c r="I19" i="1" a="1"/>
  <c r="H8" i="1" a="1"/>
  <c r="J5" i="1" a="1"/>
  <c r="H8" i="43" a="1"/>
  <c r="E15" i="42" a="1"/>
  <c r="G12" i="42" a="1"/>
  <c r="E9" i="42" a="1"/>
  <c r="F6" i="42" a="1"/>
  <c r="D3" i="42" a="1"/>
  <c r="E2" i="15" a="1"/>
  <c r="J2" i="7" a="1"/>
  <c r="D9" i="52" a="1"/>
  <c r="J5" i="52" a="1"/>
  <c r="V6" i="56" a="1"/>
  <c r="G14" i="56" a="1"/>
  <c r="I8" i="56" a="1"/>
  <c r="B15" i="56" a="1"/>
  <c r="M3" i="12" a="1"/>
  <c r="A2" i="38" a="1"/>
  <c r="J15" i="42" a="1"/>
  <c r="J5" i="42" a="1"/>
  <c r="C2" i="46" a="1"/>
  <c r="G3" i="52" a="1"/>
  <c r="V12" i="56" a="1"/>
  <c r="U6" i="56" a="1"/>
  <c r="H13" i="56" a="1"/>
  <c r="H7" i="56" a="1"/>
  <c r="R22" i="12" a="1"/>
  <c r="R12" i="12" a="1"/>
  <c r="S7" i="12" a="1"/>
  <c r="M5" i="12" a="1"/>
  <c r="E14" i="12" a="1"/>
  <c r="M13" i="28" a="1"/>
  <c r="M6" i="28" a="1"/>
  <c r="E15" i="28" a="1"/>
  <c r="K14" i="1" a="1"/>
  <c r="E12" i="60" a="1"/>
  <c r="E7" i="60" a="1"/>
  <c r="J15" i="48" a="1"/>
  <c r="O4" i="9" a="1"/>
  <c r="G11" i="43" a="1"/>
  <c r="H12" i="42" a="1"/>
  <c r="C9" i="42" a="1"/>
  <c r="K2" i="18" a="1"/>
  <c r="L2" i="5" a="1"/>
  <c r="M2" i="47" a="1"/>
  <c r="I9" i="52" a="1"/>
  <c r="J6" i="52" a="1"/>
  <c r="C15" i="13" a="1"/>
  <c r="K20" i="12" a="1"/>
  <c r="O15" i="12" a="1"/>
  <c r="N10" i="12" a="1"/>
  <c r="R7" i="12" a="1"/>
  <c r="E23" i="12" a="1"/>
  <c r="E7" i="12" a="1"/>
  <c r="B5" i="12" a="1"/>
  <c r="H9" i="39" a="1"/>
  <c r="G11" i="28" a="1"/>
  <c r="D15" i="28" a="1"/>
  <c r="D5" i="28" a="1"/>
  <c r="L11" i="1" a="1"/>
  <c r="F9" i="1" a="1"/>
  <c r="H3" i="1" a="1"/>
  <c r="D13" i="49" a="1"/>
  <c r="C11" i="55" a="1"/>
  <c r="AN4" i="9" a="1"/>
  <c r="I15" i="42" a="1"/>
  <c r="I5" i="42" a="1"/>
  <c r="A2" i="46" a="1"/>
  <c r="F3" i="52" a="1"/>
  <c r="T6" i="56" a="1"/>
  <c r="G7" i="56" a="1"/>
  <c r="Q12" i="12" a="1"/>
  <c r="L5" i="12" a="1"/>
  <c r="G13" i="12" a="1"/>
  <c r="C14" i="39" a="1"/>
  <c r="I20" i="1" a="1"/>
  <c r="J14" i="1" a="1"/>
  <c r="K2" i="38" a="1"/>
  <c r="C11" i="43" a="1"/>
  <c r="G10" i="42" a="1"/>
  <c r="I3" i="42" a="1"/>
  <c r="E11" i="52" a="1"/>
  <c r="S15" i="56" a="1"/>
  <c r="I15" i="56" a="1"/>
  <c r="H9" i="56" a="1"/>
  <c r="B16" i="56" a="1"/>
  <c r="Q23" i="12" a="1"/>
  <c r="L21" i="12" a="1"/>
  <c r="K14" i="12" a="1"/>
  <c r="M11" i="12" a="1"/>
  <c r="Q8" i="12" a="1"/>
  <c r="G9" i="12" a="1"/>
  <c r="B14" i="12" a="1"/>
  <c r="J6" i="39" a="1"/>
  <c r="H4" i="28" a="1"/>
  <c r="L15" i="1" a="1"/>
  <c r="L12" i="1" a="1"/>
  <c r="C6" i="1" a="1"/>
  <c r="C19" i="55" a="1"/>
  <c r="C10" i="40" a="1"/>
  <c r="F9" i="60" a="1"/>
  <c r="F4" i="60" a="1"/>
  <c r="F11" i="39" a="1"/>
  <c r="K15" i="1" a="1"/>
  <c r="F10" i="1" a="1"/>
  <c r="G7" i="1" a="1"/>
  <c r="H4" i="1" a="1"/>
  <c r="E4" i="60" a="1"/>
  <c r="V14" i="56" a="1"/>
  <c r="K21" i="12" a="1"/>
  <c r="J5" i="39" a="1"/>
  <c r="G4" i="28" a="1"/>
  <c r="C18" i="55" a="1"/>
  <c r="V4" i="9" a="1"/>
  <c r="G7" i="52" a="1"/>
  <c r="J8" i="56" a="1"/>
  <c r="M18" i="12" a="1"/>
  <c r="K6" i="12" a="1"/>
  <c r="G8" i="12" a="1"/>
  <c r="M15" i="28" a="1"/>
  <c r="G14" i="28" a="1"/>
  <c r="L9" i="1" a="1"/>
  <c r="F7" i="1" a="1"/>
  <c r="I2" i="38" a="1"/>
  <c r="C9" i="43" a="1"/>
  <c r="X4" i="9" a="1"/>
  <c r="I13" i="42" a="1"/>
  <c r="C7" i="42" a="1"/>
  <c r="I2" i="15" a="1"/>
  <c r="I2" i="7" a="1"/>
  <c r="L2" i="46" a="1"/>
  <c r="J7" i="52" a="1"/>
  <c r="G4" i="52" a="1"/>
  <c r="U8" i="56" a="1"/>
  <c r="N18" i="12" a="1"/>
  <c r="L6" i="12" a="1"/>
  <c r="Q3" i="12" a="1"/>
  <c r="G18" i="12" a="1"/>
  <c r="C2" i="39" a="1"/>
  <c r="L9" i="28" a="1"/>
  <c r="G15" i="28" a="1"/>
  <c r="E8" i="28" a="1"/>
  <c r="J2" i="38" a="1"/>
  <c r="C10" i="43" a="1"/>
  <c r="F10" i="42" a="1"/>
  <c r="F3" i="42" a="1"/>
  <c r="D11" i="52" a="1"/>
  <c r="T8" i="56" a="1"/>
  <c r="H15" i="56" a="1"/>
  <c r="P23" i="12" a="1"/>
  <c r="Q13" i="12" a="1"/>
  <c r="P8" i="12" a="1"/>
  <c r="B13" i="12" a="1"/>
  <c r="K12" i="1" a="1"/>
  <c r="C5" i="1" a="1"/>
  <c r="C9" i="40" a="1"/>
  <c r="H8" i="60" a="1"/>
  <c r="A4" i="9" a="1"/>
  <c r="E13" i="42" a="1"/>
  <c r="J6" i="42" a="1"/>
  <c r="H2" i="7" a="1"/>
  <c r="K2" i="46" a="1"/>
  <c r="F4" i="52" a="1"/>
  <c r="B13" i="56" a="1"/>
  <c r="K11" i="12" a="1"/>
  <c r="O3" i="12" a="1"/>
  <c r="F10" i="39" a="1"/>
  <c r="K9" i="28" a="1"/>
  <c r="D8" i="28" a="1"/>
  <c r="J15" i="1" a="1"/>
  <c r="G4" i="1" a="1"/>
  <c r="C10" i="42" a="1"/>
  <c r="E3" i="42" a="1"/>
  <c r="D2" i="15" a="1"/>
  <c r="J14" i="48" a="1"/>
  <c r="D7" i="42" a="1"/>
  <c r="J2" i="18" a="1"/>
  <c r="C2" i="5" a="1"/>
  <c r="M2" i="46" a="1"/>
  <c r="S23" i="12" a="1"/>
  <c r="S14" i="12" a="1"/>
  <c r="B10" i="12" a="1"/>
  <c r="H6" i="39" a="1"/>
  <c r="C8" i="39" a="1"/>
  <c r="L8" i="28" a="1"/>
  <c r="H11" i="28" a="1"/>
  <c r="G15" i="1" a="1"/>
  <c r="J11" i="1" a="1"/>
  <c r="L7" i="1" a="1"/>
  <c r="D16" i="49" a="1"/>
  <c r="G10" i="60" a="1"/>
  <c r="AF4" i="9" a="1"/>
  <c r="H14" i="43" a="1"/>
  <c r="F15" i="42" a="1"/>
  <c r="E11" i="42" a="1"/>
  <c r="I6" i="42" a="1"/>
  <c r="J9" i="52" a="1"/>
  <c r="I5" i="52" a="1"/>
  <c r="U15" i="56" a="1"/>
  <c r="T7" i="56" a="1"/>
  <c r="H12" i="56" a="1"/>
  <c r="C25" i="56" a="1"/>
  <c r="R14" i="12" a="1"/>
  <c r="S11" i="12" a="1"/>
  <c r="N8" i="12" a="1"/>
  <c r="K5" i="12" a="1"/>
  <c r="G20" i="12" a="1"/>
  <c r="E10" i="12" a="1"/>
  <c r="H10" i="28" a="1"/>
  <c r="E12" i="28" a="1"/>
  <c r="I4" i="1" a="1"/>
  <c r="C9" i="55" a="1"/>
  <c r="H4" i="60" a="1"/>
  <c r="J13" i="48" a="1"/>
  <c r="F2" i="18" a="1"/>
  <c r="B2" i="5" a="1"/>
  <c r="H9" i="52" a="1"/>
  <c r="O23" i="12" a="1"/>
  <c r="L20" i="12" a="1"/>
  <c r="S4" i="12" a="1"/>
  <c r="B9" i="12" a="1"/>
  <c r="H5" i="39" a="1"/>
  <c r="C7" i="39" a="1"/>
  <c r="F15" i="1" a="1"/>
  <c r="K7" i="1" a="1"/>
  <c r="F4" i="1" a="1"/>
  <c r="D15" i="49" a="1"/>
  <c r="F10" i="60" a="1"/>
  <c r="AE4" i="9" a="1"/>
  <c r="H13" i="43" a="1"/>
  <c r="C11" i="42" a="1"/>
  <c r="G6" i="42" a="1"/>
  <c r="G2" i="46" a="1"/>
  <c r="H5" i="52" a="1"/>
  <c r="T15" i="56" a="1"/>
  <c r="S7" i="56" a="1"/>
  <c r="J11" i="56" a="1"/>
  <c r="C24" i="56" a="1"/>
  <c r="R19" i="12" a="1"/>
  <c r="P14" i="12" a="1"/>
  <c r="P11" i="12" a="1"/>
  <c r="F20" i="12" a="1"/>
  <c r="C6" i="39" a="1"/>
  <c r="M7" i="28" a="1"/>
  <c r="E11" i="28" a="1"/>
  <c r="H11" i="1" a="1"/>
  <c r="D14" i="49" a="1"/>
  <c r="J12" i="48" a="1"/>
  <c r="AD4" i="9" a="1"/>
  <c r="D15" i="42" a="1"/>
  <c r="E2" i="18" a="1"/>
  <c r="A2" i="5" a="1"/>
  <c r="G9" i="52" a="1"/>
  <c r="M23" i="12" a="1"/>
  <c r="R4" i="12" a="1"/>
  <c r="F8" i="12" a="1"/>
  <c r="B4" i="12" a="1"/>
  <c r="H4" i="39" a="1"/>
  <c r="H9" i="28" a="1"/>
  <c r="L14" i="1" a="1"/>
  <c r="J7" i="1" a="1"/>
  <c r="D12" i="49" a="1"/>
  <c r="C16" i="40" a="1"/>
  <c r="E10" i="60" a="1"/>
  <c r="G3" i="60" a="1"/>
  <c r="G12" i="43" a="1"/>
  <c r="I10" i="42" a="1"/>
  <c r="L2" i="7" a="1"/>
  <c r="E2" i="46" a="1"/>
  <c r="G5" i="52" a="1"/>
  <c r="T14" i="56" a="1"/>
  <c r="I11" i="56" a="1"/>
  <c r="F2" i="38" a="1"/>
  <c r="I4" i="9" a="1"/>
  <c r="H8" i="42" a="1"/>
  <c r="I11" i="52" a="1"/>
  <c r="F7" i="52" a="1"/>
  <c r="G8" i="56" a="1"/>
  <c r="Q21" i="12" a="1"/>
  <c r="E4" i="12" a="1"/>
  <c r="K12" i="28" a="1"/>
  <c r="M3" i="28" a="1"/>
  <c r="G3" i="28" a="1"/>
  <c r="K19" i="1" a="1"/>
  <c r="C11" i="1" a="1"/>
  <c r="C20" i="55" a="1"/>
  <c r="H12" i="60" a="1"/>
  <c r="G6" i="60" a="1"/>
  <c r="H5" i="43" a="1"/>
  <c r="J12" i="42" a="1"/>
  <c r="F4" i="42" a="1"/>
  <c r="N2" i="5" a="1"/>
  <c r="H2" i="47" a="1"/>
  <c r="E3" i="52" a="1"/>
  <c r="V10" i="56" a="1"/>
  <c r="G16" i="56" a="1"/>
  <c r="C12" i="13" a="1"/>
  <c r="K18" i="12" a="1"/>
  <c r="P9" i="12" a="1"/>
  <c r="L3" i="12" a="1"/>
  <c r="G12" i="12" a="1"/>
  <c r="J4" i="39" a="1"/>
  <c r="F3" i="39" a="1"/>
  <c r="D4" i="28" a="1"/>
  <c r="H9" i="1" a="1"/>
  <c r="I5" i="1" a="1"/>
  <c r="D2" i="38" a="1"/>
  <c r="H4" i="9" a="1"/>
  <c r="G8" i="42" a="1"/>
  <c r="H11" i="52" a="1"/>
  <c r="E7" i="52" a="1"/>
  <c r="D3" i="52" a="1"/>
  <c r="I7" i="56" a="1"/>
  <c r="P21" i="12" a="1"/>
  <c r="P12" i="12" a="1"/>
  <c r="O9" i="12" a="1"/>
  <c r="L3" i="28" a="1"/>
  <c r="E18" i="28" a="1"/>
  <c r="E3" i="28" a="1"/>
  <c r="J19" i="1" a="1"/>
  <c r="J12" i="1" a="1"/>
  <c r="C10" i="1" a="1"/>
  <c r="C17" i="55" a="1"/>
  <c r="G12" i="60" a="1"/>
  <c r="F6" i="60" a="1"/>
  <c r="G4" i="43" a="1"/>
  <c r="I12" i="42" a="1"/>
  <c r="C4" i="42" a="1"/>
  <c r="M2" i="5" a="1"/>
  <c r="F2" i="47" a="1"/>
  <c r="T10" i="56" a="1"/>
  <c r="G15" i="56" a="1"/>
  <c r="C11" i="13" a="1"/>
  <c r="O21" i="12" a="1"/>
  <c r="S15" i="12" a="1"/>
  <c r="M6" i="12" a="1"/>
  <c r="K3" i="12" a="1"/>
  <c r="F12" i="12" a="1"/>
  <c r="F3" i="12" a="1"/>
  <c r="C13" i="39" a="1"/>
  <c r="L11" i="28" a="1"/>
  <c r="L8" i="1" a="1"/>
  <c r="H5" i="1" a="1"/>
  <c r="F4" i="9" a="1"/>
  <c r="J7" i="42" a="1"/>
  <c r="J2" i="5" a="1"/>
  <c r="G11" i="52" a="1"/>
  <c r="D7" i="52" a="1"/>
  <c r="C3" i="52" a="1"/>
  <c r="O12" i="12" a="1"/>
  <c r="S5" i="12" a="1"/>
  <c r="E3" i="12" a="1"/>
  <c r="J2" i="39" a="1"/>
  <c r="K3" i="28" a="1"/>
  <c r="D18" i="28" a="1"/>
  <c r="H19" i="1" a="1"/>
  <c r="I12" i="1" a="1"/>
  <c r="C9" i="1" a="1"/>
  <c r="C16" i="55" a="1"/>
  <c r="E6" i="60" a="1"/>
  <c r="J11" i="48" a="1"/>
  <c r="I8" i="42" a="1"/>
  <c r="A2" i="18" a="1"/>
  <c r="I2" i="47" a="1"/>
  <c r="R10" i="12" a="1"/>
  <c r="Q6" i="12" a="1"/>
  <c r="E20" i="12" a="1"/>
  <c r="E5" i="12" a="1"/>
  <c r="K14" i="28" a="1"/>
  <c r="H12" i="28" a="1"/>
  <c r="G19" i="1" a="1"/>
  <c r="C7" i="40" a="1"/>
  <c r="L4" i="9" a="1"/>
  <c r="J14" i="42" a="1"/>
  <c r="E2" i="47" a="1"/>
  <c r="S17" i="56" a="1"/>
  <c r="S5" i="56" a="1"/>
  <c r="I5" i="56" a="1"/>
  <c r="O22" i="12" a="1"/>
  <c r="Q15" i="12" a="1"/>
  <c r="H7" i="39" a="1"/>
  <c r="E7" i="28" a="1"/>
  <c r="I10" i="1" a="1"/>
  <c r="G5" i="1" a="1"/>
  <c r="F3" i="60" a="1"/>
  <c r="J10" i="48" a="1"/>
  <c r="M2" i="15" a="1"/>
  <c r="J8" i="52" a="1"/>
  <c r="H5" i="56" a="1"/>
  <c r="Q10" i="12" a="1"/>
  <c r="P6" i="12" a="1"/>
  <c r="F19" i="12" a="1"/>
  <c r="G4" i="12" a="1"/>
  <c r="K13" i="28" a="1"/>
  <c r="G12" i="28" a="1"/>
  <c r="D9" i="49" a="1"/>
  <c r="C4" i="9" a="1"/>
  <c r="I14" i="42" a="1"/>
  <c r="I7" i="42" a="1"/>
  <c r="D2" i="47" a="1"/>
  <c r="V16" i="56" a="1"/>
  <c r="N22" i="12" a="1"/>
  <c r="P15" i="12" a="1"/>
  <c r="H3" i="39" a="1"/>
  <c r="D7" i="28" a="1"/>
  <c r="I15" i="1" a="1"/>
  <c r="H10" i="1" a="1"/>
  <c r="F5" i="1" a="1"/>
  <c r="E3" i="60" a="1"/>
  <c r="J9" i="48" a="1"/>
  <c r="L2" i="15" a="1"/>
  <c r="G8" i="52" a="1"/>
  <c r="P10" i="12" a="1"/>
  <c r="E19" i="12" a="1"/>
  <c r="F4" i="12" a="1"/>
  <c r="M12" i="28" a="1"/>
  <c r="F11" i="60" a="1"/>
  <c r="B4" i="9" a="1"/>
  <c r="G14" i="42" a="1"/>
  <c r="F7" i="42" a="1"/>
  <c r="C2" i="47" a="1"/>
  <c r="U16" i="56" a="1"/>
  <c r="J16" i="56" a="1"/>
  <c r="C26" i="56" a="1"/>
  <c r="M22" i="12" a="1"/>
  <c r="Q5" i="12" a="1"/>
  <c r="H2" i="39" a="1"/>
  <c r="G9" i="28" a="1"/>
  <c r="G10" i="1" a="1"/>
  <c r="L4" i="1" a="1"/>
  <c r="D7" i="49" a="1"/>
  <c r="J6" i="48" a="1"/>
  <c r="K2" i="15" a="1"/>
  <c r="B2" i="47" a="1"/>
  <c r="F8" i="52" a="1"/>
  <c r="C23" i="56" a="1"/>
  <c r="L22" i="12" a="1"/>
  <c r="L15" i="12" a="1"/>
  <c r="O10" i="12" a="1"/>
  <c r="G15" i="12" a="1"/>
  <c r="B15" i="12" a="1"/>
  <c r="L12" i="28" a="1"/>
  <c r="D6" i="28" a="1"/>
  <c r="K9" i="1" a="1"/>
  <c r="K4" i="1" a="1"/>
  <c r="D6" i="49" a="1"/>
  <c r="E11" i="60" a="1"/>
  <c r="AG4" i="9" a="1"/>
  <c r="H4" i="42" a="1"/>
  <c r="K2" i="7" a="1"/>
  <c r="S11" i="56" a="1"/>
  <c r="J10" i="56" a="1"/>
  <c r="C13" i="13" a="1"/>
  <c r="P19" i="12" a="1"/>
  <c r="M13" i="12" a="1"/>
  <c r="K8" i="12" a="1"/>
  <c r="J10" i="39" a="1"/>
  <c r="E14" i="28" a="1"/>
  <c r="G13" i="1" a="1"/>
  <c r="AC4" i="9" a="1"/>
  <c r="H6" i="43" a="1"/>
  <c r="H10" i="42" a="1"/>
  <c r="J11" i="52" a="1"/>
  <c r="D5" i="52" a="1"/>
  <c r="S10" i="56" a="1"/>
  <c r="C10" i="13" a="1"/>
  <c r="R3" i="12" a="1"/>
  <c r="F10" i="12" a="1"/>
  <c r="L5" i="28" a="1"/>
  <c r="L20" i="1" a="1"/>
  <c r="C13" i="1" a="1"/>
  <c r="C15" i="40" a="1"/>
  <c r="G7" i="60" a="1"/>
  <c r="G4" i="42" a="1"/>
  <c r="G2" i="7" a="1"/>
  <c r="G10" i="56" a="1"/>
  <c r="O19" i="12" a="1"/>
  <c r="L13" i="12" a="1"/>
  <c r="O7" i="12" a="1"/>
  <c r="J9" i="39" a="1"/>
  <c r="C9" i="39" a="1"/>
  <c r="D14" i="28" a="1"/>
  <c r="K20" i="1" a="1"/>
  <c r="F7" i="60" a="1"/>
  <c r="Y4" i="9" a="1"/>
  <c r="G6" i="43" a="1"/>
  <c r="C11" i="52" a="1"/>
  <c r="J4" i="52" a="1"/>
  <c r="S9" i="56" a="1"/>
  <c r="C9" i="13" a="1"/>
  <c r="N12" i="12" a="1"/>
  <c r="N3" i="12" a="1"/>
  <c r="E8" i="12" a="1"/>
  <c r="K5" i="28" a="1"/>
  <c r="G12" i="1" a="1"/>
  <c r="K6" i="1" a="1"/>
  <c r="C8" i="1" a="1"/>
  <c r="C14" i="40" a="1"/>
  <c r="H6" i="60" a="1"/>
  <c r="T4" i="9" a="1"/>
  <c r="J9" i="42" a="1"/>
  <c r="F2" i="7" a="1"/>
  <c r="J9" i="56" a="1"/>
  <c r="N19" i="12" a="1"/>
  <c r="N7" i="12" a="1"/>
  <c r="J8" i="39" a="1"/>
  <c r="C8" i="43" a="1"/>
  <c r="C3" i="42" a="1"/>
  <c r="G10" i="52" a="1"/>
  <c r="E4" i="52" a="1"/>
  <c r="V8" i="56" a="1"/>
  <c r="C6" i="13" a="1"/>
  <c r="M12" i="12" a="1"/>
  <c r="G22" i="12" a="1"/>
  <c r="G7" i="12" a="1"/>
  <c r="C4" i="39" a="1"/>
  <c r="L4" i="28" a="1"/>
  <c r="D13" i="28" a="1"/>
  <c r="G20" i="1" a="1"/>
  <c r="F12" i="1" a="1"/>
  <c r="J6" i="1" a="1"/>
  <c r="C13" i="40" a="1"/>
  <c r="R4" i="9" a="1"/>
  <c r="I9" i="42" a="1"/>
  <c r="E2" i="7" a="1"/>
  <c r="I9" i="56" a="1"/>
  <c r="S18" i="12" a="1"/>
  <c r="M7" i="12" a="1"/>
  <c r="J7" i="39" a="1"/>
  <c r="K11" i="1" a="1"/>
  <c r="C4" i="1" a="1"/>
  <c r="H5" i="60" a="1"/>
  <c r="C7" i="43" a="1"/>
  <c r="M2" i="18" a="1"/>
  <c r="E10" i="52" a="1"/>
  <c r="V7" i="56" a="1"/>
  <c r="C4" i="13" a="1"/>
  <c r="L12" i="12" a="1"/>
  <c r="F22" i="12" a="1"/>
  <c r="F7" i="12" a="1"/>
  <c r="L15" i="28" a="1"/>
  <c r="K4" i="28" a="1"/>
  <c r="E10" i="28" a="1"/>
  <c r="F20" i="1" a="1"/>
  <c r="I6" i="1" a="1"/>
  <c r="C12" i="40" a="1"/>
  <c r="Q4" i="9" a="1"/>
  <c r="F9" i="42" a="1"/>
  <c r="C14" i="42" a="1"/>
  <c r="C14" i="13" a="1"/>
  <c r="B3" i="12" a="1"/>
  <c r="E4" i="28" a="1"/>
  <c r="J10" i="1" a="1"/>
  <c r="M10" i="12" a="1"/>
  <c r="H14" i="39" a="1"/>
  <c r="AJ4" i="9" a="1"/>
  <c r="N2" i="38" a="1"/>
  <c r="J2" i="15" a="1"/>
  <c r="E9" i="52" a="1"/>
  <c r="S6" i="56" a="1"/>
  <c r="M4" i="12" a="1"/>
  <c r="K10" i="28" a="1"/>
  <c r="G5" i="60" a="1"/>
  <c r="L2" i="38" a="1"/>
  <c r="J13" i="42" a="1"/>
  <c r="N13" i="12" a="1"/>
  <c r="L4" i="12" a="1"/>
  <c r="J9" i="1" a="1"/>
  <c r="D11" i="49" a="1"/>
  <c r="D13" i="42" a="1"/>
  <c r="C2" i="15" a="1"/>
  <c r="E8" i="52" a="1"/>
  <c r="V5" i="56" a="1"/>
  <c r="L23" i="12" a="1"/>
  <c r="J13" i="39" a="1"/>
  <c r="M9" i="28" a="1"/>
  <c r="F5" i="60" a="1"/>
  <c r="I16" i="56" a="1"/>
  <c r="L7" i="28" a="1"/>
  <c r="I9" i="1" a="1"/>
  <c r="G2" i="38" a="1"/>
  <c r="C13" i="42" a="1"/>
  <c r="S22" i="12" a="1"/>
  <c r="K12" i="12" a="1"/>
  <c r="S3" i="12" a="1"/>
  <c r="J12" i="39" a="1"/>
  <c r="K8" i="1" a="1"/>
  <c r="D4" i="49" a="1"/>
  <c r="F12" i="42" a="1"/>
  <c r="I2" i="5" a="1"/>
  <c r="H16" i="56" a="1"/>
  <c r="N11" i="12" a="1"/>
  <c r="K7" i="28" a="1"/>
  <c r="J8" i="1" a="1"/>
  <c r="AL4" i="9" a="1"/>
  <c r="C7" i="52" a="1"/>
  <c r="J14" i="56" a="1"/>
  <c r="F21" i="12" a="1"/>
  <c r="K6" i="28" a="1"/>
  <c r="C21" i="55" a="1"/>
  <c r="C12" i="42" a="1"/>
  <c r="G2" i="5" a="1"/>
  <c r="G6" i="52" a="1"/>
  <c r="R21" i="12" a="1"/>
  <c r="H11" i="43" a="1"/>
  <c r="S14" i="56" a="1"/>
  <c r="G6" i="56" a="1"/>
  <c r="O8" i="12" a="1"/>
  <c r="F11" i="12" a="1"/>
  <c r="H6" i="28" a="1"/>
  <c r="G14" i="1" a="1"/>
  <c r="H10" i="43" a="1"/>
  <c r="E5" i="42" a="1"/>
  <c r="Q18" i="12" a="1"/>
  <c r="L7" i="12" a="1"/>
  <c r="F4" i="39" a="1"/>
  <c r="J3" i="1" a="1"/>
  <c r="H10" i="60" a="1"/>
  <c r="J12" i="52" a="1"/>
  <c r="V13" i="56" a="1"/>
  <c r="B17" i="56" a="1"/>
  <c r="P18" i="12" a="1"/>
  <c r="C12" i="39" a="1"/>
  <c r="G6" i="28" a="1"/>
  <c r="F14" i="1" a="1"/>
  <c r="H9" i="43" a="1"/>
  <c r="D5" i="42" a="1"/>
  <c r="K7" i="12" a="1"/>
  <c r="F6" i="12" a="1"/>
  <c r="H5" i="28" a="1"/>
  <c r="I3" i="1" a="1"/>
  <c r="G12" i="52" a="1"/>
  <c r="S13" i="56" a="1"/>
  <c r="O14" i="12" a="1"/>
  <c r="C11" i="39" a="1"/>
  <c r="H3" i="28" a="1"/>
  <c r="H9" i="60" a="1"/>
  <c r="G9" i="43" a="1"/>
  <c r="J4" i="42" a="1"/>
  <c r="B10" i="56" a="1"/>
  <c r="O5" i="12" a="1"/>
  <c r="E6" i="12" a="1"/>
  <c r="J13" i="1" a="1"/>
  <c r="F12" i="52" a="1"/>
  <c r="V11" i="56" a="1"/>
  <c r="N14" i="12" a="1"/>
  <c r="N5" i="12" a="1"/>
  <c r="M14" i="28" a="1"/>
  <c r="G9" i="60" a="1"/>
  <c r="I4" i="42" a="1"/>
  <c r="B9" i="56" a="1"/>
  <c r="L14" i="28" a="1"/>
  <c r="I13" i="1" a="1"/>
  <c r="G8" i="43" a="1"/>
  <c r="E12" i="52" a="1"/>
  <c r="U11" i="56" a="1"/>
  <c r="M14" i="12" a="1"/>
  <c r="B12" i="12" a="1"/>
  <c r="D10" i="28" a="1"/>
  <c r="C15" i="1" a="1"/>
  <c r="G8" i="60" a="1"/>
  <c r="C3" i="43" a="1"/>
  <c r="L2" i="18" a="1"/>
  <c r="B8" i="56" a="1"/>
  <c r="O4" i="12" a="1"/>
  <c r="K11" i="28" a="1"/>
  <c r="F11" i="1" a="1"/>
  <c r="B2" i="18" a="1"/>
  <c r="T11" i="56" a="1"/>
  <c r="B7" i="56" a="1"/>
  <c r="L14" i="12" a="1"/>
  <c r="F9" i="52" a="1"/>
  <c r="N20" i="12" a="1"/>
  <c r="H10" i="39" a="1"/>
  <c r="I14" i="1" a="1"/>
  <c r="AI4" i="9" a="1"/>
  <c r="Q19" i="12" a="1"/>
  <c r="H8" i="39" a="1"/>
  <c r="F6" i="52" a="1"/>
  <c r="F14" i="39" a="1"/>
  <c r="H14" i="1" a="1"/>
  <c r="R18" i="12" a="1"/>
  <c r="P4" i="9" a="1"/>
  <c r="L10" i="1" a="1"/>
  <c r="M4" i="9" a="1"/>
  <c r="L10" i="12" a="1"/>
  <c r="F12" i="39" a="1"/>
  <c r="E5" i="52" a="1"/>
  <c r="F9" i="39" a="1"/>
  <c r="J3" i="52" a="1"/>
  <c r="F7" i="39" a="1"/>
  <c r="F8" i="1" a="1"/>
  <c r="I3" i="52" a="1"/>
  <c r="R9" i="12" a="1"/>
  <c r="F6" i="39" a="1"/>
  <c r="C15" i="42" a="1"/>
  <c r="M9" i="12" a="1"/>
  <c r="I7" i="1" a="1"/>
  <c r="I11" i="42" a="1"/>
  <c r="L10" i="28" a="1"/>
  <c r="H6" i="1" a="1"/>
  <c r="K9" i="12" a="1"/>
  <c r="M5" i="28" a="1"/>
  <c r="F6" i="1" a="1"/>
  <c r="F11" i="42" a="1"/>
  <c r="J13" i="56" a="1"/>
  <c r="H13" i="28" a="1"/>
  <c r="L5" i="1" a="1"/>
  <c r="J8" i="42" a="1"/>
  <c r="I13" i="56" a="1"/>
  <c r="K3" i="1" a="1"/>
  <c r="E7" i="42" a="1"/>
  <c r="N4" i="12" a="1"/>
  <c r="H8" i="28" a="1"/>
  <c r="C14" i="1" a="1"/>
  <c r="E21" i="12" a="1"/>
  <c r="C3" i="1" a="1"/>
  <c r="C6" i="42" a="1"/>
  <c r="H11" i="56" a="1"/>
  <c r="F15" i="12" a="1"/>
  <c r="G8" i="28" a="1"/>
  <c r="E15" i="12" a="1"/>
  <c r="C14" i="55" a="1"/>
  <c r="F2" i="5" a="1"/>
  <c r="H8" i="56" a="1"/>
  <c r="G14" i="12" a="1"/>
  <c r="G7" i="28" a="1"/>
  <c r="D9" i="28" a="1"/>
  <c r="C13" i="55" a="1"/>
  <c r="N2" i="47" a="1"/>
  <c r="C10" i="55" a="1"/>
  <c r="N21" i="12" a="1"/>
  <c r="E13" i="12" a="1"/>
  <c r="J2" i="47" a="1"/>
  <c r="E12" i="12" a="1"/>
  <c r="C11" i="40" a="1"/>
  <c r="Q20" i="12" a="1"/>
  <c r="B11" i="12" a="1"/>
  <c r="L19" i="1" a="1"/>
  <c r="C8" i="40" a="1"/>
  <c r="F8" i="60" a="1"/>
  <c r="D2" i="46" a="1"/>
  <c r="O20" i="12" a="1"/>
  <c r="E8" i="60" a="1"/>
  <c r="R8" i="12" a="1"/>
  <c r="J12" i="56" a="1"/>
  <c r="J12" i="56" l="1"/>
  <c r="R8" i="12"/>
  <c r="E8" i="60"/>
  <c r="O20" i="12"/>
  <c r="D2" i="46"/>
  <c r="F8" i="60"/>
  <c r="C8" i="40"/>
  <c r="L19" i="1"/>
  <c r="B11" i="12"/>
  <c r="Q20" i="12"/>
  <c r="C11" i="40"/>
  <c r="E12" i="12"/>
  <c r="J2" i="47"/>
  <c r="E13" i="12"/>
  <c r="N21" i="12"/>
  <c r="C10" i="55"/>
  <c r="N2" i="47"/>
  <c r="C13" i="55"/>
  <c r="D9" i="28"/>
  <c r="G7" i="28"/>
  <c r="G14" i="12"/>
  <c r="H8" i="56"/>
  <c r="F2" i="5"/>
  <c r="C14" i="55"/>
  <c r="E15" i="12"/>
  <c r="G8" i="28"/>
  <c r="F15" i="12"/>
  <c r="H11" i="56"/>
  <c r="C6" i="42"/>
  <c r="C3" i="1"/>
  <c r="E21" i="12"/>
  <c r="C14" i="1"/>
  <c r="H8" i="28"/>
  <c r="N4" i="12"/>
  <c r="E7" i="42"/>
  <c r="K3" i="1"/>
  <c r="I13" i="56"/>
  <c r="J8" i="42"/>
  <c r="L5" i="1"/>
  <c r="H13" i="28"/>
  <c r="J13" i="56"/>
  <c r="F11" i="42"/>
  <c r="F6" i="1"/>
  <c r="M5" i="28"/>
  <c r="K9" i="12"/>
  <c r="H6" i="1"/>
  <c r="L10" i="28"/>
  <c r="I11" i="42"/>
  <c r="I7" i="1"/>
  <c r="M9" i="12"/>
  <c r="C15" i="42"/>
  <c r="F6" i="39"/>
  <c r="R9" i="12"/>
  <c r="I3" i="52"/>
  <c r="F8" i="1"/>
  <c r="F7" i="39"/>
  <c r="J3" i="52"/>
  <c r="F9" i="39"/>
  <c r="E5" i="52"/>
  <c r="F12" i="39"/>
  <c r="L10" i="12"/>
  <c r="M4" i="9"/>
  <c r="L10" i="1"/>
  <c r="P4" i="9"/>
  <c r="R18" i="12"/>
  <c r="H14" i="1"/>
  <c r="F14" i="39"/>
  <c r="F6" i="52"/>
  <c r="H8" i="39"/>
  <c r="Q19" i="12"/>
  <c r="AI4" i="9"/>
  <c r="I14" i="1"/>
  <c r="H10" i="39"/>
  <c r="N20" i="12"/>
  <c r="F9" i="52"/>
  <c r="L14" i="12"/>
  <c r="B7" i="56"/>
  <c r="T11" i="56"/>
  <c r="B2" i="18"/>
  <c r="F11" i="1"/>
  <c r="K11" i="28"/>
  <c r="O4" i="12"/>
  <c r="B8" i="56"/>
  <c r="L2" i="18"/>
  <c r="C3" i="43"/>
  <c r="G8" i="60"/>
  <c r="C15" i="1"/>
  <c r="D10" i="28"/>
  <c r="B12" i="12"/>
  <c r="M14" i="12"/>
  <c r="U11" i="56"/>
  <c r="E12" i="52"/>
  <c r="G8" i="43"/>
  <c r="I13" i="1"/>
  <c r="L14" i="28"/>
  <c r="B9" i="56"/>
  <c r="I4" i="42"/>
  <c r="G9" i="60"/>
  <c r="M14" i="28"/>
  <c r="N5" i="12"/>
  <c r="N14" i="12"/>
  <c r="V11" i="56"/>
  <c r="F12" i="52"/>
  <c r="J13" i="1"/>
  <c r="E6" i="12"/>
  <c r="O5" i="12"/>
  <c r="B10" i="56"/>
  <c r="J4" i="42"/>
  <c r="G9" i="43"/>
  <c r="H9" i="60"/>
  <c r="H3" i="28"/>
  <c r="C11" i="39"/>
  <c r="O14" i="12"/>
  <c r="S13" i="56"/>
  <c r="G12" i="52"/>
  <c r="I3" i="1"/>
  <c r="H5" i="28"/>
  <c r="F6" i="12"/>
  <c r="K7" i="12"/>
  <c r="D5" i="42"/>
  <c r="H9" i="43"/>
  <c r="F14" i="1"/>
  <c r="G6" i="28"/>
  <c r="C12" i="39"/>
  <c r="P18" i="12"/>
  <c r="B17" i="56"/>
  <c r="V13" i="56"/>
  <c r="J12" i="52"/>
  <c r="H10" i="60"/>
  <c r="J3" i="1"/>
  <c r="F4" i="39"/>
  <c r="L7" i="12"/>
  <c r="Q18" i="12"/>
  <c r="E5" i="42"/>
  <c r="H10" i="43"/>
  <c r="G14" i="1"/>
  <c r="H6" i="28"/>
  <c r="F11" i="12"/>
  <c r="O8" i="12"/>
  <c r="G6" i="56"/>
  <c r="S14" i="56"/>
  <c r="H11" i="43"/>
  <c r="R21" i="12"/>
  <c r="G6" i="52"/>
  <c r="G2" i="5"/>
  <c r="C12" i="42"/>
  <c r="C21" i="55"/>
  <c r="K6" i="28"/>
  <c r="F21" i="12"/>
  <c r="J14" i="56"/>
  <c r="C7" i="52"/>
  <c r="AL4" i="9"/>
  <c r="J8" i="1"/>
  <c r="K7" i="28"/>
  <c r="N11" i="12"/>
  <c r="H16" i="56"/>
  <c r="I2" i="5"/>
  <c r="F12" i="42"/>
  <c r="D4" i="49"/>
  <c r="K8" i="1"/>
  <c r="J12" i="39"/>
  <c r="S3" i="12"/>
  <c r="K12" i="12"/>
  <c r="S22" i="12"/>
  <c r="C13" i="42"/>
  <c r="G2" i="38"/>
  <c r="I9" i="1"/>
  <c r="L7" i="28"/>
  <c r="I16" i="56"/>
  <c r="F5" i="60"/>
  <c r="M9" i="28"/>
  <c r="J13" i="39"/>
  <c r="L23" i="12"/>
  <c r="V5" i="56"/>
  <c r="E8" i="52"/>
  <c r="C2" i="15"/>
  <c r="D13" i="42"/>
  <c r="D11" i="49"/>
  <c r="J9" i="1"/>
  <c r="L4" i="12"/>
  <c r="N13" i="12"/>
  <c r="J13" i="42"/>
  <c r="L2" i="38"/>
  <c r="G5" i="60"/>
  <c r="K10" i="28"/>
  <c r="M4" i="12"/>
  <c r="S6" i="56"/>
  <c r="E9" i="52"/>
  <c r="J2" i="15"/>
  <c r="N2" i="38"/>
  <c r="AJ4" i="9"/>
  <c r="H14" i="39"/>
  <c r="M10" i="12"/>
  <c r="J10" i="1"/>
  <c r="E4" i="28"/>
  <c r="B3" i="12"/>
  <c r="C14" i="13"/>
  <c r="C14" i="42"/>
  <c r="F9" i="42"/>
  <c r="Q4" i="9"/>
  <c r="C12" i="40"/>
  <c r="I6" i="1"/>
  <c r="F20" i="1"/>
  <c r="E10" i="28"/>
  <c r="K4" i="28"/>
  <c r="L15" i="28"/>
  <c r="F7" i="12"/>
  <c r="F22" i="12"/>
  <c r="L12" i="12"/>
  <c r="C4" i="13"/>
  <c r="V7" i="56"/>
  <c r="E10" i="52"/>
  <c r="M2" i="18"/>
  <c r="C7" i="43"/>
  <c r="H5" i="60"/>
  <c r="C4" i="1"/>
  <c r="K11" i="1"/>
  <c r="J7" i="39"/>
  <c r="M7" i="12"/>
  <c r="S18" i="12"/>
  <c r="I9" i="56"/>
  <c r="E2" i="7"/>
  <c r="I9" i="42"/>
  <c r="R4" i="9"/>
  <c r="C13" i="40"/>
  <c r="J6" i="1"/>
  <c r="F12" i="1"/>
  <c r="G20" i="1"/>
  <c r="D13" i="28"/>
  <c r="L4" i="28"/>
  <c r="C4" i="39"/>
  <c r="G7" i="12"/>
  <c r="G22" i="12"/>
  <c r="M12" i="12"/>
  <c r="C6" i="13"/>
  <c r="V8" i="56"/>
  <c r="E4" i="52"/>
  <c r="G10" i="52"/>
  <c r="C3" i="42"/>
  <c r="C8" i="43"/>
  <c r="J8" i="39"/>
  <c r="N7" i="12"/>
  <c r="N19" i="12"/>
  <c r="J9" i="56"/>
  <c r="F2" i="7"/>
  <c r="J9" i="42"/>
  <c r="T4" i="9"/>
  <c r="H6" i="60"/>
  <c r="C14" i="40"/>
  <c r="C8" i="1"/>
  <c r="K6" i="1"/>
  <c r="G12" i="1"/>
  <c r="K5" i="28"/>
  <c r="E8" i="12"/>
  <c r="N3" i="12"/>
  <c r="N12" i="12"/>
  <c r="C9" i="13"/>
  <c r="S9" i="56"/>
  <c r="J4" i="52"/>
  <c r="C11" i="52"/>
  <c r="G6" i="43"/>
  <c r="Y4" i="9"/>
  <c r="F7" i="60"/>
  <c r="K20" i="1"/>
  <c r="D14" i="28"/>
  <c r="C9" i="39"/>
  <c r="J9" i="39"/>
  <c r="O7" i="12"/>
  <c r="L13" i="12"/>
  <c r="O19" i="12"/>
  <c r="G10" i="56"/>
  <c r="G2" i="7"/>
  <c r="G4" i="42"/>
  <c r="G7" i="60"/>
  <c r="C15" i="40"/>
  <c r="C13" i="1"/>
  <c r="L20" i="1"/>
  <c r="L5" i="28"/>
  <c r="F10" i="12"/>
  <c r="R3" i="12"/>
  <c r="C10" i="13"/>
  <c r="S10" i="56"/>
  <c r="D5" i="52"/>
  <c r="J11" i="52"/>
  <c r="H10" i="42"/>
  <c r="H6" i="43"/>
  <c r="AC4" i="9"/>
  <c r="G13" i="1"/>
  <c r="E14" i="28"/>
  <c r="J10" i="39"/>
  <c r="K8" i="12"/>
  <c r="M13" i="12"/>
  <c r="P19" i="12"/>
  <c r="C13" i="13"/>
  <c r="J10" i="56"/>
  <c r="S11" i="56"/>
  <c r="K2" i="7"/>
  <c r="H4" i="42"/>
  <c r="AG4" i="9"/>
  <c r="E11" i="60"/>
  <c r="D6" i="49"/>
  <c r="K4" i="1"/>
  <c r="K9" i="1"/>
  <c r="D6" i="28"/>
  <c r="L12" i="28"/>
  <c r="B15" i="12"/>
  <c r="G15" i="12"/>
  <c r="O10" i="12"/>
  <c r="L15" i="12"/>
  <c r="L22" i="12"/>
  <c r="C23" i="56"/>
  <c r="F8" i="52"/>
  <c r="B2" i="47"/>
  <c r="K2" i="15"/>
  <c r="J6" i="48"/>
  <c r="D7" i="49"/>
  <c r="L4" i="1"/>
  <c r="G10" i="1"/>
  <c r="G9" i="28"/>
  <c r="H2" i="39"/>
  <c r="Q5" i="12"/>
  <c r="M22" i="12"/>
  <c r="C26" i="56"/>
  <c r="J16" i="56"/>
  <c r="U16" i="56"/>
  <c r="C2" i="47"/>
  <c r="F7" i="42"/>
  <c r="G14" i="42"/>
  <c r="B4" i="9"/>
  <c r="F11" i="60"/>
  <c r="M12" i="28"/>
  <c r="F4" i="12"/>
  <c r="E19" i="12"/>
  <c r="P10" i="12"/>
  <c r="G8" i="52"/>
  <c r="L2" i="15"/>
  <c r="J9" i="48"/>
  <c r="E3" i="60"/>
  <c r="F5" i="1"/>
  <c r="H10" i="1"/>
  <c r="I15" i="1"/>
  <c r="D7" i="28"/>
  <c r="H3" i="39"/>
  <c r="P15" i="12"/>
  <c r="N22" i="12"/>
  <c r="V16" i="56"/>
  <c r="D2" i="47"/>
  <c r="I7" i="42"/>
  <c r="I14" i="42"/>
  <c r="C4" i="9"/>
  <c r="D9" i="49"/>
  <c r="G12" i="28"/>
  <c r="K13" i="28"/>
  <c r="G4" i="12"/>
  <c r="F19" i="12"/>
  <c r="P6" i="12"/>
  <c r="Q10" i="12"/>
  <c r="H5" i="56"/>
  <c r="J8" i="52"/>
  <c r="M2" i="15"/>
  <c r="J10" i="48"/>
  <c r="F3" i="60"/>
  <c r="G5" i="1"/>
  <c r="I10" i="1"/>
  <c r="E7" i="28"/>
  <c r="H7" i="39"/>
  <c r="Q15" i="12"/>
  <c r="O22" i="12"/>
  <c r="I5" i="56"/>
  <c r="S5" i="56"/>
  <c r="S17" i="56"/>
  <c r="E2" i="47"/>
  <c r="J14" i="42"/>
  <c r="L4" i="9"/>
  <c r="C7" i="40"/>
  <c r="G19" i="1"/>
  <c r="H12" i="28"/>
  <c r="K14" i="28"/>
  <c r="E5" i="12"/>
  <c r="E20" i="12"/>
  <c r="Q6" i="12"/>
  <c r="R10" i="12"/>
  <c r="I2" i="47"/>
  <c r="A2" i="18"/>
  <c r="I8" i="42"/>
  <c r="J11" i="48"/>
  <c r="E6" i="60"/>
  <c r="C16" i="55"/>
  <c r="C9" i="1"/>
  <c r="I12" i="1"/>
  <c r="H19" i="1"/>
  <c r="D18" i="28"/>
  <c r="K3" i="28"/>
  <c r="J2" i="39"/>
  <c r="E3" i="12"/>
  <c r="S5" i="12"/>
  <c r="O12" i="12"/>
  <c r="C3" i="52"/>
  <c r="D7" i="52"/>
  <c r="G11" i="52"/>
  <c r="J2" i="5"/>
  <c r="J7" i="42"/>
  <c r="F4" i="9"/>
  <c r="H5" i="1"/>
  <c r="L8" i="1"/>
  <c r="L11" i="28"/>
  <c r="C13" i="39"/>
  <c r="F3" i="12"/>
  <c r="F12" i="12"/>
  <c r="K3" i="12"/>
  <c r="M6" i="12"/>
  <c r="S15" i="12"/>
  <c r="O21" i="12"/>
  <c r="C11" i="13"/>
  <c r="G15" i="56"/>
  <c r="T10" i="56"/>
  <c r="F2" i="47"/>
  <c r="M2" i="5"/>
  <c r="C4" i="42"/>
  <c r="I12" i="42"/>
  <c r="G4" i="43"/>
  <c r="F6" i="60"/>
  <c r="G12" i="60"/>
  <c r="C17" i="55"/>
  <c r="C10" i="1"/>
  <c r="J12" i="1"/>
  <c r="J19" i="1"/>
  <c r="E3" i="28"/>
  <c r="E18" i="28"/>
  <c r="L3" i="28"/>
  <c r="O9" i="12"/>
  <c r="P12" i="12"/>
  <c r="P21" i="12"/>
  <c r="I7" i="56"/>
  <c r="D3" i="52"/>
  <c r="E7" i="52"/>
  <c r="H11" i="52"/>
  <c r="G8" i="42"/>
  <c r="H4" i="9"/>
  <c r="D2" i="38"/>
  <c r="I5" i="1"/>
  <c r="H9" i="1"/>
  <c r="D4" i="28"/>
  <c r="F3" i="39"/>
  <c r="J4" i="39"/>
  <c r="G12" i="12"/>
  <c r="L3" i="12"/>
  <c r="P9" i="12"/>
  <c r="K18" i="12"/>
  <c r="C12" i="13"/>
  <c r="G16" i="56"/>
  <c r="V10" i="56"/>
  <c r="E3" i="52"/>
  <c r="H2" i="47"/>
  <c r="N2" i="5"/>
  <c r="F4" i="42"/>
  <c r="J12" i="42"/>
  <c r="H5" i="43"/>
  <c r="G6" i="60"/>
  <c r="H12" i="60"/>
  <c r="C20" i="55"/>
  <c r="C11" i="1"/>
  <c r="K19" i="1"/>
  <c r="G3" i="28"/>
  <c r="M3" i="28"/>
  <c r="K12" i="28"/>
  <c r="E4" i="12"/>
  <c r="Q21" i="12"/>
  <c r="G8" i="56"/>
  <c r="F7" i="52"/>
  <c r="I11" i="52"/>
  <c r="H8" i="42"/>
  <c r="I4" i="9"/>
  <c r="F2" i="38"/>
  <c r="I11" i="56"/>
  <c r="T14" i="56"/>
  <c r="G5" i="52"/>
  <c r="E2" i="46"/>
  <c r="L2" i="7"/>
  <c r="I10" i="42"/>
  <c r="G12" i="43"/>
  <c r="G3" i="60"/>
  <c r="E10" i="60"/>
  <c r="C16" i="40"/>
  <c r="D12" i="49"/>
  <c r="J7" i="1"/>
  <c r="L14" i="1"/>
  <c r="H9" i="28"/>
  <c r="H4" i="39"/>
  <c r="B4" i="12"/>
  <c r="F8" i="12"/>
  <c r="R4" i="12"/>
  <c r="M23" i="12"/>
  <c r="G9" i="52"/>
  <c r="A2" i="5"/>
  <c r="E2" i="18"/>
  <c r="D15" i="42"/>
  <c r="AD4" i="9"/>
  <c r="J12" i="48"/>
  <c r="D14" i="49"/>
  <c r="H11" i="1"/>
  <c r="E11" i="28"/>
  <c r="M7" i="28"/>
  <c r="C6" i="39"/>
  <c r="F20" i="12"/>
  <c r="P11" i="12"/>
  <c r="P14" i="12"/>
  <c r="R19" i="12"/>
  <c r="C24" i="56"/>
  <c r="J11" i="56"/>
  <c r="S7" i="56"/>
  <c r="T15" i="56"/>
  <c r="H5" i="52"/>
  <c r="G2" i="46"/>
  <c r="G6" i="42"/>
  <c r="C11" i="42"/>
  <c r="H13" i="43"/>
  <c r="AE4" i="9"/>
  <c r="F10" i="60"/>
  <c r="D15" i="49"/>
  <c r="F4" i="1"/>
  <c r="K7" i="1"/>
  <c r="F15" i="1"/>
  <c r="C7" i="39"/>
  <c r="H5" i="39"/>
  <c r="B9" i="12"/>
  <c r="S4" i="12"/>
  <c r="L20" i="12"/>
  <c r="O23" i="12"/>
  <c r="H9" i="52"/>
  <c r="B2" i="5"/>
  <c r="F2" i="18"/>
  <c r="J13" i="48"/>
  <c r="H4" i="60"/>
  <c r="C9" i="55"/>
  <c r="I4" i="1"/>
  <c r="E12" i="28"/>
  <c r="H10" i="28"/>
  <c r="E10" i="12"/>
  <c r="G20" i="12"/>
  <c r="K5" i="12"/>
  <c r="N8" i="12"/>
  <c r="S11" i="12"/>
  <c r="R14" i="12"/>
  <c r="C25" i="56"/>
  <c r="H12" i="56"/>
  <c r="T7" i="56"/>
  <c r="U15" i="56"/>
  <c r="I5" i="52"/>
  <c r="J9" i="52"/>
  <c r="I6" i="42"/>
  <c r="E11" i="42"/>
  <c r="F15" i="42"/>
  <c r="H14" i="43"/>
  <c r="AF4" i="9"/>
  <c r="G10" i="60"/>
  <c r="D16" i="49"/>
  <c r="L7" i="1"/>
  <c r="J11" i="1"/>
  <c r="G15" i="1"/>
  <c r="H11" i="28"/>
  <c r="L8" i="28"/>
  <c r="C8" i="39"/>
  <c r="H6" i="39"/>
  <c r="B10" i="12"/>
  <c r="S14" i="12"/>
  <c r="S23" i="12"/>
  <c r="M2" i="46"/>
  <c r="C2" i="5"/>
  <c r="J2" i="18"/>
  <c r="D7" i="42"/>
  <c r="J14" i="48"/>
  <c r="D2" i="15"/>
  <c r="E3" i="42"/>
  <c r="C10" i="42"/>
  <c r="G4" i="1"/>
  <c r="J15" i="1"/>
  <c r="D8" i="28"/>
  <c r="K9" i="28"/>
  <c r="F10" i="39"/>
  <c r="O3" i="12"/>
  <c r="K11" i="12"/>
  <c r="B13" i="56"/>
  <c r="F4" i="52"/>
  <c r="K2" i="46"/>
  <c r="H2" i="7"/>
  <c r="J6" i="42"/>
  <c r="E13" i="42"/>
  <c r="A5" i="9"/>
  <c r="A4" i="9"/>
  <c r="A8" i="9"/>
  <c r="A7" i="9"/>
  <c r="A6" i="9"/>
  <c r="A9" i="9"/>
  <c r="A13" i="9"/>
  <c r="A12" i="9"/>
  <c r="A11" i="9"/>
  <c r="A10" i="9"/>
  <c r="H8" i="60"/>
  <c r="C9" i="40"/>
  <c r="C5" i="1"/>
  <c r="K12" i="1"/>
  <c r="B13" i="12"/>
  <c r="P8" i="12"/>
  <c r="Q13" i="12"/>
  <c r="P23" i="12"/>
  <c r="H15" i="56"/>
  <c r="T8" i="56"/>
  <c r="D11" i="52"/>
  <c r="F3" i="42"/>
  <c r="F10" i="42"/>
  <c r="C10" i="43"/>
  <c r="J2" i="38"/>
  <c r="E8" i="28"/>
  <c r="G15" i="28"/>
  <c r="L9" i="28"/>
  <c r="C2" i="39"/>
  <c r="G18" i="12"/>
  <c r="Q3" i="12"/>
  <c r="L6" i="12"/>
  <c r="N18" i="12"/>
  <c r="U8" i="56"/>
  <c r="G4" i="52"/>
  <c r="J7" i="52"/>
  <c r="L2" i="46"/>
  <c r="I2" i="7"/>
  <c r="I2" i="15"/>
  <c r="C7" i="42"/>
  <c r="I13" i="42"/>
  <c r="X4" i="9"/>
  <c r="C9" i="43"/>
  <c r="I2" i="38"/>
  <c r="F7" i="1"/>
  <c r="L9" i="1"/>
  <c r="G14" i="28"/>
  <c r="M15" i="28"/>
  <c r="G8" i="12"/>
  <c r="K6" i="12"/>
  <c r="M18" i="12"/>
  <c r="J8" i="56"/>
  <c r="G7" i="52"/>
  <c r="V4" i="9"/>
  <c r="C18" i="55"/>
  <c r="G4" i="28"/>
  <c r="J5" i="39"/>
  <c r="K21" i="12"/>
  <c r="V14" i="56"/>
  <c r="E4" i="60"/>
  <c r="H4" i="1"/>
  <c r="G7" i="1"/>
  <c r="F10" i="1"/>
  <c r="K15" i="1"/>
  <c r="F11" i="39"/>
  <c r="F4" i="60"/>
  <c r="F9" i="60"/>
  <c r="C10" i="40"/>
  <c r="C19" i="55"/>
  <c r="C6" i="1"/>
  <c r="L12" i="1"/>
  <c r="L15" i="1"/>
  <c r="H4" i="28"/>
  <c r="J6" i="39"/>
  <c r="B14" i="12"/>
  <c r="G9" i="12"/>
  <c r="Q8" i="12"/>
  <c r="M11" i="12"/>
  <c r="K14" i="12"/>
  <c r="L21" i="12"/>
  <c r="Q23" i="12"/>
  <c r="B16" i="56"/>
  <c r="H9" i="56"/>
  <c r="I15" i="56"/>
  <c r="S15" i="56"/>
  <c r="E11" i="52"/>
  <c r="I3" i="42"/>
  <c r="G10" i="42"/>
  <c r="C11" i="43"/>
  <c r="K2" i="38"/>
  <c r="J14" i="1"/>
  <c r="I20" i="1"/>
  <c r="C14" i="39"/>
  <c r="G13" i="12"/>
  <c r="L5" i="12"/>
  <c r="Q12" i="12"/>
  <c r="G7" i="56"/>
  <c r="T6" i="56"/>
  <c r="F3" i="52"/>
  <c r="A2" i="46"/>
  <c r="I5" i="42"/>
  <c r="I15" i="42"/>
  <c r="AN4" i="9"/>
  <c r="C11" i="55"/>
  <c r="D13" i="49"/>
  <c r="H3" i="1"/>
  <c r="F9" i="1"/>
  <c r="L11" i="1"/>
  <c r="D5" i="28"/>
  <c r="D15" i="28"/>
  <c r="G11" i="28"/>
  <c r="H9" i="39"/>
  <c r="B5" i="12"/>
  <c r="E7" i="12"/>
  <c r="E23" i="12"/>
  <c r="R7" i="12"/>
  <c r="N10" i="12"/>
  <c r="O15" i="12"/>
  <c r="K20" i="12"/>
  <c r="C15" i="13"/>
  <c r="J6" i="52"/>
  <c r="I9" i="52"/>
  <c r="M2" i="47"/>
  <c r="L2" i="5"/>
  <c r="K2" i="18"/>
  <c r="C9" i="42"/>
  <c r="H12" i="42"/>
  <c r="G11" i="43"/>
  <c r="O4" i="9"/>
  <c r="J15" i="48"/>
  <c r="E7" i="60"/>
  <c r="E12" i="60"/>
  <c r="K14" i="1"/>
  <c r="E15" i="28"/>
  <c r="M6" i="28"/>
  <c r="M13" i="28"/>
  <c r="E14" i="12"/>
  <c r="M5" i="12"/>
  <c r="S7" i="12"/>
  <c r="R12" i="12"/>
  <c r="R22" i="12"/>
  <c r="H7" i="56"/>
  <c r="H13" i="56"/>
  <c r="U6" i="56"/>
  <c r="V12" i="56"/>
  <c r="G3" i="52"/>
  <c r="C2" i="46"/>
  <c r="J5" i="42"/>
  <c r="J15" i="42"/>
  <c r="A2" i="38"/>
  <c r="M3" i="12"/>
  <c r="B15" i="56"/>
  <c r="I8" i="56"/>
  <c r="G14" i="56"/>
  <c r="V6" i="56"/>
  <c r="J5" i="52"/>
  <c r="D9" i="52"/>
  <c r="J2" i="7"/>
  <c r="E2" i="15"/>
  <c r="D3" i="42"/>
  <c r="F6" i="42"/>
  <c r="E9" i="42"/>
  <c r="G12" i="42"/>
  <c r="E15" i="42"/>
  <c r="H8" i="43"/>
  <c r="J5" i="1"/>
  <c r="H8" i="1"/>
  <c r="I19" i="1"/>
  <c r="E9" i="28"/>
  <c r="H14" i="28"/>
  <c r="K15" i="28"/>
  <c r="F5" i="39"/>
  <c r="G6" i="12"/>
  <c r="R6" i="12"/>
  <c r="L9" i="12"/>
  <c r="O11" i="12"/>
  <c r="S13" i="12"/>
  <c r="L18" i="12"/>
  <c r="H7" i="52"/>
  <c r="J10" i="52"/>
  <c r="K2" i="5"/>
  <c r="S4" i="9"/>
  <c r="E2" i="38"/>
  <c r="J16" i="48"/>
  <c r="F12" i="60"/>
  <c r="F3" i="1"/>
  <c r="K5" i="1"/>
  <c r="G11" i="1"/>
  <c r="L13" i="1"/>
  <c r="H12" i="39"/>
  <c r="B8" i="12"/>
  <c r="F13" i="12"/>
  <c r="E22" i="12"/>
  <c r="P20" i="12"/>
  <c r="K23" i="12"/>
  <c r="C16" i="13"/>
  <c r="J6" i="56"/>
  <c r="G12" i="56"/>
  <c r="J17" i="56"/>
  <c r="U10" i="56"/>
  <c r="V15" i="56"/>
  <c r="C5" i="52"/>
  <c r="F2" i="46"/>
  <c r="D2" i="7"/>
  <c r="G2" i="18"/>
  <c r="C5" i="42"/>
  <c r="C8" i="42"/>
  <c r="D11" i="42"/>
  <c r="F14" i="42"/>
  <c r="H3" i="43"/>
  <c r="M4" i="28"/>
  <c r="C3" i="39"/>
  <c r="H13" i="39"/>
  <c r="G11" i="12"/>
  <c r="G19" i="12"/>
  <c r="P3" i="12"/>
  <c r="P5" i="12"/>
  <c r="Q9" i="12"/>
  <c r="R13" i="12"/>
  <c r="R15" i="12"/>
  <c r="S21" i="12"/>
  <c r="H17" i="56"/>
  <c r="H3" i="52"/>
  <c r="E6" i="52"/>
  <c r="F11" i="52"/>
  <c r="H2" i="5"/>
  <c r="N4" i="9"/>
  <c r="AH4" i="9"/>
  <c r="J5" i="48"/>
  <c r="G4" i="60"/>
  <c r="C15" i="55"/>
  <c r="G3" i="1"/>
  <c r="G8" i="1"/>
  <c r="H13" i="1"/>
  <c r="E6" i="28"/>
  <c r="G10" i="28"/>
  <c r="M10" i="28"/>
  <c r="B6" i="12"/>
  <c r="Q7" i="12"/>
  <c r="S19" i="12"/>
  <c r="C5" i="13"/>
  <c r="B14" i="56"/>
  <c r="J7" i="56"/>
  <c r="I12" i="56"/>
  <c r="I17" i="56"/>
  <c r="V9" i="56"/>
  <c r="U14" i="56"/>
  <c r="C9" i="52"/>
  <c r="H2" i="46"/>
  <c r="A2" i="7"/>
  <c r="N2" i="15"/>
  <c r="J3" i="42"/>
  <c r="H6" i="42"/>
  <c r="D9" i="42"/>
  <c r="J11" i="42"/>
  <c r="H14" i="42"/>
  <c r="G3" i="43"/>
  <c r="G14" i="43"/>
  <c r="S6" i="12"/>
  <c r="Y13" i="12" s="1" a="1"/>
  <c r="Y13" i="12" s="1"/>
  <c r="S8" i="12"/>
  <c r="S10" i="12"/>
  <c r="K15" i="12"/>
  <c r="M21" i="12"/>
  <c r="T12" i="56"/>
  <c r="V17" i="56"/>
  <c r="I7" i="52"/>
  <c r="F10" i="52"/>
  <c r="G2" i="47"/>
  <c r="D4" i="9"/>
  <c r="AB4" i="9"/>
  <c r="H2" i="38"/>
  <c r="J19" i="48"/>
  <c r="G11" i="60"/>
  <c r="C18" i="40"/>
  <c r="D8" i="49"/>
  <c r="H7" i="1"/>
  <c r="H12" i="1"/>
  <c r="H20" i="1"/>
  <c r="D12" i="28"/>
  <c r="M8" i="28"/>
  <c r="F2" i="39"/>
  <c r="J11" i="39"/>
  <c r="F9" i="12"/>
  <c r="K13" i="12"/>
  <c r="M19" i="12"/>
  <c r="N23" i="12"/>
  <c r="B5" i="56"/>
  <c r="J5" i="56"/>
  <c r="G11" i="56"/>
  <c r="J15" i="56"/>
  <c r="U7" i="56"/>
  <c r="U12" i="56"/>
  <c r="F5" i="52"/>
  <c r="B2" i="46"/>
  <c r="H2" i="15"/>
  <c r="N2" i="18"/>
  <c r="F5" i="42"/>
  <c r="F8" i="42"/>
  <c r="J10" i="42"/>
  <c r="F13" i="42"/>
  <c r="C6" i="43"/>
  <c r="G10" i="43"/>
  <c r="T16" i="56"/>
  <c r="D4" i="52"/>
  <c r="D6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J4" i="9"/>
  <c r="Z4" i="9"/>
  <c r="B2" i="38"/>
  <c r="J7" i="48"/>
  <c r="E5" i="60"/>
  <c r="E9" i="60"/>
  <c r="C6" i="40"/>
  <c r="C12" i="55"/>
  <c r="D10" i="49"/>
  <c r="C12" i="1"/>
  <c r="J4" i="1"/>
  <c r="L6" i="1"/>
  <c r="G9" i="1"/>
  <c r="I11" i="1"/>
  <c r="K13" i="1"/>
  <c r="F19" i="1"/>
  <c r="E5" i="28"/>
  <c r="E13" i="28"/>
  <c r="H7" i="28"/>
  <c r="H15" i="28"/>
  <c r="K8" i="28"/>
  <c r="L13" i="28"/>
  <c r="C10" i="39"/>
  <c r="F13" i="39"/>
  <c r="J3" i="39"/>
  <c r="B7" i="12"/>
  <c r="F5" i="12"/>
  <c r="G10" i="12"/>
  <c r="E18" i="12"/>
  <c r="F23" i="12"/>
  <c r="P4" i="12"/>
  <c r="N6" i="12"/>
  <c r="L8" i="12"/>
  <c r="S9" i="12"/>
  <c r="Q11" i="12"/>
  <c r="O13" i="12"/>
  <c r="M15" i="12"/>
  <c r="K19" i="12"/>
  <c r="R20" i="12"/>
  <c r="P22" i="12"/>
  <c r="C7" i="13"/>
  <c r="B11" i="56"/>
  <c r="H6" i="56"/>
  <c r="H10" i="56"/>
  <c r="H14" i="56"/>
  <c r="T5" i="56"/>
  <c r="T9" i="56"/>
  <c r="T13" i="56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E4" i="9"/>
  <c r="U4" i="9"/>
  <c r="AK4" i="9"/>
  <c r="M2" i="38"/>
  <c r="J20" i="48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6" i="48" l="1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B417995-0F29-4DCE-AB4A-9010D3E0FBF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Timestamp="1728630778"&gt;&lt;FQL&gt;&lt;Q&gt;FC0000ZA^FG_MCAP_IDX(0,,,USD)&lt;/Q&gt;&lt;R&gt;1&lt;/R&gt;&lt;C&gt;1&lt;/C&gt;&lt;D xsi:type="xsd:double"&gt;368945.25&lt;/D&gt;&lt;/FQL&gt;&lt;FQL&gt;&lt;Q&gt;EWI^FREF_MARKET_VALUE_COMPANY(0,,,USD,,0,,"LEGACY")&lt;/Q&gt;&lt;R&gt;1&lt;/R&gt;&lt;C&gt;1&lt;/C&gt;&lt;D xsi:type="xsd:double"&gt;504.84825&lt;/D&gt;&lt;/FQL&gt;&lt;FQL&gt;&lt;Q&gt;FC0000IT^FMA_MCAP(0,,,USD,"PORTAGG")&lt;/Q&gt;&lt;R&gt;1&lt;/R&gt;&lt;C&gt;1&lt;/C&gt;&lt;D xsi:type="xsd:double"&gt;880973.9&lt;/D&gt;&lt;/FQL&gt;&lt;FQL&gt;&lt;Q&gt;EWD^FREF_MARKET_VALUE_COMPANY(0,,,USD,,0,,"LEGACY")&lt;/Q&gt;&lt;R&gt;1&lt;/R&gt;&lt;C&gt;1&lt;/C&gt;&lt;D xsi:type="xsd:double"&gt;312.46875&lt;/D&gt;&lt;/FQL&gt;&lt;FQL&gt;&lt;Q&gt;FC0000SE^FMA_MCAP(0,,,USD,"PORTAGG")&lt;/Q&gt;&lt;R&gt;1&lt;/R&gt;&lt;C&gt;1&lt;/C&gt;&lt;D xsi:type="xsd:double"&gt;1048546.5&lt;/D&gt;&lt;/FQL&gt;&lt;FQL&gt;&lt;Q&gt;EWN^FREF_MARKET_VALUE_COMPANY(0,,,USD,,0,,"LEGACY")&lt;/Q&gt;&lt;R&gt;1&lt;/R&gt;&lt;C&gt;1&lt;/C&gt;&lt;D xsi:type="xsd:double"&gt;278.936&lt;/D&gt;&lt;/FQL&gt;&lt;FQL&gt;&lt;Q&gt;FC0000NL^FMA_MCAP(0,,,USD,"PORTAGG")&lt;/Q&gt;&lt;R&gt;1&lt;/R&gt;&lt;C&gt;1&lt;/C&gt;&lt;D xsi:type="xsd:double"&gt;1108898.8&lt;/D&gt;&lt;/FQL&gt;&lt;FQL&gt;&lt;Q&gt;EWQ^FREF_MARKET_VALUE_COMPANY(0,,,USD,,0,,"LEGACY")&lt;/Q&gt;&lt;R&gt;1&lt;/R&gt;&lt;C&gt;1&lt;/C&gt;&lt;D xsi:type="xsd:double"&gt;642.388&lt;/D&gt;&lt;/FQL&gt;&lt;FQL&gt;&lt;Q&gt;FC0000FR^FMA_MCAP(0,,,USD,"PORTAGG")&lt;/Q&gt;&lt;R&gt;1&lt;/R&gt;&lt;C&gt;1&lt;/C&gt;&lt;D xsi:type="xsd:double"&gt;3172412.5&lt;/D&gt;&lt;/FQL&gt;&lt;FQL&gt;&lt;Q&gt;SPY^FREF_MARKET_VALUE_COMPANY(0,,,USD,,0,,"LEGACY")&lt;/Q&gt;&lt;R&gt;1&lt;/R&gt;&lt;C&gt;1&lt;/C&gt;&lt;D xsi:type="xsd:double"&gt;584185.507273&lt;/D&gt;&lt;/FQL&gt;&lt;FQL&gt;&lt;Q&gt;FC0000US^FMA_MCAP(0,,,USD,"PORTAGG")&lt;/Q&gt;&lt;R&gt;1&lt;/R&gt;&lt;C&gt;1&lt;/C&gt;&lt;D xsi:type="xsd:double"&gt;59975580&lt;/D&gt;&lt;/FQL&gt;&lt;FQL&gt;&lt;Q&gt;FC0000GB^FMA_MCAP(0,,,USD,"PORTAGG")&lt;/Q&gt;&lt;R&gt;1&lt;/R&gt;&lt;C&gt;1&lt;/C&gt;&lt;D xsi:type="xsd:double"&gt;3282035.8&lt;/D&gt;&lt;/FQL&gt;&lt;FQL&gt;&lt;Q&gt;FC0000CH^FMA_MCAP(0,,,USD,"PORTAGG")&lt;/Q&gt;&lt;R&gt;1&lt;/R&gt;&lt;C&gt;1&lt;/C&gt;&lt;D xsi:type="xsd:double"&gt;2295681.8&lt;/D&gt;&lt;/FQL&gt;&lt;FQL&gt;&lt;Q&gt;EWG^FREF_MARKET_VALUE_COMPANY(0,,,USD,,0,,"LEGACY")&lt;/Q&gt;&lt;R&gt;1&lt;/R&gt;&lt;C&gt;1&lt;/C&gt;&lt;D xsi:type="xsd:double"&gt;900.081&lt;/D&gt;&lt;/FQL&gt;&lt;FQL&gt;&lt;Q&gt;FC0000DE^FMA_MCAP(0,,,USD,"PORTAGG")&lt;/Q&gt;&lt;R&gt;1&lt;/R&gt;&lt;C&gt;1&lt;/C&gt;&lt;D xsi:type="xsd:double"&gt;2363407.5&lt;/D&gt;&lt;/FQL&gt;&lt;FQL&gt;&lt;Q&gt;EWC^FREF_MARKET_VALUE_COMPANY(0,,,USD,,0,,"LEGACY")&lt;/Q&gt;&lt;R&gt;1&lt;/R&gt;&lt;C&gt;1&lt;/C&gt;&lt;D xsi:type="xsd:double"&gt;2889.72&lt;/D&gt;&lt;/FQL&gt;&lt;FQL&gt;&lt;Q&gt;FC0000CA^FMA_MCAP(0,,,USD,"PORTAGG")&lt;/Q&gt;&lt;R&gt;1&lt;/R&gt;&lt;C&gt;1&lt;/C&gt;&lt;D xsi:type="xsd:double"&gt;2961441.3&lt;/D&gt;&lt;/FQL&gt;&lt;FQL&gt;&lt;Q&gt;EWA^FREF_MARKET_VALUE_COMPANY(0,,,USD,,0,,"LEGACY")&lt;/Q&gt;&lt;R&gt;1&lt;/R&gt;&lt;C&gt;1&lt;/C&gt;&lt;D xsi:type="xsd:double"&gt;1526.56&lt;/D&gt;&lt;/FQL&gt;&lt;FQL&gt;&lt;Q&gt;FC0000AU^FMA_MCAP(0,,,USD,"PORTAGG")&lt;/Q&gt;&lt;R&gt;1&lt;/R&gt;&lt;C&gt;1&lt;/C&gt;&lt;D xsi:type="xsd:double"&gt;1802580.6&lt;/D&gt;&lt;/FQL&gt;&lt;FQL&gt;&lt;Q&gt;ENZL^FREF_MARKET_VALUE_COMPANY(0,,,USD,,0,,"LEGACY")&lt;/Q&gt;&lt;R&gt;1&lt;/R&gt;&lt;C&gt;1&lt;/C&gt;&lt;D xsi:type="xsd:double"&gt;100.0195&lt;/D&gt;&lt;/FQL&gt;&lt;FQL&gt;&lt;Q&gt;FC0000NZ^FMA_MCAP(0,,,USD,"PORTAGG")&lt;/Q&gt;&lt;R&gt;1&lt;/R&gt;&lt;C&gt;1&lt;/C&gt;&lt;D xsi:type="xsd:double"&gt;99515.08&lt;/D&gt;&lt;/FQL&gt;&lt;FQL&gt;&lt;Q&gt;NQG00809^FG_COMPANY_NAME&lt;/Q&gt;&lt;R&gt;1&lt;/R&gt;&lt;C&gt;1&lt;/C&gt;&lt;D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Africa&lt;/D&gt;&lt;/FQL&gt;&lt;FQL&gt;&lt;Q&gt;NQG00809^FMA_MCAP(0,,,USD,"PORTAGG")&lt;/Q&gt;&lt;R&gt;0&lt;/R&gt;&lt;C&gt;0&lt;/C&gt;&lt;/FQL&gt;&lt;FQL&gt;&lt;Q&gt;QQQ^FREF_MARKET_VALUE_COMPANY(0,,,USD,,0,,"LEGACY")&lt;/Q&gt;&lt;R&gt;1&lt;/R&gt;&lt;C&gt;1&lt;/C&gt;&lt;D xsi:type="xsd:double"&gt;295184.5575&lt;/D&gt;&lt;/FQL&gt;&lt;FQL&gt;&lt;Q&gt;EWU^FREF_MARKET_VALUE_COMPANY(0,,,USD,,0,,"LEGACY")&lt;/Q&gt;&lt;R&gt;1&lt;/R&gt;&lt;C&gt;1&lt;/C&gt;&lt;D xsi:type="xsd:double"&gt;3317.806&lt;/D&gt;&lt;/FQL&gt;&lt;FQL&gt;&lt;Q&gt;EWL^FREF_MARKET_VALUE_COMPANY(0,,,USD,,0,,"LEGACY")&lt;/Q&gt;&lt;R&gt;1&lt;/R&gt;&lt;C&gt;1&lt;/C&gt;&lt;D xsi:type="xsd:double"&gt;1275.5&lt;/D&gt;&lt;/FQL&gt;&lt;FQL&gt;&lt;Q&gt;EWJ^FREF_MARKET_VALUE_COMPANY(0,,,USD,,0,,"LEGACY")&lt;/Q&gt;&lt;R&gt;1&lt;/R&gt;&lt;C&gt;1&lt;/C&gt;&lt;D xsi:type="xsd:double"&gt;14995.35&lt;/D&gt;&lt;/FQL&gt;&lt;FQL&gt;&lt;Q&gt;FC0000JP^FMA_MCAP(0,,,USD,"PORTAGG")&lt;/Q&gt;&lt;R&gt;1&lt;/R&gt;&lt;C&gt;1&lt;/C&gt;&lt;D xsi:type="xsd:double"&gt;6639800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xsi:type="xsd:double"&gt;48.15083&lt;/D&gt;&lt;/FQL&gt;&lt;FQL&gt;&lt;Q&gt;DUMMY^ECON_EXPR_DATA('FDS_ECON[NTCPMIMFGSA@FR]',,,M)&lt;/Q&gt;&lt;R&gt;1&lt;/R&gt;&lt;C&gt;1&lt;/C&gt;&lt;D xsi:type="xsd:double"&gt;44.596165&lt;/D&gt;&lt;/FQL&gt;&lt;FQL&gt;&lt;Q&gt;DUMMY^ECON_EXPR_DATA('FDS_ECON[NTCPMIMFGMESA@US]',,,M)&lt;/Q&gt;&lt;R&gt;1&lt;/R&gt;&lt;C&gt;1&lt;/C&gt;&lt;D xsi:type="xsd:double"&gt;47.257957&lt;/D&gt;&lt;/FQL&gt;&lt;FQL&gt;&lt;Q&gt;DUMMY^ECON_EXPR_DATA('FDS_ECON[NTCPMIMFGSA@CH]',,,M)&lt;/Q&gt;&lt;R&gt;1&lt;/R&gt;&lt;C&gt;1&lt;/C&gt;&lt;D xsi:type="xsd:double"&gt;49.874554&lt;/D&gt;&lt;/FQL&gt;&lt;FQL&gt;&lt;Q&gt;DUMMY^ECON_EXPR_DATA('FDS_ECON[NTCPMIMFGSA@JP]',,,M)&lt;/Q&gt;&lt;R&gt;1&lt;/R&gt;&lt;C&gt;1&lt;/C&gt;&lt;D xsi:type="xsd:double"&gt;49.730064&lt;/D&gt;&lt;/FQL&gt;&lt;FQL&gt;&lt;Q&gt;DUMMY^ECON_EXPR_DATA('FDS_ECON[NTCPMIMFGSA@CA]',,,M)&lt;/Q&gt;&lt;R&gt;1&lt;/R&gt;&lt;C&gt;1&lt;/C&gt;&lt;D xsi:type="xsd:double"&gt;50.366905&lt;/D&gt;&lt;/FQL&gt;&lt;FQL&gt;&lt;Q&gt;DUMMY^ECON_EXPR_DATA('FDS_ECON[NTCPMIMFGSA@NZ]',,,M)&lt;/Q&gt;&lt;R&gt;1&lt;/R&gt;&lt;C&gt;1&lt;/C&gt;&lt;D xsi:type="xsd:double"&gt;46.885586&lt;/D&gt;&lt;/FQL&gt;&lt;FQL&gt;&lt;Q&gt;DUMMY^ECON_EXPR_DATA('FDS_ECON[NTCPMIMFGSA@IT]',,,M)&lt;/Q&gt;&lt;R&gt;1&lt;/R&gt;&lt;C&gt;1&lt;/C&gt;&lt;D xsi:type="xsd:double"&gt;48.309246&lt;/D&gt;&lt;/FQL&gt;&lt;FQL&gt;&lt;Q&gt;DUMMY^ECON_EXPR_DATA('FDS_ECON[NTCPMIMFGSA@GB]',,,M)&lt;/Q&gt;&lt;R&gt;1&lt;/R&gt;&lt;C&gt;1&lt;/C&gt;&lt;D xsi:type="xsd:double"&gt;51.538494&lt;/D&gt;&lt;/FQL&gt;&lt;FQL&gt;&lt;Q&gt;DUMMY^ECON_EXPR_DATA('FDS_ECON[NTCPMIMFGSA@DE]',,,M)&lt;/Q&gt;&lt;R&gt;1&lt;/R&gt;&lt;C&gt;1&lt;/C&gt;&lt;D xsi:type="xsd:double"&gt;40.599674&lt;/D&gt;&lt;/FQL&gt;&lt;FQL&gt;&lt;Q&gt;DUMMY^ECON_EXPR_DATA('FDS_ECON[NTCPMIMFGSA@AU]',,,M)&lt;/Q&gt;&lt;R&gt;1&lt;/R&gt;&lt;C&gt;1&lt;/C&gt;&lt;D xsi:type="xsd:double"&gt;46.746517&lt;/D&gt;&lt;/FQL&gt;&lt;FQL&gt;&lt;Q&gt;CAGDPY@FR^EE_ACTUAL_ANNUAL(MED,+1)&lt;/Q&gt;&lt;R&gt;1&lt;/R&gt;&lt;C&gt;1&lt;/C&gt;&lt;D xsi:type="xsd:double"&gt;-0.2&lt;/D&gt;&lt;/FQL&gt;&lt;FQL&gt;&lt;Q&gt;CAGDPY@AU^EE_ACTUAL_ANNUAL(MED,+1)&lt;/Q&gt;&lt;R&gt;1&lt;/R&gt;&lt;C&gt;1&lt;/C&gt;&lt;D xsi:type="xsd:double"&gt;-0.95&lt;/D&gt;&lt;/FQL&gt;&lt;FQL&gt;&lt;Q&gt;USDITL^FG_PRICE_CHANGE(0,-3AM)&lt;/Q&gt;&lt;R&gt;1&lt;/R&gt;&lt;C&gt;1&lt;/C&gt;&lt;D xsi:type="xsd:double"&gt;-0.90634227&lt;/D&gt;&lt;/FQL&gt;&lt;FQL&gt;&lt;Q&gt;USDANG^FG_PRICE_CHANGE(0,-3AM)&lt;/Q&gt;&lt;R&gt;1&lt;/R&gt;&lt;C&gt;1&lt;/C&gt;&lt;D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xsi:type="xsd:double"&gt;-1.6934156&lt;/D&gt;&lt;/FQL&gt;&lt;FQL&gt;&lt;Q&gt;USDJPY^FG_PRICE_CHANGE(0,-3AM)&lt;/Q&gt;&lt;R&gt;1&lt;/R&gt;&lt;C&gt;1&lt;/C&gt;&lt;D xsi:type="xsd:double"&gt;-7.9985085&lt;/D&gt;&lt;/FQL&gt;&lt;FQL&gt;&lt;Q&gt;USDCAD^FG_PRICE_CHANGE(0,-3AM)&lt;/Q&gt;&lt;R&gt;1&lt;/R&gt;&lt;C&gt;1&lt;/C&gt;&lt;D xsi:type="xsd:double"&gt;0.99856853&lt;/D&gt;&lt;/FQL&gt;&lt;FQL&gt;&lt;Q&gt;USDNZD^FG_PRICE_CHANGE(0,-3AM)&lt;/Q&gt;&lt;R&gt;1&lt;/R&gt;&lt;C&gt;1&lt;/C&gt;&lt;D xsi:type="xsd:double"&gt;0.08229017&lt;/D&gt;&lt;/FQL&gt;&lt;FQL&gt;&lt;Q&gt;EWA^FMA_EPS(NTMA,-20AY,0,CY,,"PORTAGG","MEANR")&lt;/Q&gt;&lt;R&gt;20&lt;/R&gt;&lt;C&gt;1&lt;/C&gt;&lt;D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xsi:type="xsd:long"&gt;45575&lt;/D&gt;&lt;/FQL&gt;&lt;FQL&gt;&lt;Q&gt;EWD^FMA_DIV_YLD(NTMA,-10AY,0,AM,"PORTAGG","MEANR")&lt;/Q&gt;&lt;R&gt;121&lt;/R&gt;&lt;C&gt;1&lt;/C&gt;&lt;D xsi:type="xsd:double"&gt;4.53040002480111&lt;/D&gt;&lt;D xsi:type="xsd:double"&gt;4.16221476523303&lt;/D&gt;&lt;D xsi:type="xsd:double"&gt;4.10449787387969&lt;/D&gt;&lt;D xsi:type="xsd:double"&gt;4.1537943816742&lt;/D&gt;&lt;D xsi:type="xsd:double"&gt;3.77053937039368&lt;/D&gt;&lt;D xsi:type="xsd:double"&gt;3.72665422544009&lt;/D&gt;&lt;D xsi:type="xsd:double"&gt;3.6075712904039&lt;/D&gt;&lt;D xsi:type="xsd:double"&gt;3.842182667258&lt;/D&gt;&lt;D xsi:type="xsd:double"&gt;3.89272251520782&lt;/D&gt;&lt;D xsi:type="xsd:double"&gt;3.96182290230141&lt;/D&gt;&lt;D xsi:type="xsd:double"&gt;3.92138618345557&lt;/D&gt;&lt;D xsi:type="xsd:double"&gt;4.31390155465975&lt;/D&gt;&lt;D xsi:type="xsd:double"&gt;4.31015168727001&lt;/D&gt;&lt;D xsi:type="xsd:double"&gt;4.20572679264249&lt;/D&gt;&lt;D xsi:type="xsd:double"&gt;4.36159496723049&lt;/D&gt;&lt;D xsi:type="xsd:double"&gt;4.60362251734442&lt;/D&gt;&lt;D xsi:type="xsd:double"&gt;4.62033831641612&lt;/D&gt;&lt;D xsi:type="xsd:double"&gt;4.3471054558986&lt;/D&gt;&lt;D xsi:type="xsd:double"&gt;4.39523332943867&lt;/D&gt;&lt;D xsi:type="xsd:double"&gt;4.40540267566593&lt;/D&gt;&lt;D xsi:type="xsd:double"&gt;4.55788981641595&lt;/D&gt;&lt;D xsi:type="xsd:double"&gt;4.50718948749514&lt;/D&gt;&lt;D xsi:type="xsd:double"&gt;4.24063867195989&lt;/D&gt;&lt;D xsi:type="xsd:double"&gt;4.22129046246409&lt;/D&gt;&lt;D xsi:type="xsd:double"&gt;4.11003645922668&lt;/D&gt;&lt;D xsi:type="xsd:double"&gt;4.07235605775042&lt;/D&gt;&lt;D xsi:type="xsd:double"&gt;3.8795934791461&lt;/D&gt;&lt;D xsi:type="xsd:double"&gt;3.91853989821481&lt;/D&gt;&lt;D xsi:type="xsd:double"&gt;3.66795642893299&lt;/D&gt;&lt;D xsi:type="xsd:double"&gt;3.63027584186662&lt;/D&gt;&lt;D xsi:type="xsd:double"&gt;3.65977397137511&lt;/D&gt;&lt;D xsi:type="xsd:double"&gt;3.50071743108476&lt;/D&gt;&lt;D xsi:type="xsd:double"&gt;3.53038431692621&lt;/D&gt;&lt;D xsi:type="xsd:double"&gt;3.56637883682227&lt;/D&gt;&lt;D xsi:type="xsd:double"&gt;3.73406721084445&lt;/D&gt;&lt;D xsi:type="xsd:double"&gt;3.76128239325648&lt;/D&gt;&lt;D xsi:type="xsd:double"&gt;3.54938619492959&lt;/D&gt;&lt;D xsi:type="xsd:double"&gt;3.60234192890126&lt;/D&gt;&lt;D xsi:type="xsd:double"&gt;3.68967703110684&lt;/D&gt;&lt;D xsi:type="xsd:double"&gt;3.64170307036956&lt;/D&gt;&lt;D xsi:type="xsd:double"&gt;4.02556926118666&lt;/D&gt;&lt;D xsi:type="xsd:double"&gt;3.83733383035062&lt;/D&gt;&lt;D xsi:type="xsd:double"&gt;4.10262143772494&lt;/D&gt;&lt;D xsi:type="xsd:double"&gt;3.94661573995278&lt;/D&gt;&lt;D xsi:type="xsd:double"&gt;4.11126866658142&lt;/D&gt;&lt;D xsi:type="xsd:double"&gt;4.15484805058109&lt;/D&gt;&lt;D xsi:type="xsd:double"&gt;4.10030847819855&lt;/D&gt;&lt;D xsi:type="xsd:double"&gt;4.10909179589366&lt;/D&gt;&lt;D xsi:type="xsd:double"&gt;4.1836630433092&lt;/D&gt;&lt;D xsi:type="xsd:double"&gt;4.38320485486567&lt;/D&gt;&lt;D xsi:type="xsd:double"&gt;4.68744493328049&lt;/D&gt;&lt;D xsi:type="xsd:double"&gt;4.53202465506859&lt;/D&gt;&lt;D xsi:type="xsd:double"&gt;4.30921531394334&lt;/D&gt;&lt;D xsi:type="xsd:double"&gt;4.21106658217359&lt;/D&gt;&lt;D xsi:type="xsd:double"&gt;4.05646838875903&lt;/D&gt;&lt;D xsi:type="xsd:double"&gt;4.20659666126445&lt;/D&gt;&lt;D xsi:type="xsd:double"&gt;4.26658045637335&lt;/D&gt;&lt;D xsi:type="xsd:double"&gt;4.1561890592119&lt;/D&gt;&lt;D xsi:type="xsd:double"&gt;4.27445585710311&lt;/D&gt;&lt;D xsi:type="xsd:double"&gt;4.03717402276519&lt;/D&gt;&lt;D xsi:type="xsd:double"&gt;3.95313268603987&lt;/D&gt;&lt;D xsi:type="xsd:double"&gt;3.65843978707427&lt;/D&gt;&lt;D xsi:type="xsd:double"&gt;3.71173026202192&lt;/D&gt;&lt;D xsi:type="xsd:double"&gt;3.58278924176226&lt;/D&gt;&lt;D xsi:type="xsd:double"&gt;3.46683167245765&lt;/D&gt;&lt;D xsi:type="xsd:double"&gt;4.19509167905825&lt;/D&gt;&lt;D xsi:type="xsd:double"&gt;3.61668053943421&lt;/D&gt;&lt;D xsi:type="xsd:double"&gt;3.30557704432185&lt;/D&gt;&lt;D xsi:type="xsd:double"&gt;2.96801133270454&lt;/D&gt;&lt;D xsi:type="xsd:double"&gt;2.98890258385145&lt;/D&gt;&lt;D xsi:type="xsd:double"&gt;3.02130402100338&lt;/D&gt;&lt;D xsi:type="xsd:double"&gt;2.98389143727819&lt;/D&gt;&lt;D xsi:type="xsd:double"&gt;2.982772332735&lt;/D&gt;&lt;D xsi:type="xsd:double"&gt;3.05338272513246&lt;/D&gt;&lt;D xsi:type="xsd:double"&gt;3.04235741895468&lt;/D&gt;&lt;D xsi:type="xsd:double"&gt;2.9946680577473&lt;/D&gt;&lt;D xsi:type="xsd:double"&gt;3.01741830375259&lt;/D&gt;&lt;D xsi:type="xsd:double"&gt;2.82469602227387&lt;/D&gt;&lt;D xsi:type="xsd:double"&gt;2.70146301846704&lt;/D&gt;&lt;D xsi:type="xsd:double"&gt;2.79082221979801&lt;/D&gt;&lt;D xsi:type="xsd:double"&gt;2.67981232615456&lt;/D&gt;&lt;D xsi:type="xsd:double"&gt;2.67209223714433&lt;/D&gt;&lt;D xsi:type="xsd:double"&gt;2.72269849586961&lt;/D&gt;&lt;D xsi:type="xsd:double"&gt;2.75867244469713&lt;/D&gt;&lt;D xsi:type="xsd:double"&gt;2.93146243874012&lt;/D&gt;&lt;D xsi:type="xsd:double"&gt;2.99081508242222&lt;/D&gt;&lt;D xsi:type="xsd:double"&gt;2.92537469820634&lt;/D&gt;&lt;D xsi:type="xsd:double"&gt;2.95168042013467&lt;/D&gt;&lt;D xsi:type="xsd:double"&gt;2.88791920891731&lt;/D&gt;&lt;D xsi:type="xsd:double"&gt;3.26673799760018&lt;/D&gt;&lt;D xsi:type="xsd:double"&gt;3.10341377305367&lt;/D&gt;&lt;D xsi:type="xsd:double"&gt;3.56066000231452&lt;/D&gt;&lt;D xsi:type="xsd:double"&gt;3.3929252975751&lt;/D&gt;&lt;D xsi:type="xsd:double"&gt;3.6277070140978&lt;/D&gt;&lt;D xsi:type="xsd:double"&gt;3.4728794771824&lt;/D&gt;&lt;D xsi:type="xsd:double"&gt;3.66011656520569&lt;/D&gt;&lt;D xsi:type="xsd:double"&gt;3.80938636068104&lt;/D&gt;&lt;D xsi:type="xsd:double"&gt;3.56026287660869&lt;/D&gt;&lt;D xsi:type="xsd:double"&gt;3.59551094918579&lt;/D&gt;&lt;D xsi:type="xsd:double"&gt;3.54628566649539&lt;/D&gt;&lt;D xsi:type="xsd:double"&gt;3.56694476812716&lt;/D&gt;&lt;D xsi:type="xsd:double"&gt;3.64822333509868&lt;/D&gt;&lt;D xsi:type="xsd:double"&gt;3.73848073202407&lt;/D&gt;&lt;D xsi:type="xsd:double"&gt;3.76115250969737&lt;/D&gt;&lt;D xsi:type="xsd:double"&gt;3.7027030680989&lt;/D&gt;&lt;D xsi:type="xsd:double"&gt;3.82992535595011&lt;/D&gt;&lt;D xsi:type="xsd:double"&gt;3.83775590440611&lt;/D&gt;&lt;D xsi:type="xsd:double"&gt;3.96927758132237&lt;/D&gt;&lt;D xsi:type="xsd:double"&gt;3.7518092667886&lt;/D&gt;&lt;D xsi:type="xsd:double"&gt;3.87324110349945&lt;/D&gt;&lt;D xsi:type="xsd:double"&gt;3.04454858379499&lt;/D&gt;&lt;D xsi:type="xsd:double"&gt;3.01080946064914&lt;/D&gt;&lt;D xsi:type="xsd:double"&gt;3.37988393501869&lt;/D&gt;&lt;D xsi:type="xsd:double"&gt;3.22854014829869&lt;/D&gt;&lt;D xsi:type="xsd:double"&gt;3.25873310593097&lt;/D&gt;&lt;D xsi:type="xsd:double"&gt;3.16917448826822&lt;/D&gt;&lt;D xsi:type="xsd:double"&gt;3.20413999234199&lt;/D&gt;&lt;D xsi:type="xsd:double"&gt;3.23719567415478&lt;/D&gt;&lt;D xsi:type="xsd:double"&gt;3.38765972335266&lt;/D&gt;&lt;D xsi:type="xsd:double"&gt;3.32513443716638&lt;/D&gt;&lt;D xsi:type="xsd:double"&gt;3.16999196079178&lt;/D&gt;&lt;/FQL&gt;&lt;FQL&gt;&lt;Q&gt;EWQ^FMA_PE(NTMA,-10AY,0,AM,"PORTAGG","MEANR")&lt;/Q&gt;&lt;R&gt;121&lt;/R&gt;&lt;C&gt;1&lt;/C&gt;&lt;D xsi:type="xsd:double"&gt;12.6193460181865&lt;/D&gt;&lt;D xsi:type="xsd:double"&gt;13.2166333959565&lt;/D&gt;&lt;D xsi:type="xsd:double"&gt;13.5382044072804&lt;/D&gt;&lt;D xsi:type="xsd:double"&gt;13.5183553642329&lt;/D&gt;&lt;D xsi:type="xsd:double"&gt;15.5966709330333&lt;/D&gt;&lt;D xsi:type="xsd:double"&gt;16.0693051690907&lt;/D&gt;&lt;D xsi:type="xsd:double"&gt;17.1212684363433&lt;/D&gt;&lt;D xsi:type="xsd:double"&gt;16.4598808836378&lt;/D&gt;&lt;D xsi:type="xsd:double"&gt;15.8414255477056&lt;/D&gt;&lt;D xsi:type="xsd:double"&gt;15.5027022901504&lt;/D&gt;&lt;D xsi:type="xsd:double"&gt;15.9928722431893&lt;/D&gt;&lt;D xsi:type="xsd:double"&gt;14.2469040618953&lt;/D&gt;&lt;D xsi:type="xsd:double"&gt;14.6264557862971&lt;/D&gt;&lt;D xsi:type="xsd:double"&gt;15.2179089584933&lt;/D&gt;&lt;D xsi:type="xsd:double"&gt;14.5154255576792&lt;/D&gt;&lt;D xsi:type="xsd:double"&gt;13.6482204024616&lt;/D&gt;&lt;D xsi:type="xsd:double"&gt;13.2362338680317&lt;/D&gt;&lt;D xsi:type="xsd:double"&gt;14.2201390360053&lt;/D&gt;&lt;D xsi:type="xsd:double"&gt;14.0965319396562&lt;/D&gt;&lt;D xsi:type="xsd:double"&gt;14.2164338128747&lt;/D&gt;&lt;D xsi:type="xsd:double"&gt;13.8916468252149&lt;/D&gt;&lt;D xsi:type="xsd:double"&gt;13.4433692054303&lt;/D&gt;&lt;D xsi:type="xsd:double"&gt;14.071011193418&lt;/D&gt;&lt;D xsi:type="xsd:double"&gt;14.0818527749777&lt;/D&gt;&lt;D xsi:type="xsd:double"&gt;13.9275382093289&lt;/D&gt;&lt;D xsi:type="xsd:double"&gt;13.8074160488588&lt;/D&gt;&lt;D xsi:type="xsd:double"&gt;14.3963557909099&lt;/D&gt;&lt;D xsi:type="xsd:double"&gt;14.606852108756&lt;/D&gt;&lt;D xsi:type="xsd:double"&gt;14.2086830911331&lt;/D&gt;&lt;D xsi:type="xsd:double"&gt;14.5204791092236&lt;/D&gt;&lt;D xsi:type="xsd:double"&gt;14.8274291027537&lt;/D&gt;&lt;D xsi:type="xsd:double"&gt;15.4420951533017&lt;/D&gt;&lt;D xsi:type="xsd:double"&gt;15.0857833266054&lt;/D&gt;&lt;D xsi:type="xsd:double"&gt;14.6671903610003&lt;/D&gt;&lt;D xsi:type="xsd:double"&gt;14.5266539053119&lt;/D&gt;&lt;D xsi:type="xsd:double"&gt;14.5938546318309&lt;/D&gt;&lt;D xsi:type="xsd:double"&gt;15.181976625911&lt;/D&gt;&lt;D xsi:type="xsd:double"&gt;15.0117688428659&lt;/D&gt;&lt;D xsi:type="xsd:double"&gt;15.0807403721605&lt;/D&gt;&lt;D xsi:type="xsd:double"&gt;15.2233093882206&lt;/D&gt;&lt;D xsi:type="xsd:double"&gt;14.0302646214365&lt;/D&gt;&lt;D xsi:type="xsd:double"&gt;14.5561082665678&lt;/D&gt;&lt;D xsi:type="xsd:double"&gt;14.5211620566446&lt;/D&gt;&lt;D xsi:type="xsd:double"&gt;14.872637461286&lt;/D&gt;&lt;D xsi:type="xsd:double"&gt;14.360214453195&lt;/D&gt;&lt;D xsi:type="xsd:double"&gt;14.1535918060352&lt;/D&gt;&lt;D xsi:type="xsd:double"&gt;13.8598306658398&lt;/D&gt;&lt;D xsi:type="xsd:double"&gt;13.4091684181942&lt;/D&gt;&lt;D xsi:type="xsd:double"&gt;13.0242887050954&lt;/D&gt;&lt;D xsi:type="xsd:double"&gt;12.8255122560701&lt;/D&gt;&lt;D xsi:type="xsd:double"&gt;11.9257368373604&lt;/D&gt;&lt;D xsi:type="xsd:double"&gt;12.2764025083788&lt;/D&gt;&lt;D xsi:type="xsd:double"&gt;12.7518756264487&lt;/D&gt;&lt;D xsi:type="xsd:double"&gt;13.389551665396&lt;/D&gt;&lt;D xsi:type="xsd:double"&gt;13.8417914711488&lt;/D&gt;&lt;D xsi:type="xsd:double"&gt;13.4933522370889&lt;/D&gt;&lt;D xsi:type="xsd:double"&gt;13.5722726158725&lt;/D&gt;&lt;D xsi:type="xsd:double"&gt;13.9451615646324&lt;/D&gt;&lt;D xsi:type="xsd:double"&gt;13.5032006484124&lt;/D&gt;&lt;D xsi:type="xsd:double"&gt;14.0374251876923&lt;/D&gt;&lt;D xsi:type="xsd:double"&gt;13.937264481656&lt;/D&gt;&lt;D xsi:type="xsd:double"&gt;14.7464585099916&lt;/D&gt;&lt;D xsi:type="xsd:double"&gt;14.6093041143762&lt;/D&gt;&lt;D xsi:type="xsd:double"&gt;14.998734210636&lt;/D&gt;&lt;D xsi:type="xsd:double"&gt;14.982990546702&lt;/D&gt;&lt;D xsi:type="xsd:double"&gt;12.0007794751946&lt;/D&gt;&lt;D xsi:type="xsd:double"&gt;14.4908623991801&lt;/D&gt;&lt;D xsi:type="xsd:double"&gt;16.808393213263&lt;/D&gt;&lt;D xsi:type="xsd:double"&gt;19.110635466124&lt;/D&gt;&lt;D xsi:type="xsd:double"&gt;19.1810581877785&lt;/D&gt;&lt;D xsi:type="xsd:double"&gt;19.6077840080507&lt;/D&gt;&lt;D xsi:type="xsd:double"&gt;19.2615100032863&lt;/D&gt;&lt;D xsi:type="xsd:double"&gt;18.4475063787322&lt;/D&gt;&lt;D xsi:type="xsd:double"&gt;19.1304383322303&lt;/D&gt;&lt;D xsi:type="xsd:double"&gt;18.6475847890076&lt;/D&gt;&lt;D xsi:type="xsd:double"&gt;18.2940849330013&lt;/D&gt;&lt;D xsi:type="xsd:double"&gt;17.8939394735471&lt;/D&gt;&lt;D xsi:type="xsd:double"&gt;18.3693195486095&lt;/D&gt;&lt;D xsi:type="xsd:double"&gt;18.3359406617786&lt;/D&gt;&lt;D xsi:type="xsd:double"&gt;17.9201710267312&lt;/D&gt;&lt;D xsi:type="xsd:double"&gt;17.8708431058937&lt;/D&gt;&lt;D xsi:type="xsd:double"&gt;17.2489959409964&lt;/D&gt;&lt;D xsi:type="xsd:double"&gt;16.8040119605594&lt;/D&gt;&lt;D xsi:type="xsd:double"&gt;16.2113077794285&lt;/D&gt;&lt;D xsi:type="xsd:double"&gt;15.4921927393993&lt;/D&gt;&lt;D xsi:type="xsd:double"&gt;15.9258752104854&lt;/D&gt;&lt;D xsi:type="xsd:double"&gt;15.5560726408029&lt;/D&gt;&lt;D xsi:type="xsd:double"&gt;15.6199700723769&lt;/D&gt;&lt;D xsi:type="xsd:double"&gt;14.9106679773089&lt;/D&gt;&lt;D xsi:type="xsd:double"&gt;12.9174659146995&lt;/D&gt;&lt;D xsi:type="xsd:double"&gt;13.1845818213338&lt;/D&gt;&lt;D xsi:type="xsd:double"&gt;11.8594507303167&lt;/D&gt;&lt;D xsi:type="xsd:double"&gt;11.7505288159776&lt;/D&gt;&lt;D xsi:type="xsd:double"&gt;11.212534531489&lt;/D&gt;&lt;D xsi:type="xsd:double"&gt;11.8378159627497&lt;/D&gt;&lt;D xsi:type="xsd:double"&gt;11.2171228602018&lt;/D&gt;&lt;D xsi:type="xsd:double"&gt;10.3728840882925&lt;/D&gt;&lt;D xsi:type="xsd:double"&gt;11.7792208877023&lt;/D&gt;&lt;D xsi:type="xsd:double"&gt;12.1441439351193&lt;/D&gt;&lt;D xsi:type="xsd:double"&gt;12.5658722966601&lt;/D&gt;&lt;D xsi:type="xsd:double"&gt;13.1139805173375&lt;/D&gt;&lt;D xsi:type="xsd:double"&gt;13.1455568005883&lt;/D&gt;&lt;D xsi:type="xsd:double"&gt;13.3063256757357&lt;/D&gt;&lt;D xsi:type="xsd:double"&gt;13.3281063468313&lt;/D&gt;&lt;D xsi:type="xsd:double"&gt;13.0086664506343&lt;/D&gt;&lt;D xsi:type="xsd:double"&gt;12.8267540497767&lt;/D&gt;&lt;D xsi:type="xsd:double"&gt;13.2624346705844&lt;/D&gt;&lt;D xsi:type="xsd:double"&gt;12.7954337779076&lt;/D&gt;&lt;D xsi:type="xsd:double"&gt;12.508880406036&lt;/D&gt;&lt;D xsi:type="xsd:double"&gt;12.4338646719306&lt;/D&gt;&lt;D xsi:type="xsd:double"&gt;13.286684698084&lt;/D&gt;&lt;D xsi:type="xsd:double"&gt;13.2398465369851&lt;/D&gt;&lt;D xsi:type="xsd:double"&gt;13.7989093970325&lt;/D&gt;&lt;D xsi:type="xsd:double"&gt;14.4731417682778&lt;/D&gt;&lt;D xsi:type="xsd:double"&gt;14.401093875014&lt;/D&gt;&lt;D xsi:type="xsd:double"&gt;14.7600639061406&lt;/D&gt;&lt;D xsi:type="xsd:double"&gt;14.1095277813994&lt;/D&gt;&lt;D xsi:type="xsd:double"&gt;13.5655161929839&lt;/D&gt;&lt;D xsi:type="xsd:double"&gt;13.2026124203679&lt;/D&gt;&lt;D xsi:type="xsd:double"&gt;13.4295164582927&lt;/D&gt;&lt;D xsi:type="xsd:double"&gt;13.8176776458992&lt;/D&gt;&lt;/FQL&gt;&lt;FQL&gt;&lt;Q&gt;QQQ^FMA_PE(LTMA,-10AY,0,AM,"PORTAGG","MEANR")&lt;/Q&gt;&lt;R&gt;121&lt;/R&gt;&lt;C&gt;1&lt;/C&gt;&lt;D xsi:type="xsd:double"&gt;18.6598352652074&lt;/D&gt;&lt;D xsi:type="xsd:double"&gt;19.8176708567082&lt;/D&gt;&lt;D xsi:type="xsd:double"&gt;20.0539852124651&lt;/D&gt;&lt;D xsi:type="xsd:double"&gt;19.9467153214544&lt;/D&gt;&lt;D xsi:type="xsd:double"&gt;19.9684552136977&lt;/D&gt;&lt;D xsi:type="xsd:double"&gt;20.6170470568226&lt;/D&gt;&lt;D xsi:type="xsd:double"&gt;20.5165934784295&lt;/D&gt;&lt;D xsi:type="xsd:double"&gt;20.3269239913662&lt;/D&gt;&lt;D xsi:type="xsd:double"&gt;20.1709637192962&lt;/D&gt;&lt;D xsi:type="xsd:double"&gt;19.8486398494081&lt;/D&gt;&lt;D xsi:type="xsd:double"&gt;20.3629764733999&lt;/D&gt;&lt;D xsi:type="xsd:double"&gt;19.4561289961951&lt;/D&gt;&lt;D xsi:type="xsd:double"&gt;19.5756943326247&lt;/D&gt;&lt;D xsi:type="xsd:double"&gt;20.3118701898547&lt;/D&gt;&lt;D xsi:type="xsd:double"&gt;20.3005679247328&lt;/D&gt;&lt;D xsi:type="xsd:double"&gt;18.8909591873629&lt;/D&gt;&lt;D xsi:type="xsd:double"&gt;17.377373604206&lt;/D&gt;&lt;D xsi:type="xsd:double"&gt;18.210987382253&lt;/D&gt;&lt;D xsi:type="xsd:double"&gt;18.3871666874088&lt;/D&gt;&lt;D xsi:type="xsd:double"&gt;18.4250038698238&lt;/D&gt;&lt;D xsi:type="xsd:double"&gt;18.5419207711197&lt;/D&gt;&lt;D xsi:type="xsd:double"&gt;18.8651845983645&lt;/D&gt;&lt;D xsi:type="xsd:double"&gt;19.5174499690515&lt;/D&gt;&lt;D xsi:type="xsd:double"&gt;19.3011734708972&lt;/D&gt;&lt;D xsi:type="xsd:double"&gt;20.0841352287125&lt;/D&gt;&lt;D xsi:type="xsd:double"&gt;19.5946624458386&lt;/D&gt;&lt;D xsi:type="xsd:double"&gt;20.2460574627044&lt;/D&gt;&lt;D xsi:type="xsd:double"&gt;20.9550100283323&lt;/D&gt;&lt;D xsi:type="xsd:double"&gt;21.5272966967445&lt;/D&gt;&lt;D xsi:type="xsd:double"&gt;21.7012824691961&lt;/D&gt;&lt;D xsi:type="xsd:double"&gt;21.6147480617866&lt;/D&gt;&lt;D xsi:type="xsd:double"&gt;21.8362291341801&lt;/D&gt;&lt;D xsi:type="xsd:double"&gt;21.8748013587034&lt;/D&gt;&lt;D xsi:type="xsd:double"&gt;21.7193753450977&lt;/D&gt;&lt;D xsi:type="xsd:double"&gt;21.8547717192634&lt;/D&gt;&lt;D xsi:type="xsd:double"&gt;22.1178180849743&lt;/D&gt;&lt;D xsi:type="xsd:double"&gt;22.5550393284225&lt;/D&gt;&lt;D xsi:type="xsd:double"&gt;22.9601709104262&lt;/D&gt;&lt;D xsi:type="xsd:double"&gt;23.1165535866492&lt;/D&gt;&lt;D xsi:type="xsd:double"&gt;24.466027251162&lt;/D&gt;&lt;D xsi:type="xsd:double"&gt;22.7594555680994&lt;/D&gt;&lt;D xsi:type="xsd:double"&gt;24.1766392763791&lt;/D&gt;&lt;D xsi:type="xsd:double"&gt;23.5309095384573&lt;/D&gt;&lt;D xsi:type="xsd:double"&gt;23.3964917372297&lt;/D&gt;&lt;D xsi:type="xsd:double"&gt;23.31499405032&lt;/D&gt;&lt;D xsi:type="xsd:double"&gt;23.270639665005&lt;/D&gt;&lt;D xsi:type="xsd:double"&gt;23.1162351815135&lt;/D&gt;&lt;D xsi:type="xsd:double"&gt;22.9675861269558&lt;/D&gt;&lt;D xsi:type="xsd:double"&gt;21.8730150814671&lt;/D&gt;&lt;D xsi:type="xsd:double"&gt;21.1929705968218&lt;/D&gt;&lt;D xsi:type="xsd:double"&gt;19.8993152506081&lt;/D&gt;&lt;D xsi:type="xsd:double"&gt;19.6105937443105&lt;/D&gt;&lt;D xsi:type="xsd:double"&gt;20.356916201376&lt;/D&gt;&lt;D xsi:type="xsd:double"&gt;20.8384295460104&lt;/D&gt;&lt;D xsi:type="xsd:double"&gt;21.2217716128668&lt;/D&gt;&lt;D xsi:type="xsd:double"&gt;21.2836194710615&lt;/D&gt;&lt;D xsi:type="xsd:double"&gt;21.2563689602832&lt;/D&gt;&lt;D xsi:type="xsd:double"&gt;21.9959719970124&lt;/D&gt;&lt;D xsi:type="xsd:double"&gt;21.6847636818609&lt;/D&gt;&lt;D xsi:type="xsd:double"&gt;22.1230652492787&lt;/D&gt;&lt;D xsi:type="xsd:double"&gt;22.1218609409928&lt;/D&gt;&lt;D xsi:type="xsd:double"&gt;23.4354245567167&lt;/D&gt;&lt;D xsi:type="xsd:double"&gt;24.1222716697168&lt;/D&gt;&lt;D xsi:type="xsd:double"&gt;26.0678807637301&lt;/D&gt;&lt;D xsi:type="xsd:double"&gt;26.9151139742376&lt;/D&gt;&lt;D xsi:type="xsd:double"&gt;23.7103607332633&lt;/D&gt;&lt;D xsi:type="xsd:double"&gt;23.9586365959477&lt;/D&gt;&lt;D xsi:type="xsd:double"&gt;25.6723463681525&lt;/D&gt;&lt;D xsi:type="xsd:double"&gt;27.4073898931373&lt;/D&gt;&lt;D xsi:type="xsd:double"&gt;28.9351541395156&lt;/D&gt;&lt;D xsi:type="xsd:double"&gt;29.0798240213996&lt;/D&gt;&lt;D xsi:type="xsd:double"&gt;29.8716264726473&lt;/D&gt;&lt;D xsi:type="xsd:double"&gt;31.7159200519237&lt;/D&gt;&lt;D xsi:type="xsd:double"&gt;31.2164440349449&lt;/D&gt;&lt;D xsi:type="xsd:double"&gt;33.7652130803398&lt;/D&gt;&lt;D xsi:type="xsd:double"&gt;35.6737004269844&lt;/D&gt;&lt;D xsi:type="xsd:double"&gt;35.2200702877984&lt;/D&gt;&lt;D xsi:type="xsd:double"&gt;32.6927600979578&lt;/D&gt;&lt;D xsi:type="xsd:double"&gt;32.8854906224219&lt;/D&gt;&lt;D xsi:type="xsd:double"&gt;31.6073915632322&lt;/D&gt;&lt;D xsi:type="xsd:double"&gt;31.5384318429899&lt;/D&gt;&lt;D xsi:type="xsd:double"&gt;32.0521815114596&lt;/D&gt;&lt;D xsi:type="xsd:double"&gt;31.2749120110133&lt;/D&gt;&lt;D xsi:type="xsd:double"&gt;31.4491931211923&lt;/D&gt;&lt;D xsi:type="xsd:double"&gt;30.4639809733194&lt;/D&gt;&lt;D xsi:type="xsd:double"&gt;31.5675539162829&lt;/D&gt;&lt;D xsi:type="xsd:double"&gt;31.8912178197578&lt;/D&gt;&lt;D xsi:type="xsd:double"&gt;30.4094441818781&lt;/D&gt;&lt;D xsi:type="xsd:double"&gt;27.7775709903219&lt;/D&gt;&lt;D xsi:type="xsd:double"&gt;26.4330130187362&lt;/D&gt;&lt;D xsi:type="xsd:double"&gt;26.5723986280538&lt;/D&gt;&lt;D xsi:type="xsd:double"&gt;25.36578442856&lt;/D&gt;&lt;D xsi:type="xsd:double"&gt;24.588492086928&lt;/D&gt;&lt;D xsi:type="xsd:double"&gt;24.6037718556525&lt;/D&gt;&lt;D xsi:type="xsd:double"&gt;26.2181566935683&lt;/D&gt;&lt;D xsi:type="xsd:double"&gt;25.0694818325439&lt;/D&gt;&lt;D xsi:type="xsd:double"&gt;22.5267481721661&lt;/D&gt;&lt;D xsi:type="xsd:double"&gt;23.5881930141344&lt;/D&gt;&lt;D xsi:type="xsd:double"&gt;23.1611527446583&lt;/D&gt;&lt;D xsi:type="xsd:double"&gt;23.2362045679019&lt;/D&gt;&lt;D xsi:type="xsd:double"&gt;25.6388270133331&lt;/D&gt;&lt;D xsi:type="xsd:double"&gt;25.1199688186376&lt;/D&gt;&lt;D xsi:type="xsd:double"&gt;25.6346200807502&lt;/D&gt;&lt;D xsi:type="xsd:double"&gt;25.7425819066666&lt;/D&gt;&lt;D xsi:type="xsd:double"&gt;26.6445190905435&lt;/D&gt;&lt;D xsi:type="xsd:double"&gt;27.2430702199569&lt;/D&gt;&lt;D xsi:type="xsd:double"&gt;26.4408822481324&lt;/D&gt;&lt;D xsi:type="xsd:double"&gt;26.5615652576326&lt;/D&gt;&lt;D xsi:type="xsd:double"&gt;26.5501724939112&lt;/D&gt;&lt;D xsi:type="xsd:double"&gt;26.9988685401076&lt;/D&gt;&lt;D xsi:type="xsd:double"&gt;27.910124692739&lt;/D&gt;&lt;D xsi:type="xsd:double"&gt;29.0188104307035&lt;/D&gt;&lt;D xsi:type="xsd:double"&gt;30.4408647330281&lt;/D&gt;&lt;D xsi:type="xsd:double"&gt;30.2220539971785&lt;/D&gt;&lt;D xsi:type="xsd:double"&gt;29.8523401013731&lt;/D&gt;&lt;D xsi:type="xsd:double"&gt;29.6247975570445&lt;/D&gt;&lt;D xsi:type="xsd:double"&gt;29.7995245546304&lt;/D&gt;&lt;D xsi:type="xsd:double"&gt;30.8324939572516&lt;/D&gt;&lt;D xsi:type="xsd:double"&gt;29.3686095626441&lt;/D&gt;&lt;D xsi:type="xsd:double"&gt;29.4113394492045&lt;/D&gt;&lt;D xsi:type="xsd:double"&gt;30.8954924578038&lt;/D&gt;&lt;/FQL&gt;&lt;FQL&gt;&lt;Q&gt;DDR3512M-FDS^FG_PRICE(0)&lt;/Q&gt;&lt;R&gt;1&lt;/R&gt;&lt;C&gt;1&lt;/C&gt;&lt;D xsi:type="xsd:double"&gt;0.87525415&lt;/D&gt;&lt;/FQL&gt;&lt;FQL&gt;&lt;Q&gt;PASP-FDS^FG_PRICE(0)&lt;/Q&gt;&lt;R&gt;1&lt;/R&gt;&lt;C&gt;1&lt;/C&gt;&lt;D xsi:type="xsd:double"&gt;1069&lt;/D&gt;&lt;/FQL&gt;&lt;FQL&gt;&lt;Q&gt;PLATI-FDS^FG_PRICE(0)&lt;/Q&gt;&lt;R&gt;1&lt;/R&gt;&lt;C&gt;1&lt;/C&gt;&lt;D xsi:type="xsd:double"&gt;960&lt;/D&gt;&lt;/FQL&gt;&lt;FQL&gt;&lt;Q&gt;W-FDS^FG_PRICE(0)&lt;/Q&gt;&lt;R&gt;1&lt;/R&gt;&lt;C&gt;1&lt;/C&gt;&lt;D xsi:type="xsd:double"&gt;6.0375&lt;/D&gt;&lt;/FQL&gt;&lt;FQL&gt;&lt;Q&gt;COPP-FDS^FG_PRICE(0)&lt;/Q&gt;&lt;R&gt;1&lt;/R&gt;&lt;C&gt;1&lt;/C&gt;&lt;D xsi:type="xsd:double"&gt;4.385&lt;/D&gt;&lt;/FQL&gt;&lt;FQL&gt;&lt;Q&gt;FC0000US^FG_PRICE(0)&lt;/Q&gt;&lt;R&gt;1&lt;/R&gt;&lt;C&gt;1&lt;/C&gt;&lt;D xsi:type="xsd:double"&gt;431.74844&lt;/D&gt;&lt;/FQL&gt;&lt;FQL&gt;&lt;Q&gt;FC0000GR^FG_PRICE(0)&lt;/Q&gt;&lt;R&gt;1&lt;/R&gt;&lt;C&gt;1&lt;/C&gt;&lt;D xsi:type="xsd:double"&gt;9.5069275&lt;/D&gt;&lt;/FQL&gt;&lt;FQL&gt;&lt;Q&gt;EWI^FG_PRICE(0)&lt;/Q&gt;&lt;R&gt;1&lt;/R&gt;&lt;C&gt;1&lt;/C&gt;&lt;D xsi:type="xsd:double"&gt;38.03&lt;/D&gt;&lt;/FQL&gt;&lt;FQL&gt;&lt;Q&gt;SPY^FG_PRICE(0)&lt;/Q&gt;&lt;R&gt;1&lt;/R&gt;&lt;C&gt;1&lt;/C&gt;&lt;D xsi:type="xsd:double"&gt;576.13&lt;/D&gt;&lt;/FQL&gt;&lt;FQL&gt;&lt;Q&gt;EWJ^FG_PRICE(0)&lt;/Q&gt;&lt;R&gt;1&lt;/R&gt;&lt;C&gt;1&lt;/C&gt;&lt;D xsi:type="xsd:double"&gt;70.9&lt;/D&gt;&lt;/FQL&gt;&lt;FQL&gt;&lt;Q&gt;ENZL^FG_PRICE(0)&lt;/Q&gt;&lt;R&gt;1&lt;/R&gt;&lt;C&gt;1&lt;/C&gt;&lt;D xsi:type="xsd:double"&gt;48.79&lt;/D&gt;&lt;/FQL&gt;&lt;FQL&gt;&lt;Q&gt;EWA^FG_COMPANY_NAME&lt;/Q&gt;&lt;R&gt;1&lt;/R&gt;&lt;C&gt;1&lt;/C&gt;&lt;D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xsi:type="xsd:double"&gt;0.59252155&lt;/D&gt;&lt;/FQL&gt;&lt;FQL&gt;&lt;Q&gt;SPY^FMA_PCT_ABOVE_MAVG(200,0,,,,"PORTAGG")&lt;/Q&gt;&lt;R&gt;1&lt;/R&gt;&lt;C&gt;1&lt;/C&gt;&lt;D xsi:type="xsd:double"&gt;72.8&lt;/D&gt;&lt;/FQL&gt;&lt;FQL&gt;&lt;Q&gt;URTH^PERCENT_CHANGE(FMA_EPS(+1,0,,,,"PORTAGG","MEAN"),FMA_EPS(+1,-3AM,,,,"PORTAGG","MEAN"))&lt;/Q&gt;&lt;R&gt;1&lt;/R&gt;&lt;C&gt;1&lt;/C&gt;&lt;D xsi:type="xsd:double"&gt;0.564302144206768&lt;/D&gt;&lt;/FQL&gt;&lt;FQL&gt;&lt;Q&gt;VGK^FG_TOTAL_RETURNC(0,-3AM)&lt;/Q&gt;&lt;R&gt;1&lt;/R&gt;&lt;C&gt;1&lt;/C&gt;&lt;D xsi:type="xsd:double"&gt;1.5499711&lt;/D&gt;&lt;/FQL&gt;&lt;FQL&gt;&lt;Q&gt;EWD^P_PRICE(0)/P_PRICE_HIGH_PR(0,,,,,,"PRICE","INTRA","52W")&lt;/Q&gt;&lt;R&gt;1&lt;/R&gt;&lt;C&gt;1&lt;/C&gt;&lt;D xsi:type="xsd:double"&gt;0.93835306&lt;/D&gt;&lt;/FQL&gt;&lt;FQL&gt;&lt;Q&gt;EWQ^FG_TOTAL_RETURNC(0,-12AM)&lt;/Q&gt;&lt;R&gt;1&lt;/R&gt;&lt;C&gt;1&lt;/C&gt;&lt;D xsi:type="xsd:double"&gt;13.317394&lt;/D&gt;&lt;/FQL&gt;&lt;FQL&gt;&lt;Q&gt;SPY^PERCENT_CHANGE(FMA_EPS(+1,0,,,,"PORTAGG","MEAN"),FMA_EPS(+1,-1AM,,,,"PORTAGG","MEAN"))&lt;/Q&gt;&lt;R&gt;1&lt;/R&gt;&lt;C&gt;1&lt;/C&gt;&lt;D xsi:type="xsd:double"&gt;-1.18526631329981&lt;/D&gt;&lt;/FQL&gt;&lt;FQL&gt;&lt;Q&gt;EWU^FG_TOTAL_RETURNC(0,-1AM)&lt;/Q&gt;&lt;R&gt;1&lt;/R&gt;&lt;C&gt;1&lt;/C&gt;&lt;D xsi:type="xsd:double"&gt;0.19173622&lt;/D&gt;&lt;/FQL&gt;&lt;FQL&gt;&lt;Q&gt;EWJ^FG_TOTAL_RETURNC(0,-6AM)&lt;/Q&gt;&lt;R&gt;1&lt;/R&gt;&lt;C&gt;1&lt;/C&gt;&lt;D xsi:type="xsd:double"&gt;2.9545665&lt;/D&gt;&lt;/FQL&gt;&lt;FQL&gt;&lt;Q&gt;EWC^P_PRICE(0)/P_PRICE_LOW_PR(0,,,,,,"PRICE","INTRA","52W")-1&lt;/Q&gt;&lt;R&gt;1&lt;/R&gt;&lt;C&gt;1&lt;/C&gt;&lt;D xsi:type="xsd:double"&gt;0.31805158&lt;/D&gt;&lt;/FQL&gt;&lt;FQL&gt;&lt;Q&gt;EWA^FMA_PCT_ABOVE_MAVG(200,0,,,,"PORTAGG")&lt;/Q&gt;&lt;R&gt;1&lt;/R&gt;&lt;C&gt;1&lt;/C&gt;&lt;D xsi:type="xsd:double"&gt;68.9655172413793&lt;/D&gt;&lt;/FQL&gt;&lt;FQL&gt;&lt;Q&gt;EWJ^SIZE(FG_CONSTITUENTS)&lt;/Q&gt;&lt;R&gt;1&lt;/R&gt;&lt;C&gt;1&lt;/C&gt;&lt;D xsi:type="xsd:long"&gt;199&lt;/D&gt;&lt;/FQL&gt;&lt;FQL&gt;&lt;Q&gt;EWD^FMA_COS_DOWN("EPS","1M",+1,0,,,"PORTAGG","MEANR")&lt;/Q&gt;&lt;R&gt;1&lt;/R&gt;&lt;C&gt;1&lt;/C&gt;&lt;D xsi:type="xsd:double"&gt;22&lt;/D&gt;&lt;/FQL&gt;&lt;FQL&gt;&lt;Q&gt;EWU^FMA_COS_UP("EPS","1M",+1,0,,,"PORTAGG","MEANR")&lt;/Q&gt;&lt;R&gt;1&lt;/R&gt;&lt;C&gt;1&lt;/C&gt;&lt;D xsi:type="xsd:double"&gt;33&lt;/D&gt;&lt;/FQL&gt;&lt;FQL&gt;&lt;Q&gt;ENZL^SIZE(FG_CONSTITUENTS)&lt;/Q&gt;&lt;R&gt;1&lt;/R&gt;&lt;C&gt;1&lt;/C&gt;&lt;D xsi:type="xsd:long"&gt;26&lt;/D&gt;&lt;/FQL&gt;&lt;FQL&gt;&lt;Q&gt;EWI^FMA_RBICS_REV_CURRENT(30, LOC, "PORTAGG")&lt;/Q&gt;&lt;R&gt;1&lt;/R&gt;&lt;C&gt;1&lt;/C&gt;&lt;D xsi:type="xsd:double"&gt;39.9503615126749&lt;/D&gt;&lt;/FQL&gt;&lt;FQL&gt;&lt;Q&gt;EWQ^FG_ROE(0)&lt;/Q&gt;&lt;R&gt;1&lt;/R&gt;&lt;C&gt;1&lt;/C&gt;&lt;D xsi:type="xsd:double"&gt;12.1372775385682&lt;/D&gt;&lt;/FQL&gt;&lt;FQL&gt;&lt;Q&gt;TRYGB10Y-FDS^FG_YIELD_NAME&lt;/Q&gt;&lt;R&gt;1&lt;/R&gt;&lt;C&gt;1&lt;/C&gt;&lt;D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xsi:type="xsd:double"&gt;-50&lt;/D&gt;&lt;/FQL&gt;&lt;FQL&gt;&lt;Q&gt;REFEUREFI-FDS^FG_YIELD(NOW,,,0)&lt;/Q&gt;&lt;R&gt;1&lt;/R&gt;&lt;C&gt;1&lt;/C&gt;&lt;D xsi:type="xsd:double"&gt;3.65&lt;/D&gt;&lt;/FQL&gt;&lt;FQL&gt;&lt;Q&gt;TRYNL10Y-FDS^PCTCHG(FG_YIELD(0,,,,"YTM"),FG_YIELD(-1AM,,,,"YTM"))&lt;/Q&gt;&lt;R&gt;1&lt;/R&gt;&lt;C&gt;1&lt;/C&gt;&lt;D xsi:type="xsd:double"&gt;4.071657&lt;/D&gt;&lt;/FQL&gt;&lt;FQL&gt;&lt;Q&gt;TRYCA10Y-FDS^PCTCHG(FG_YIELD(0,,,,"YTM"),FG_YIELD(-1AM,,,,"YTM"))&lt;/Q&gt;&lt;R&gt;1&lt;/R&gt;&lt;C&gt;1&lt;/C&gt;&lt;D xsi:type="xsd:double"&gt;11.730159&lt;/D&gt;&lt;/FQL&gt;&lt;FQL&gt;&lt;Q&gt;TRYUS10Y-FDS^FG_YIELD_NAME&lt;/Q&gt;&lt;R&gt;1&lt;/R&gt;&lt;C&gt;1&lt;/C&gt;&lt;D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xsi:type="xsd:double"&gt;5.36906998689637&lt;/D&gt;&lt;/FQL&gt;&lt;FQL&gt;&lt;Q&gt;EWI^FMA_PE(NTMA,0,,,"PORTAGG","MEANR")&lt;/Q&gt;&lt;R&gt;1&lt;/R&gt;&lt;C&gt;1&lt;/C&gt;&lt;D xsi:type="xsd:double"&gt;10.2748890249973&lt;/D&gt;&lt;/FQL&gt;&lt;FQL&gt;&lt;Q&gt;EWN^JULIAN(FMA_DIV_YLD(NTMA,NOW,NOW,M,"PORTAGG","MEANR").DATES)&lt;/Q&gt;&lt;R&gt;1&lt;/R&gt;&lt;C&gt;1&lt;/C&gt;&lt;D xsi:type="xsd:long"&gt;45565&lt;/D&gt;&lt;/FQL&gt;&lt;FQL&gt;&lt;Q&gt;QQQ^FMA_EVAL_EBITDA(NTMA,0,,,"PORTAGG","MEANR")&lt;/Q&gt;&lt;R&gt;1&lt;/R&gt;&lt;C&gt;1&lt;/C&gt;&lt;D xsi:type="xsd:double"&gt;16.7692411229244&lt;/D&gt;&lt;/FQL&gt;&lt;FQL&gt;&lt;Q&gt;EWL^FMA_DIV_YLD(NTMA,NOW,NOW,M,"PORTAGG","MEANR")&lt;/Q&gt;&lt;R&gt;1&lt;/R&gt;&lt;C&gt;1&lt;/C&gt;&lt;D xsi:type="xsd:double"&gt;3.13847140499757&lt;/D&gt;&lt;/FQL&gt;&lt;FQL&gt;&lt;Q&gt;EWG^FMA_PE(LTM,0,,,"PORTAGG","MEANR")&lt;/Q&gt;&lt;R&gt;1&lt;/R&gt;&lt;C&gt;1&lt;/C&gt;&lt;D xsi:type="xsd:double"&gt;15.5679795337788&lt;/D&gt;&lt;/FQL&gt;&lt;FQL&gt;&lt;Q&gt;ENZL^FMA_EVAL_EBIT(LTMA,NOW,NOW,M,"PORTAGG","MEANR")&lt;/Q&gt;&lt;R&gt;1&lt;/R&gt;&lt;C&gt;1&lt;/C&gt;&lt;D xsi:type="xsd:double"&gt;19.7849457837534&lt;/D&gt;&lt;/FQL&gt;&lt;FQL&gt;&lt;Q&gt;EWJ^FG_COMPANY_NAME&lt;/Q&gt;&lt;R&gt;1&lt;/R&gt;&lt;C&gt;1&lt;/C&gt;&lt;D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xsi:type="xsd:double"&gt;0.9605993&lt;/D&gt;&lt;/FQL&gt;&lt;FQL&gt;&lt;Q&gt;QQQ^P_PRICE(0)/P_PRICE_HIGH_PR(0,,,USD,,,"PRICE","INTRA","52W")&lt;/Q&gt;&lt;R&gt;1&lt;/R&gt;&lt;C&gt;1&lt;/C&gt;&lt;D xsi:type="xsd:double"&gt;0.9782928&lt;/D&gt;&lt;/FQL&gt;&lt;FQL&gt;&lt;Q&gt;VWO^P_PRICE(0)/P_PRICE_HIGH_PR(0,,,USD,,,"PRICE",</t>
        </r>
      </text>
    </comment>
    <comment ref="A2" authorId="0" shapeId="0" xr:uid="{14568BD3-57D2-4436-BA67-D017B6BAD153}">
      <text>
        <r>
          <rPr>
            <b/>
            <sz val="9"/>
            <color indexed="81"/>
            <rFont val="Tahoma"/>
            <charset val="1"/>
          </rPr>
          <t>"INTRA","52W")&lt;/Q&gt;&lt;R&gt;1&lt;/R&gt;&lt;C&gt;1&lt;/C&gt;&lt;D xsi:type="xsd:double"&gt;0.9644947&lt;/D&gt;&lt;/FQL&gt;&lt;FQL&gt;&lt;Q&gt;DUMMY^ECON_EXPR_DATA('FDS_ECON[NTCPMIMFGSA@EME]',,,M)&lt;/Q&gt;&lt;R&gt;1&lt;/R&gt;&lt;C&gt;1&lt;/C&gt;&lt;D xsi:type="xsd:double"&gt;49.8002&lt;/D&gt;&lt;/FQL&gt;&lt;FQL&gt;&lt;Q&gt;EWD^FMA_ROE(NTMA,-20AY,NOW,FY,"PORTAGG","MEANR")&lt;/Q&gt;&lt;R&gt;20&lt;/R&gt;&lt;C&gt;1&lt;/C&gt;&lt;D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xsi:type="xsd:double"&gt;2.004&lt;/D&gt;&lt;/FQL&gt;&lt;FQL&gt;&lt;Q&gt;CAGDPY@IT^EE_ACTUAL_ANNUAL(MED,+1)&lt;/Q&gt;&lt;R&gt;1&lt;/R&gt;&lt;C&gt;1&lt;/C&gt;&lt;D xsi:type="xsd:double"&gt;1.4&lt;/D&gt;&lt;/FQL&gt;&lt;FQL&gt;&lt;Q&gt;CAGDPY@JP^EE_ACTUAL_ANNUAL(MED,+1)&lt;/Q&gt;&lt;R&gt;1&lt;/R&gt;&lt;C&gt;1&lt;/C&gt;&lt;D xsi:type="xsd:double"&gt;4&lt;/D&gt;&lt;/FQL&gt;&lt;FQL&gt;&lt;Q&gt;CC_CA^FG_COMPANY_NAME&lt;/Q&gt;&lt;R&gt;1&lt;/R&gt;&lt;C&gt;1&lt;/C&gt;&lt;D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xsi:type="xsd:double"&gt;-4.4888554&lt;/D&gt;&lt;/FQL&gt;&lt;FQL&gt;&lt;Q&gt;USDCHF^FG_PRICE_CHANGE(0,-1AY)&lt;/Q&gt;&lt;R&gt;1&lt;/R&gt;&lt;C&gt;1&lt;/C&gt;&lt;D xsi:type="xsd:double"&gt;-5.2503767&lt;/D&gt;&lt;/FQL&gt;&lt;FQL&gt;&lt;Q&gt;USDUSD^FG_PRICE_CHANGE(0,-1AY)&lt;/Q&gt;&lt;R&gt;1&lt;/R&gt;&lt;C&gt;1&lt;/C&gt;&lt;D xsi:type="xsd:double"&gt;0&lt;/D&gt;&lt;/FQL&gt;&lt;FQL&gt;&lt;Q&gt;USDEUR^FG_PRICE_CHANGE(0,-1AY)&lt;/Q&gt;&lt;R&gt;1&lt;/R&gt;&lt;C&gt;1&lt;/C&gt;&lt;D xsi:type="xsd:double"&gt;-2.979952&lt;/D&gt;&lt;/FQL&gt;&lt;FQL&gt;&lt;Q&gt;USDAUD^FG_PRICE_CHANGE(0,-1AY)&lt;/Q&gt;&lt;R&gt;1&lt;/R&gt;&lt;C&gt;1&lt;/C&gt;&lt;D xsi:type="xsd:double"&gt;-4.60428&lt;/D&gt;&lt;/FQL&gt;&lt;FQL&gt;&lt;Q&gt;QQQ^FMA_EPS(NTMA,-20AY,0,CY,,"PORTAGG","MEANR")&lt;/Q&gt;&lt;R&gt;20&lt;/R&gt;&lt;C&gt;1&lt;/C&gt;&lt;D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xsi:type="xsd:double"&gt;9.35231861811&lt;/D&gt;&lt;D xsi:type="xsd:double"&gt;10.4260784199943&lt;/D&gt;&lt;D xsi:type="xsd:double"&gt;13.6402698151639&lt;/D&gt;&lt;D xsi:type="xsd:double"&gt;12.7503134076109&lt;/D&gt;&lt;D xsi:type="xsd:double"&gt;16.3257356453403&lt;/D&gt;&lt;/FQL&gt;&lt;FQL&gt;&lt;Q&gt;EWL^P_PRICE_RETURNS_PR('52W',2,-10AY,0,AM)&lt;/Q&gt;&lt;R&gt;121&lt;/R&gt;&lt;C&gt;1&lt;/C&gt;&lt;D xsi:type="xsd:double"&gt;1.9650459&lt;/D&gt;&lt;D xsi:type="xsd:double"&gt;3.7765503&lt;/D&gt;&lt;D xsi:type="xsd:double"&gt;4.0619254&lt;/D&gt;&lt;D xsi:type="xsd:double"&gt;-1.1441171&lt;/D&gt;&lt;D xsi:type="xsd:double"&gt;1.5546083&lt;/D&gt;&lt;D xsi:type="xsd:double"&gt;-4.177541&lt;/D&gt;&lt;D xsi:type="xsd:double"&gt;2.5365233&lt;/D&gt;&lt;D xsi:type="xsd:double"&gt;3.1496644&lt;/D&gt;&lt;D xsi:type="xsd:double"&gt;1.4610648&lt;/D&gt;&lt;D xsi:type="xsd:double"&gt;2.6904225&lt;/D&gt;&lt;D xsi:type="xsd:double"&gt;6.1515093&lt;/D&gt;&lt;D xsi:type="xsd:double"&gt;-2.9456198&lt;/D&gt;&lt;D xsi:type="xsd:double"&gt;5.1244617&lt;/D&gt;&lt;D xsi:type="xsd:double"&gt;-1.3215601&lt;/D&gt;&lt;D xsi:type="xsd:double"&gt;-2.5338352&lt;/D&gt;&lt;D xsi:type="xsd:double"&gt;-4.7481594&lt;/D&gt;&lt;D xsi:type="xsd:double"&gt;-12.0734215&lt;/D&gt;&lt;D xsi:type="xsd:double"&gt;-6.6993356&lt;/D&gt;&lt;D xsi:type="xsd:double"&gt;-9.7456455&lt;/D&gt;&lt;D xsi:type="xsd:double"&gt;-11.834658&lt;/D&gt;&lt;D xsi:type="xsd:double"&gt;-11.972207&lt;/D&gt;&lt;D xsi:type="xsd:double"&gt;-7.360637&lt;/D&gt;&lt;D xsi:type="xsd:double"&gt;-7.9225183&lt;/D&gt;&lt;D xsi:type="xsd:double"&gt;-0.85659623&lt;/D&gt;&lt;D xsi:type="xsd:double"&gt;-2.8427958&lt;/D&gt;&lt;D xsi:type="xsd:double"&gt;-3.110969&lt;/D&gt;&lt;D xsi:type="xsd:double"&gt;-3.3436477&lt;/D&gt;&lt;D xsi:type="xsd:double"&gt;6.310892&lt;/D&gt;&lt;D xsi:type="xsd:double"&gt;12.506151&lt;/D&gt;&lt;D xsi:type="xsd:double"&gt;10.660601&lt;/D&gt;&lt;D xsi:type="xsd:double"&gt;8.606016&lt;/D&gt;&lt;D xsi:type="xsd:double"&gt;15.3249855&lt;/D&gt;&lt;D xsi:type="xsd:double"&gt;14.132822&lt;/D&gt;&lt;D xsi:type="xsd:double"&gt;19.01455&lt;/D&gt;&lt;D xsi:type="xsd:double"&gt;14.758229&lt;/D&gt;&lt;D xsi:type="xsd:double"&gt;14.52285&lt;/D&gt;&lt;D xsi:type="xsd:double"&gt;19.472504&lt;/D&gt;&lt;D xsi:type="xsd:double"&gt;18.835281&lt;/D&gt;&lt;D xsi:type="xsd:double"&gt;23.937057&lt;/D&gt;&lt;D xsi:type="xsd:double"&gt;21.822893&lt;/D&gt;&lt;D xsi:type="xsd:double"&gt;14.797651&lt;/D&gt;&lt;D xsi:type="xsd:double"&gt;14.363373&lt;/D&gt;&lt;D xsi:type="xsd:double"&gt;10.850525&lt;/D&gt;&lt;D xsi:type="xsd:double"&gt;3.3411384&lt;/D&gt;&lt;D xsi:type="xsd:double"&gt;-0.3545165&lt;/D&gt;&lt;D xsi:type="xsd:double"&gt;0.1642704&lt;/D&gt;&lt;D xsi:type="xsd:double"&gt;2.3272038&lt;/D&gt;&lt;D xsi:type="xsd:double"&gt;1.5910625&lt;/D&gt;&lt;D xsi:type="xsd:double"&gt;-4.1460633&lt;/D&gt;&lt;D xsi:type="xsd:double"&gt;-0.27011633&lt;/D&gt;&lt;D xsi:type="xsd:double"&gt;-5.6423783&lt;/D&gt;&lt;D xsi:type="xsd:double"&gt;-6.640786&lt;/D&gt;&lt;D xsi:type="xsd:double"&gt;-1.466918&lt;/D&gt;&lt;D xsi:type="xsd:double"&gt;0.9754658&lt;/D&gt;&lt;D xsi:type="xsd:double"&gt;5.9562564&lt;/D&gt;&lt;D xsi:type="xsd:double"&gt;6.624639&lt;/D&gt;&lt;D xsi:type="xsd:double"&gt;14.1687155&lt;/D&gt;&lt;D xsi:type="xsd:double"&gt;13.83996&lt;/D&gt;&lt;D xsi:type="xsd:double"&gt;10.281897&lt;/D&gt;&lt;D xsi:type="xsd:double"&gt;12.03475&lt;/D&gt;&lt;D xsi:type="xsd:double"&gt;14.800239&lt;/D&gt;&lt;D xsi:type="xsd:double"&gt;17.979097&lt;/D&gt;&lt;D xsi:type="xsd:double"&gt;24.362612&lt;/D&gt;&lt;D xsi:type="xsd:double"&gt;25.441265&lt;/D&gt;&lt;D xsi:type="xsd:double"&gt;28.659307&lt;/D&gt;&lt;D xsi:type="xsd:double"&gt;11.733377&lt;/D&gt;&lt;D xsi:type="xsd:double"&gt;3.6839724&lt;/D&gt;&lt;D xsi:type="xsd:double"&gt;6.4263105&lt;/D&gt;&lt;D xsi:type="xsd:double"&gt;8.631253&lt;/D&gt;&lt;D xsi:type="xsd:double"&gt;9.878564&lt;/D&gt;&lt;D xsi:type="xsd:double"&gt;11.489737&lt;/D&gt;&lt;D xsi:type="xsd:double"&gt;12.537646&lt;/D&gt;&lt;D xsi:type="xsd:double"&gt;16.144062&lt;/D&gt;&lt;D xsi:type="xsd:double"&gt;10.603893&lt;/D&gt;&lt;D xsi:type="xsd:double"&gt;13.09408&lt;/D&gt;&lt;D xsi:type="xsd:double"&gt;13.487207&lt;/D&gt;&lt;D xsi:type="xsd:double"&gt;9.545433&lt;/D&gt;&lt;D xsi:type="xsd:double"&gt;19.05024&lt;/D&gt;&lt;D xsi:type="xsd:double"&gt;29.537224&lt;/D&gt;&lt;D xsi:type="xsd:double"&gt;28.429626&lt;/D&gt;&lt;D xsi:type="xsd:double"&gt;29.020536&lt;/D&gt;&lt;D xsi:type="xsd:double"&gt;26.042128&lt;/D&gt;&lt;D xsi:type="xsd:double"&gt;24.82034&lt;/D&gt;&lt;D xsi:type="xsd:double"&gt;20.48664&lt;/D&gt;&lt;D xsi:type="xsd:double"&gt;16.3324&lt;/D&gt;&lt;D xsi:type="xsd:double"&gt;22.83026&lt;/D&gt;&lt;D xsi:type="xsd:double"&gt;20.056057&lt;/D&gt;&lt;D xsi:type="xsd:double"&gt;13.762927&lt;/D&gt;&lt;D xsi:type="xsd:double"&gt;10.579801&lt;/D&gt;&lt;D xsi:type="xsd:double"&gt;6.0406685&lt;/D&gt;&lt;D xsi:type="xsd:double"&gt;10.34627&lt;/D&gt;&lt;D xsi:type="xsd:double"&gt;-5.5801034&lt;/D&gt;&lt;D xsi:type="xsd:double"&gt;-15.38474&lt;/D&gt;&lt;D xsi:type="xsd:double"&gt;-13.926906&lt;/D&gt;&lt;D xsi:type="xsd:double"&gt;-11.217249&lt;/D&gt;&lt;D xsi:type="xsd:double"&gt;-14.36016&lt;/D&gt;&lt;D xsi:type="xsd:double"&gt;-20.304466&lt;/D&gt;&lt;D xsi:type="xsd:double"&gt;-15.308989&lt;/D&gt;&lt;D xsi:type="xsd:double"&gt;-14.3558445&lt;/D&gt;&lt;D xsi:type="xsd:double"&gt;-11.302525&lt;/D&gt;&lt;D xsi:type="xsd:double"&gt;-7.665944&lt;/D&gt;&lt;D xsi:type="xsd:double"&gt;-4.4069586&lt;/D&gt;&lt;D xsi:type="xsd:double"&gt;-5.514473&lt;/D&gt;&lt;D xsi:type="xsd:double"&gt;13.151956&lt;/D&gt;&lt;D xsi:type="xsd:double"&gt;11.12628&lt;/D&gt;&lt;D xsi:type="xsd:double"&gt;11.555648&lt;/D&gt;&lt;D xsi:type="xsd:double"&gt;8.931899&lt;/D&gt;&lt;D xsi:type="xsd:double"&gt;13.431919&lt;/D&gt;&lt;D xsi:type="xsd:double"&gt;21.4571&lt;/D&gt;&lt;D xsi:type="xsd:double"&gt;4.774916&lt;/D&gt;&lt;D xsi:type="xsd:double"&gt;10.207712&lt;/D&gt;&lt;D xsi:type="xsd:double"&gt;11.047173&lt;/D&gt;&lt;D xsi:type="xsd:double"&gt;6.564498&lt;/D&gt;&lt;D xsi:type="xsd:double"&gt;14.364445&lt;/D&gt;&lt;D xsi:type="xsd:double"&gt;2.0233989&lt;/D&gt;&lt;D xsi:type="xsd:double"&gt;1.3360023&lt;/D&gt;&lt;D xsi:type="xsd:double"&gt;9.283996&lt;/D&gt;&lt;D xsi:type="xsd:double"&gt;10.732079&lt;/D&gt;&lt;D xsi:type="xsd:double"&gt;9.5130205&lt;/D&gt;&lt;D xsi:type="xsd:double"&gt;16.135597&lt;/D&gt;&lt;D xsi:type="xsd:double"&gt;17.877949&lt;/D&gt;&lt;/FQL&gt;&lt;FQL&gt;&lt;Q&gt;EWG^FG_TOTAL_RETURNC(-10AY,0,AM)&lt;/Q&gt;&lt;R&gt;121&lt;/R&gt;&lt;C&gt;1&lt;/C&gt;&lt;D xsi:type="xsd:double"&gt;-11.706143&lt;/D&gt;&lt;D xsi:type="xsd:double"&gt;4.976678&lt;/D&gt;&lt;D xsi:type="xsd:double"&gt;4.1481495&lt;/D&gt;&lt;D xsi:type="xsd:double"&gt;-4.8719826&lt;/D&gt;&lt;D xsi:type="xsd:double"&gt;6.3551426&lt;/D&gt;&lt;D xsi:type="xsd:double"&gt;0.738132&lt;/D&gt;&lt;D xsi:type="xsd:double"&gt;6.5945506&lt;/D&gt;&lt;D xsi:type="xsd:double"&gt;-0.556463&lt;/D&gt;&lt;D xsi:type="xsd:double"&gt;-2.6991427&lt;/D&gt;&lt;D xsi:type="xsd:double"&gt;-0.5704522&lt;/D&gt;&lt;D xsi:type="xsd:double"&gt;0.86535215&lt;/D&gt;&lt;D xsi:type="xsd:double"&gt;-9.128344&lt;/D&gt;&lt;D xsi:type="xsd:double"&gt;-0.83081126&lt;/D&gt;&lt;D xsi:type="xsd:double"&gt;0.57121515&lt;/D&gt;&lt;D xsi:type="xsd:double"&gt;0&lt;/D&gt;&lt;D xsi:type="xsd:double"&gt;-8.027256&lt;/D&gt;&lt;D xsi:type="xsd:double"&gt;-5.1461515&lt;/D&gt;&lt;D xsi:type="xsd:double"&gt;5.2517295&lt;/D&gt;&lt;D xsi:type="xsd:double"&gt;3.1752586&lt;/D&gt;&lt;D xsi:type="xsd:double"&gt;4.2765737&lt;/D&gt;&lt;D xsi:type="xsd:double"&gt;-3.602916&lt;/D&gt;&lt;D xsi:type="xsd:double"&gt;-3.6791742&lt;/D&gt;&lt;D xsi:type="xsd:double"&gt;11.543333&lt;/D&gt;&lt;D xsi:type="xsd:double"&gt;-1.1751294&lt;/D&gt;&lt;D xsi:type="xsd:double"&gt;0.6904483&lt;/D&gt;&lt;D xsi:type="xsd:double"&gt;-2.5904775&lt;/D&gt;&lt;D xsi:type="xsd:double"&gt;2.033639&lt;/D&gt;&lt;D xsi:type="xsd:double"&gt;2.8333306&lt;/D&gt;&lt;D xsi:type="xsd:double"&gt;1.8269897&lt;/D&gt;&lt;D xsi:type="xsd:double"&gt;2.7096272&lt;/D&gt;&lt;D xsi:type="xsd:double"&gt;0.9982228&lt;/D&gt;&lt;D xsi:type="xsd:double"&gt;7.0596576&lt;/D&gt;&lt;D xsi:type="xsd:double"&gt;3.1322122&lt;/D&gt;&lt;D xsi:type="xsd:double"&gt;-0.95318556&lt;/D&gt;&lt;D xsi:type="xsd:double"&gt;-0.6251991&lt;/D&gt;&lt;D xsi:type="xsd:double"&gt;4.602647&lt;/D&gt;&lt;D xsi:type="xsd:double"&gt;3.4821153&lt;/D&gt;&lt;D xsi:type="xsd:double"&gt;0.15295744&lt;/D&gt;&lt;D xsi:type="xsd:double"&gt;1.2217402&lt;/D&gt;&lt;D xsi:type="xsd:double"&gt;2.6119947&lt;/D&gt;&lt;D xsi:type="xsd:double"&gt;-5.4245176&lt;/D&gt;&lt;D xsi:type="xsd:double"&gt;2.2132158&lt;/D&gt;&lt;D xsi:type="xsd:double"&gt;-0.09149909&lt;/D&gt;&lt;D xsi:type="xsd:double"&gt;1.3431072&lt;/D&gt;&lt;D xsi:type="xsd:double"&gt;-3.0120492&lt;/D&gt;&lt;D xsi:type="xsd:double"&gt;-1.6248763&lt;/D&gt;&lt;D xsi:type="xsd:double"&gt;-3.9120615&lt;/D&gt;&lt;D xsi:type="xsd:double"&gt;-1.2113035&lt;/D&gt;&lt;D xsi:type="xsd:double"&gt;-4.3596745&lt;/D&gt;&lt;D xsi:type="xsd:double"&gt;-2.136755&lt;/D&gt;&lt;D xsi:type="xsd:double"&gt;-7.2416306&lt;/D&gt;&lt;D xsi:type="xsd:double"&gt;3.5308003&lt;/D&gt;&lt;D xsi:type="xsd:double"&gt;-1.8188715&lt;/D&gt;&lt;D xsi:type="xsd:double"&gt;3.78232&lt;/D&gt;&lt;D xsi:type="xsd:double"&gt;3.5701036&lt;/D&gt;&lt;D xsi:type="xsd:double"&gt;1.7594218&lt;/D&gt;&lt;D xsi:type="xsd:double"&gt;-1.5172899&lt;/D&gt;&lt;D xsi:type="xsd:double"&gt;2.078116&lt;/D&gt;&lt;D xsi:type="xsd:double"&gt;-5.265051&lt;/D&gt;&lt;D xsi:type="xsd:double"&gt;3.3878922&lt;/D&gt;&lt;D xsi:type="xsd:double"&gt;-2.1723151&lt;/D&gt;&lt;D xsi:type="xsd:double"&gt;9.220934&lt;/D&gt;&lt;D xsi:type="xsd:double"&gt;-0.65472126&lt;/D&gt;&lt;D xsi:type="xsd:double"&gt;3.2258034&lt;/D&gt;&lt;D xsi:type="xsd:double"&gt;-1.7473161&lt;/D&gt;&lt;D xsi:type="xsd:double"&gt;-16.073864&lt;/D&gt;&lt;D xsi:type="xsd:double"&gt;-6.1124682&lt;/D&gt;&lt;D xsi:type="xsd:double"&gt;2.34375&lt;/D&gt;&lt;D xsi:type="xsd:double"&gt;19.211197&lt;/D&gt;&lt;D xsi:type="xsd:double"&gt;0.86313486&lt;/D&gt;&lt;D xsi:type="xsd:double"&gt;4.062724&lt;/D&gt;&lt;D xsi:type="xsd:double"&gt;3.1164408&lt;/D&gt;&lt;D xsi:type="xsd:double"&gt;0.29890537&lt;/D&gt;&lt;D xsi:type="xsd:double"&gt;-1.5562952&lt;/D&gt;&lt;D xsi:type="xsd:double"&gt;5.045414&lt;/D&gt;&lt;D xsi:type="xsd:double"&gt;6.739521&lt;/D&gt;&lt;D xsi:type="xsd:double"&gt;-1.0935485&lt;/D&gt;&lt;D xsi:type="xsd:double"&gt;1.5663385&lt;/D&gt;&lt;D xsi:type="xsd:double"&gt;4.6265483&lt;/D&gt;&lt;D xsi:type="xsd:double"&gt;1.473999&lt;/D&gt;&lt;D xsi:type="xsd:double"&gt;2.8577447&lt;/D&gt;&lt;D xsi:type="xsd:double"&gt;-1.6615033&lt;/D&gt;&lt;D xsi:type="xsd:double"&gt;-0.54409504&lt;/D&gt;&lt;D xsi:type="xsd:double"&gt;-0.71983933&lt;/D&gt;&lt;D xsi:type="xsd:double"&gt;-5.075407&lt;/D&gt;&lt;D xsi:type="xsd:double"&gt;3.8496852&lt;/D&gt;&lt;D xsi:type="xsd:double"&gt;-3.854078&lt;/D&gt;&lt;D xsi:type="xsd:double"&gt;1.2664199&lt;/D&gt;&lt;D xsi:type="xsd:double"&gt;-1.7068028&lt;/D&gt;&lt;D xsi:type="xsd:double"&gt;-16.868216&lt;/D&gt;&lt;D xsi:type="xsd:double"&gt;3.2823563&lt;/D&gt;&lt;D xsi:type="xsd:double"&gt;-8.775735&lt;/D&gt;&lt;D xsi:type="xsd:double"&gt;1.3370991&lt;/D&gt;&lt;D xsi:type="xsd:double"&gt;-8.779705&lt;/D&gt;&lt;D xsi:type="xsd:double"&gt;6.0927153&lt;/D&gt;&lt;D xsi:type="xsd:double"&gt;-6.6999617&lt;/D&gt;&lt;D xsi:type="xsd:double"&gt;-10.660124&lt;/D&gt;&lt;D xsi:type="xsd:double"&gt;20.41937&lt;/D&gt;&lt;D xsi:type="xsd:double"&gt;4.726362&lt;/D&gt;&lt;D xsi:type="xsd:double"&gt;6.845069&lt;/D&gt;&lt;D xsi:type="xsd:double"&gt;2.928102&lt;/D&gt;&lt;D xsi:type="xsd:double"&gt;-1.6924798&lt;/D&gt;&lt;D xsi:type="xsd:double"&gt;4.7252774&lt;/D&gt;&lt;D xsi:type="xsd:double"&gt;2.1685839&lt;/D&gt;&lt;D xsi:type="xsd:double"&gt;-2.354467&lt;/D&gt;&lt;D xsi:type="xsd:double"&gt;0.46830177&lt;/D&gt;&lt;D xsi:type="xsd:double"&gt;1.6852021&lt;/D&gt;&lt;D xsi:type="xsd:double"&gt;-4.4076147&lt;/D&gt;&lt;D xsi:type="xsd:double"&gt;-2.9140592&lt;/D&gt;&lt;D xsi:type="xsd:double"&gt;0.075984&lt;/D&gt;&lt;D xsi:type="xsd:double"&gt;10.098707&lt;/D&gt;&lt;D xsi:type="xsd:double"&gt;1.0397673&lt;/D&gt;&lt;D xsi:type="xsd:double"&gt;-0.1023829&lt;/D&gt;&lt;D xsi:type="xsd:double"&gt;5.9446573&lt;/D&gt;&lt;D xsi:type="xsd:double"&gt;-0.12899637&lt;/D&gt;&lt;D xsi:type="xsd:double"&gt;3.907013&lt;/D&gt;&lt;D xsi:type="xsd:double"&gt;-1.1808634&lt;/D&gt;&lt;D xsi:type="xsd:double"&gt;0.5332589&lt;/D&gt;&lt;D xsi:type="xsd:double"&gt;-3.333336&lt;/D&gt;&lt;D xsi:type="xsd:double"&gt;4.8076987&lt;/D&gt;&lt;D xsi:type="xsd:double"&gt;4.302442&lt;/D&gt;&lt;/FQL&gt;&lt;FQL&gt;&lt;Q&gt;EWA^FMA_DIV_YLD(NTMA,-10AY,0,AM,"PORTAGG","MEANR")&lt;/Q&gt;&lt;R&gt;121&lt;/R&gt;&lt;C&gt;1&lt;/C&gt;&lt;D xsi:type="xsd:double"&gt;5.16716047928794&lt;/D&gt;&lt;D xsi:type="xsd:double"&gt;4.85158674362895&lt;/D&gt;&lt;D xsi:type="xsd:double"&gt;5.09243402934835&lt;/D&gt;&lt;D xsi:type="xsd:double"&gt;4.92127442003952&lt;/D&gt;&lt;D xsi:type="xsd:double"&gt;4.67856716352415&lt;/D&gt;&lt;D xsi:type="xsd:double"&gt;4.66090975159952&lt;/D&gt;&lt;D xsi:type="xsd:double"&gt;4.54105170690197&lt;/D&gt;&lt;D xsi:type="xsd:double"&gt;4.76821810593173&lt;/D&gt;&lt;D xsi:type="xsd:double"&gt;4.96439242194132&lt;/D&gt;&lt;D xsi:type="xsd:double"&gt;4.96635628879482&lt;/D&gt;&lt;D xsi:type="xsd:double"&gt;4.97018007244165&lt;/D&gt;&lt;D xsi:type="xsd:double"&gt;5.41765432390307&lt;/D&gt;&lt;D xsi:type="xsd:double"&gt;5.15528970427274&lt;/D&gt;&lt;D xsi:type="xsd:double"&gt;5.39096189280616&lt;/D&gt;&lt;D xsi:type="xsd:double"&gt;5.40434718562378&lt;/D&gt;&lt;D xsi:type="xsd:double"&gt;5.46118944138663&lt;/D&gt;&lt;D xsi:type="xsd:double"&gt;5.35638855266335&lt;/D&gt;&lt;D xsi:type="xsd:double"&gt;4.75069716511667&lt;/D&gt;&lt;D xsi:type="xsd:double"&gt;5.00007836423593&lt;/D&gt;&lt;D xsi:type="xsd:double"&gt;4.56803790125543&lt;/D&gt;&lt;D xsi:type="xsd:double"&gt;4.60917488292773&lt;/D&gt;&lt;D xsi:type="xsd:double"&gt;4.69685002756172&lt;/D&gt;&lt;D xsi:type="xsd:double"&gt;4.43715158533246&lt;/D&gt;&lt;D xsi:type="xsd:double"&gt;4.62050310787135&lt;/D&gt;&lt;D xsi:type="xsd:double"&gt;4.50830037226149&lt;/D&gt;&lt;D xsi:type="xsd:double"&gt;4.64751492097832&lt;/D&gt;&lt;D xsi:type="xsd:double"&gt;4.52908905740887&lt;/D&gt;&lt;D xsi:type="xsd:double"&gt;4.44558538272333&lt;/D&gt;&lt;D xsi:type="xsd:double"&gt;4.5227661126483&lt;/D&gt;&lt;D xsi:type="xsd:double"&gt;4.53558253191133&lt;/D&gt;&lt;D xsi:type="xsd:double"&gt;4.49486088638081&lt;/D&gt;&lt;D xsi:type="xsd:double"&gt;4.54200600865759&lt;/D&gt;&lt;D xsi:type="xsd:double"&gt;4.69411972917047&lt;/D&gt;&lt;D xsi:type="xsd:double"&gt;4.63045661930354&lt;/D&gt;&lt;D xsi:type="xsd:double"&gt;4.57757843025013&lt;/D&gt;&lt;D xsi:type="xsd:double"&gt;4.61846359626082&lt;/D&gt;&lt;D xsi:type="xsd:double"&gt;4.60028261228287&lt;/D&gt;&lt;D xsi:type="xsd:double"&gt;4.41404577305548&lt;/D&gt;&lt;D xsi:type="xsd:double"&gt;4.50835986724268&lt;/D&gt;&lt;D xsi:type="xsd:double"&gt;4.44031925877903&lt;/D&gt;&lt;D xsi:type="xsd:double"&gt;4.69933442738275&lt;/D&gt;&lt;D xsi:type="xsd:double"&gt;4.64656496734572&lt;/D&gt;&lt;D xsi:type="xsd:double"&gt;4.75160781272045&lt;/D&gt;&lt;D xsi:type="xsd:double"&gt;4.60415206820843&lt;/D&gt;&lt;D xsi:type="xsd:double"&gt;4.7309522319428&lt;/D&gt;&lt;D xsi:type="xsd:double"&gt;4.56133748259431&lt;/D&gt;&lt;D xsi:type="xsd:double"&gt;4.59308548319681&lt;/D&gt;&lt;D xsi:type="xsd:double"&gt;4.79580979124495&lt;/D&gt;&lt;D xsi:type="xsd:double"&gt;4.89953585267703&lt;/D&gt;&lt;D xsi:type="xsd:double"&gt;5.04993086166187&lt;/D&gt;&lt;D xsi:type="xsd:double"&gt;5.4338041435937&lt;/D&gt;&lt;D xsi:type="xsd:double"&gt;5.19168002292128&lt;/D&gt;&lt;D xsi:type="xsd:double"&gt;4.95220145604464&lt;/D&gt;&lt;D xsi:type="xsd:double"&gt;4.93604532574986&lt;/D&gt;&lt;D xsi:type="xsd:double"&gt;4.92643516071217&lt;/D&gt;&lt;D xsi:type="xsd:double"&gt;4.84504176839794&lt;/D&gt;&lt;D xsi:type="xsd:double"&gt;4.75850017962334&lt;/D&gt;&lt;D xsi:type="xsd:double"&gt;4.62617176108355&lt;/D&gt;&lt;D xsi:type="xsd:double"&gt;4.66313952740548&lt;/D&gt;&lt;D xsi:type="xsd:double"&gt;4.52200802030137&lt;/D&gt;&lt;D xsi:type="xsd:double"&gt;4.53468375704486&lt;/D&gt;&lt;D xsi:type="xsd:double"&gt;4.34359251903341&lt;/D&gt;&lt;D xsi:type="xsd:double"&gt;4.33505535609262&lt;/D&gt;&lt;D xsi:type="xsd:double"&gt;4.18574384544493&lt;/D&gt;&lt;D xsi:type="xsd:double"&gt;4.16528507173566&lt;/D&gt;&lt;D xsi:type="xsd:double"&gt;4.85662245785484&lt;/D&gt;&lt;D xsi:type="xsd:double"&gt;4.62239148243582&lt;/D&gt;&lt;D xsi:type="xsd:double"&gt;3.87098455102447&lt;/D&gt;&lt;D xsi:type="xsd:double"&gt;3.27067491923198&lt;/D&gt;&lt;D xsi:type="xsd:double"&gt;3.48245516335955&lt;/D&gt;&lt;D xsi:type="xsd:double"&gt;3.35442503375071&lt;/D&gt;&lt;D xsi:type="xsd:double"&gt;3.5621317283212&lt;/D&gt;&lt;D xsi:type="xsd:double"&gt;3.55089826666055&lt;/D&gt;&lt;D xsi:type="xsd:double"&gt;3.53111790470676&lt;/D&gt;&lt;D xsi:type="xsd:double"&gt;3.4830800967428&lt;/D&gt;&lt;D xsi:type="xsd:double"&gt;3.48645609739439&lt;/D&gt;&lt;D xsi:type="xsd:double"&gt;3.59214963179364&lt;/D&gt;&lt;D xsi:type="xsd:double"&gt;3.91749445451055&lt;/D&gt;&lt;D xsi:type="xsd:double"&gt;3.87995382843894&lt;/D&gt;&lt;D xsi:type="xsd:double"&gt;3.83002528969166&lt;/D&gt;&lt;D xsi:type="xsd:double"&gt;3.87480937148013&lt;/D&gt;&lt;D xsi:type="xsd:double"&gt;4.12660362420256&lt;/D&gt;&lt;D xsi:type="xsd:double"&gt;4.03840212882443&lt;/D&gt;&lt;D xsi:type="xsd:double"&gt;4.08612980110215&lt;/D&gt;&lt;D xsi:type="xsd:double"&gt;4.04961273160139&lt;/D&gt;&lt;D xsi:type="xsd:double"&gt;3.96119065137849&lt;/D&gt;&lt;D xsi:type="xsd:double"&gt;3.96358462700685&lt;/D&gt;&lt;D xsi:type="xsd:double"&gt;3.87950007012454&lt;/D&gt;&lt;D xsi:type="xsd:double"&gt;4.21586527911489&lt;/D&gt;&lt;D xsi:type="xsd:double"&gt;4.30701712926812&lt;/D&gt;&lt;D xsi:type="xsd:double"&gt;4.34148961046536&lt;/D&gt;&lt;D xsi:type="xsd:double"&gt;4.77777016532426&lt;/D&gt;&lt;D xsi:type="xsd:double"&gt;4.93217703429246&lt;/D&gt;&lt;D xsi:type="xsd:double"&gt;5.17432759812901&lt;/D&gt;&lt;D xsi:type="xsd:double"&gt;4.76742388969493&lt;/D&gt;&lt;D xsi:type="xsd:double"&gt;4.84058991054272&lt;/D&gt;&lt;D xsi:type="xsd:double"&gt;5.1006445022063&lt;/D&gt;&lt;D xsi:type="xsd:double"&gt;4.7771888129794&lt;/D&gt;&lt;D xsi:type="xsd:double"&gt;4.4680186705936&lt;/D&gt;&lt;D xsi:type="xsd:double"&gt;4.57406881133833&lt;/D&gt;&lt;D xsi:type="xsd:double"&gt;4.33437063611905&lt;/D&gt;&lt;D xsi:type="xsd:double"&gt;4.58719711770496&lt;/D&gt;&lt;D xsi:type="xsd:double"&gt;4.51802150518025&lt;/D&gt;&lt;D xsi:type="xsd:double"&gt;4.40587734573498&lt;/D&gt;&lt;D xsi:type="xsd:double"&gt;4.42272102440087&lt;/D&gt;&lt;D xsi:type="xsd:double"&gt;4.41666211640677&lt;/D&gt;&lt;D xsi:type="xsd:double"&gt;4.15550392284326&lt;/D&gt;&lt;D xsi:type="xsd:double"&gt;4.23036400377696&lt;/D&gt;&lt;D xsi:type="xsd:double"&gt;4.34891730836761&lt;/D&gt;&lt;D xsi:type="xsd:double"&gt;4.40617627294354&lt;/D&gt;&lt;D xsi:type="xsd:double"&gt;4.23824593486419&lt;/D&gt;&lt;D xsi:type="xsd:double"&gt;4.07911342169707&lt;/D&gt;&lt;D xsi:type="xsd:double"&gt;3.98663989973339&lt;/D&gt;&lt;D xsi:type="xsd:double"&gt;3.8871686638012&lt;/D&gt;&lt;D xsi:type="xsd:double"&gt;3.91952168082422&lt;/D&gt;&lt;D xsi:type="xsd:double"&gt;3.98163848789145&lt;/D&gt;&lt;D xsi:type="xsd:double"&gt;3.89997272475036&lt;/D&gt;&lt;D xsi:type="xsd:double"&gt;3.90579756219162&lt;/D&gt;&lt;D xsi:type="xsd:double"&gt;3.89191286056543&lt;/D&gt;&lt;D xsi:type="xsd:double"&gt;3.73300096634873&lt;/D&gt;&lt;D xsi:type="xsd:double"&gt;3.63177658181547&lt;/D&gt;&lt;/FQL&gt;&lt;FQL&gt;&lt;Q&gt;ENZL^JULIAN(FMA_DIV_YLD(NTMA,-10AY,0,AM,"PORTAGG","MEANR").DATES)&lt;/Q&gt;&lt;R&gt;121&lt;/R&gt;&lt;C&gt;1&lt;/C&gt;&lt;D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xsi:type="xsd:long"&gt;45573&lt;/D&gt;&lt;/FQL&gt;&lt;FQL&gt;&lt;Q&gt;DDR3512M-FDS^FG_PRICE(0)/MAX(FG_PRICE(0,-1AY))&lt;/Q&gt;&lt;R&gt;1&lt;/R&gt;&lt;C&gt;1&lt;/C&gt;&lt;D xsi:type="xsd:double"&gt;0.841590528846154&lt;/D&gt;&lt;/FQL&gt;&lt;FQL&gt;&lt;Q&gt;PASP-FDS^FG_PRICE(0)/MAX(FG_PRICE(0,-1AY))&lt;/Q&gt;&lt;R&gt;1&lt;/R&gt;&lt;C&gt;1&lt;/C&gt;&lt;D xsi:type="xsd:double"&gt;0.848412698412698&lt;/D&gt;&lt;/FQL&gt;&lt;FQL&gt;&lt;Q&gt;PLATI-FDS^FG_PRICE(0)/MAX(FG_PRICE(0,-1AY))&lt;/Q&gt;&lt;R&gt;1&lt;/R&gt;&lt;C&gt;1&lt;/C&gt;&lt;D xsi:type="xsd:double"&gt;0.898035547240412&lt;/D&gt;&lt;/FQL&gt;&lt;FQL&gt;&lt;Q&gt;W-FDS^FG_PRICE(0)/MAX(FG_PRICE(0,-1AY))&lt;/Q&gt;&lt;R&gt;1&lt;/R&gt;&lt;C&gt;1&lt;/C&gt;&lt;D xsi:type="xsd:double"&gt;0.862192074259193&lt;/D&gt;&lt;/FQL&gt;&lt;FQL&gt;&lt;Q&gt;COPP-FDS^FG_PRICE(0)/MAX(FG_PRICE(0,-1AY))&lt;/Q&gt;&lt;R&gt;1&lt;/R&gt;&lt;C&gt;1&lt;/C&gt;&lt;D xsi:type="xsd:double"&gt;0.856612619652276&lt;/D&gt;&lt;/FQL&gt;&lt;FQL&gt;&lt;Q&gt;FC0000JP^FG_PRICE(0)&lt;/Q&gt;&lt;R&gt;1&lt;/R&gt;&lt;C&gt;1&lt;/C&gt;&lt;D xsi:type="xsd:double"&gt;179.78249&lt;/D&gt;&lt;/FQL&gt;&lt;FQL&gt;&lt;Q&gt;FC0000NZ^FG_PRICE(0)&lt;/Q&gt;&lt;R&gt;1&lt;/R&gt;&lt;C&gt;1&lt;/C&gt;&lt;D xsi:type="xsd:double"&gt;412.2421&lt;/D&gt;&lt;/FQL&gt;&lt;FQL&gt;&lt;Q&gt;EWQ^FG_PRICE_MAVG(0,,,,60)&lt;/Q&gt;&lt;R&gt;1&lt;/R&gt;&lt;C&gt;1&lt;/C&gt;&lt;D xsi:type="xsd:double"&gt;39.000168&lt;/D&gt;&lt;/FQL&gt;&lt;FQL&gt;&lt;Q&gt;EWL^FG_PRICE_MAVG(0,,,,60)&lt;/Q&gt;&lt;R&gt;1&lt;/R&gt;&lt;C&gt;1&lt;/C&gt;&lt;D xsi:type="xsd:double"&gt;50.931168&lt;/D&gt;&lt;/FQL&gt;&lt;FQL&gt;&lt;Q&gt;EWA^FG_PRICE_MAVG(0,,,,60)&lt;/Q&gt;&lt;R&gt;1&lt;/R&gt;&lt;C&gt;1&lt;/C&gt;&lt;D xsi:type="xsd:double"&gt;25.502832&lt;/D&gt;&lt;/FQL&gt;&lt;FQL&gt;&lt;Q&gt;QQQ^FG_COMPANY_NAME&lt;/Q&gt;&lt;R&gt;1&lt;/R&gt;&lt;C&gt;1&lt;/C&gt;&lt;D xsi:type="xsd:string"&gt;Invesco QQQ Trust Series I&lt;/D&gt;&lt;/FQL&gt;&lt;FQL&gt;&lt;Q&gt;SPY^P_PRICE(0)/P_PRICE_HIGH_PR(0,,,,,,"PRICE","INTRA","52W")&lt;/Q&gt;&lt;R&gt;1&lt;/R&gt;&lt;C&gt;1&lt;/C&gt;&lt;D xsi:type="xsd:double"&gt;0.99726504&lt;/D&gt;&lt;/FQL&gt;&lt;FQL&gt;&lt;Q&gt;URTH^FG_TOTAL_RETURNC(0,-12AM)&lt;/Q&gt;&lt;R&gt;1&lt;/R&gt;&lt;C&gt;1&lt;/C&gt;&lt;D xsi:type="xsd:double"&gt;30.754793&lt;/D&gt;&lt;/FQL&gt;&lt;FQL&gt;&lt;Q&gt;VWO^PERCENT_CHANGE(FMA_EPS(+1,0,,,,"PORTAGG","MEAN"),FMA_EPS(+1,-1AM,,,,"PORTAGG","MEAN"))&lt;/Q&gt;&lt;R&gt;1&lt;/R&gt;&lt;C&gt;1&lt;/C&gt;&lt;D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xsi:type="xsd:double"&gt;0.82184076&lt;/D&gt;&lt;/FQL&gt;&lt;FQL&gt;&lt;Q&gt;EWN^FG_TOTAL_RETURNC(0,-6AM)&lt;/Q&gt;&lt;R&gt;1&lt;/R&gt;&lt;C&gt;1&lt;/C&gt;&lt;D xsi:type="xsd:double"&gt;1.9261837&lt;/D&gt;&lt;/FQL&gt;&lt;FQL&gt;&lt;Q&gt;SPY^P_PRICE(0)/P_PRICE_LOW_PR(0,,,,,,"PRICE","INTRA","52W")-1&lt;/Q&gt;&lt;R&gt;1&lt;/R&gt;&lt;C&gt;1&lt;/C&gt;&lt;D xsi:type="xsd:double"&gt;0.40790796&lt;/D&gt;&lt;/FQL&gt;&lt;FQL&gt;&lt;Q&gt;QQQ^FMA_PCT_ABOVE_MAVG(200,0,,,,"PORTAGG")&lt;/Q&gt;&lt;R&gt;1&lt;/R&gt;&lt;C&gt;1&lt;/C&gt;&lt;D xsi:type="xsd:double"&gt;61.7647058823529&lt;/D&gt;&lt;/FQL&gt;&lt;FQL&gt;&lt;Q&gt;EWL^PERCENT_CHANGE(FMA_EPS(+1,0,,,,"PORTAGG","MEAN"),FMA_EPS(+1,-3AM,,,,"PORTAGG","MEAN"))&lt;/Q&gt;&lt;R&gt;1&lt;/R&gt;&lt;C&gt;1&lt;/C&gt;&lt;D xsi:type="xsd:double"&gt;3.26901559040301&lt;/D&gt;&lt;/FQL&gt;&lt;FQL&gt;&lt;Q&gt;EWG^FG_TOTAL_RETURNC(0,-3AM)&lt;/Q&gt;&lt;R&gt;1&lt;/R&gt;&lt;C&gt;1&lt;/C&gt;&lt;D xsi:type="xsd:double"&gt;5.6730747&lt;/D&gt;&lt;/FQL&gt;&lt;FQL&gt;&lt;Q&gt;EWA^P_PRICE(0)/P_PRICE_HIGH_PR(0,,,,,,"PRICE","INTRA","52W")&lt;/Q&gt;&lt;R&gt;1&lt;/R&gt;&lt;C&gt;1&lt;/C&gt;&lt;D xsi:type="xsd:double"&gt;0.966581&lt;/D&gt;&lt;/FQL&gt;&lt;FQL&gt;&lt;Q&gt;FXI^SIZE(FG_CONSTITUENTS)&lt;/Q&gt;&lt;R&gt;1&lt;/R&gt;&lt;C&gt;1&lt;/C&gt;&lt;D xsi:type="xsd:long"&gt;53&lt;/D&gt;&lt;/FQL&gt;&lt;FQL&gt;&lt;Q&gt;VGK^FMA_COS_DOWN("EPS","1M",+1,0,,,"PORTAGG","MEANR")&lt;/Q&gt;&lt;R&gt;1&lt;/R&gt;&lt;C&gt;1&lt;/C&gt;&lt;D xsi:type="xsd:double"&gt;601&lt;/D&gt;&lt;/FQL&gt;&lt;FQL&gt;&lt;Q&gt;SPY^FMA_COS_UP("EPS","1M",+1,0,,,"PORTAGG","MEANR")&lt;/Q&gt;&lt;R&gt;1&lt;/R&gt;&lt;C&gt;1&lt;/C&gt;&lt;D xsi:type="xsd:double"&gt;144&lt;/D&gt;&lt;/FQL&gt;&lt;FQL&gt;&lt;Q&gt;EWC^SIZE(FG_CONSTITUENTS)&lt;/Q&gt;&lt;R&gt;1&lt;/R&gt;&lt;C&gt;1&lt;/C&gt;&lt;D xsi:type="xsd:long"&gt;86&lt;/D&gt;&lt;/FQL&gt;&lt;FQL&gt;&lt;Q&gt;EWA^FMA_ROE(NTMA,-20AY,NOW,FY,"PORTAGG","MEANR")&lt;/Q&gt;&lt;R&gt;20&lt;/R&gt;&lt;C&gt;1&lt;/C&gt;&lt;D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xsi:type="xsd:double"&gt;-0.0142515894002661&lt;/D&gt;&lt;/FQL&gt;&lt;FQL&gt;&lt;Q&gt;CAGDPY@JP^EE_ACTUAL_ANNUAL(MED,0)&lt;/Q&gt;&lt;R&gt;1&lt;/R&gt;&lt;C&gt;1&lt;/C&gt;&lt;D xsi:type="xsd:double"&gt;3.60658196299853&lt;/D&gt;&lt;/FQL&gt;&lt;FQL&gt;&lt;Q&gt;CC_AU^FG_COMPANY_NAME&lt;/Q&gt;&lt;R&gt;1&lt;/R&gt;&lt;C&gt;1&lt;/C&gt;&lt;D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xsi:type="xsd:double"&gt;10.40465&lt;/D&gt;&lt;/FQL&gt;&lt;FQL&gt;&lt;Q&gt;USDCHF^FG_PRICE(0)&lt;/Q&gt;&lt;R&gt;1&lt;/R&gt;&lt;C&gt;1&lt;/C&gt;&lt;D xsi:type="xsd:double"&gt;0.8581&lt;/D&gt;&lt;/FQL&gt;&lt;FQL&gt;&lt;Q&gt;USDUSD^FG_PRICE(0)&lt;/Q&gt;&lt;R&gt;1&lt;/R&gt;&lt;C&gt;1&lt;/C&gt;&lt;D xsi:type="xsd:double"&gt;1&lt;/D&gt;&lt;/FQL&gt;&lt;FQL&gt;&lt;Q&gt;USDEUR^FG_PRICE(0)&lt;/Q&gt;&lt;R&gt;1&lt;/R&gt;&lt;C&gt;1&lt;/C&gt;&lt;D xsi:type="xsd:double"&gt;0.9154994&lt;/D&gt;&lt;/FQL&gt;&lt;FQL&gt;&lt;Q&gt;USDAUD^FG_PRICE(0)&lt;/Q&gt;&lt;R&gt;1&lt;/R&gt;&lt;C&gt;1&lt;/C&gt;&lt;D xsi:type="xsd:double"&gt;1.4876525&lt;/D&gt;&lt;/FQL&gt;&lt;FQL&gt;&lt;Q&gt;EWU^FMA_EPS(NTMA,-20AY,0,CY,,"PORTAGG","MEANR")&lt;/Q&gt;&lt;R&gt;20&lt;/R&gt;&lt;C&gt;1&lt;/C&gt;&lt;D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xsi:type="xsd:double"&gt;2.53509270637055&lt;/D&gt;&lt;D xsi:type="xsd:double"&gt;2.03535923448403&lt;/D&gt;&lt;D xsi:type="xsd:double"&gt;2.71455451649836&lt;/D&gt;&lt;D xsi:type="xsd:double"&gt;3.12785085030901&lt;/D&gt;&lt;D xsi:type="xsd:double"&gt;3.00293990504371&lt;/D&gt;&lt;/FQL&gt;&lt;FQL&gt;&lt;Q&gt;EWJ^P_PRICE_RETURNS_PR('52W',2,-10AY,0,AM)&lt;/Q&gt;&lt;R&gt;121&lt;/R&gt;&lt;C&gt;1&lt;/C&gt;&lt;D xsi:type="xsd:double"&gt;-6.229651&lt;/D&gt;&lt;D xsi:type="xsd:double"&gt;0.9523511&lt;/D&gt;&lt;D xsi:type="xsd:double"&gt;-2.9814005&lt;/D&gt;&lt;D xsi:type="xsd:double"&gt;-6.065649&lt;/D&gt;&lt;D xsi:type="xsd:double"&gt;3.9444447&lt;/D&gt;&lt;D xsi:type="xsd:double"&gt;5.646074&lt;/D&gt;&lt;D xsi:type="xsd:double"&gt;20.896996&lt;/D&gt;&lt;D xsi:type="xsd:double"&gt;20.43246&lt;/D&gt;&lt;D xsi:type="xsd:double"&gt;12.270236&lt;/D&gt;&lt;D xsi:type="xsd:double"&gt;7.3720574&lt;/D&gt;&lt;D xsi:type="xsd:double"&gt;13.065588&lt;/D&gt;&lt;D xsi:type="xsd:double"&gt;-0.012171268&lt;/D&gt;&lt;D xsi:type="xsd:double"&gt;9.415138&lt;/D&gt;&lt;D xsi:type="xsd:double"&gt;8.205628&lt;/D&gt;&lt;D xsi:type="xsd:double"&gt;7.8121424&lt;/D&gt;&lt;D xsi:type="xsd:double"&gt;2.991736&lt;/D&gt;&lt;D xsi:type="xsd:double"&gt;-8.809489&lt;/D&gt;&lt;D xsi:type="xsd:double"&gt;-5.96506&lt;/D&gt;&lt;D xsi:type="xsd:double"&gt;-11.222434&lt;/D&gt;&lt;D xsi:type="xsd:double"&gt;-8.933658&lt;/D&gt;&lt;D xsi:type="xsd:double"&gt;-9.066952&lt;/D&gt;&lt;D xsi:type="xsd:double"&gt;-4.575908&lt;/D&gt;&lt;D xsi:type="xsd:double"&gt;-4.890662&lt;/D&gt;&lt;D xsi:type="xsd:double"&gt;6.629598&lt;/D&gt;&lt;D xsi:type="xsd:double"&gt;4.799652&lt;/D&gt;&lt;D xsi:type="xsd:double"&gt;0.53071976&lt;/D&gt;&lt;D xsi:type="xsd:double"&gt;7.5945616&lt;/D&gt;&lt;D xsi:type="xsd:double"&gt;12.137604&lt;/D&gt;&lt;D xsi:type="xsd:double"&gt;24.394835&lt;/D&gt;&lt;D xsi:type="xsd:double"&gt;16.550123&lt;/D&gt;&lt;D xsi:type="xsd:double"&gt;14.643884&lt;/D&gt;&lt;D xsi:type="xsd:double"&gt;12.975597&lt;/D&gt;&lt;D xsi:type="xsd:double"&gt;16.27034&lt;/D&gt;&lt;D xsi:type="xsd:double"&gt;16.257858&lt;/D&gt;&lt;D xsi:type="xsd:double"&gt;12.069178&lt;/D&gt;&lt;D xsi:type="xsd:double"&gt;11.677969&lt;/D&gt;&lt;D xsi:type="xsd:double"&gt;15.07243&lt;/D&gt;&lt;D xsi:type="xsd:double"&gt;21.703386&lt;/D&gt;&lt;D xsi:type="xsd:double"&gt;18.762184&lt;/D&gt;&lt;D xsi:type="xsd:double"&gt;26.527382&lt;/D&gt;&lt;D xsi:type="xsd:double"&gt;17.304718&lt;/D&gt;&lt;D xsi:type="xsd:double"&gt;20.500887&lt;/D&gt;&lt;D xsi:type="xsd:double"&gt;20.269787&lt;/D&gt;&lt;D xsi:type="xsd:double"&gt;17.644024&lt;/D&gt;&lt;D xsi:type="xsd:double"&gt;12.939178&lt;/D&gt;&lt;D xsi:type="xsd:double"&gt;10.924578&lt;/D&gt;&lt;D xsi:type="xsd:double"&gt;7.735193&lt;/D&gt;&lt;D xsi:type="xsd:double"&gt;4.8360944&lt;/D&gt;&lt;D xsi:type="xsd:double"&gt;3.5789013&lt;/D&gt;&lt;D xsi:type="xsd:double"&gt;-6.0759487&lt;/D&gt;&lt;D xsi:type="xsd:double"&gt;-9.555578&lt;/D&gt;&lt;D xsi:type="xsd:double"&gt;-13.595563&lt;/D&gt;&lt;D xsi:type="xsd:double"&gt;-8.421463&lt;/D&gt;&lt;D xsi:type="xsd:double"&gt;-10.393876&lt;/D&gt;&lt;D xsi:type="xsd:double"&gt;-7.7217817&lt;/D&gt;&lt;D xsi:type="xsd:double"&gt;-9.707183&lt;/D&gt;&lt;D xsi:type="xsd:double"&gt;-8.802003&lt;/D&gt;&lt;D xsi:type="xsd:double"&gt;-3.2381773&lt;/D&gt;&lt;D xsi:type="xsd:double"&gt;-6.623864&lt;/D&gt;&lt;D xsi:type="xsd:double"&gt;-0.9054005&lt;/D&gt;&lt;D xsi:type="xsd:double"&gt;-0.40886998&lt;/D&gt;&lt;D xsi:type="xsd:double"&gt;9.491837&lt;/D&gt;&lt;D xsi:type="xsd:double"&gt;15.394772&lt;/D&gt;&lt;D xsi:type="xsd:double"&gt;13.680649&lt;/D&gt;&lt;D xsi:type="xsd:double"&gt;15.022087&lt;/D&gt;&lt;D xsi:type="xsd:double"&gt;-1.6066551&lt;/D&gt;&lt;D xsi:type="xsd:double"&gt;-6.368482&lt;/D&gt;&lt;D xsi:type="xsd:double"&gt;-1.124078&lt;/D&gt;&lt;D xsi:type="xsd:double"&gt;7.601309&lt;/D&gt;&lt;D xsi:type="xsd:double"&gt;3.5203695&lt;/D&gt;&lt;D xsi:type="xsd:double"&gt;7.1396947&lt;/D&gt;&lt;D xsi:type="xsd:double"&gt;6.513679&lt;/D&gt;&lt;D xsi:type="xsd:double"&gt;7.3044896&lt;/D&gt;&lt;D xsi:type="xsd:double"&gt;7.3770404&lt;/D&gt;&lt;D xsi:type="xsd:double"&gt;11.337566&lt;/D&gt;&lt;D xsi:type="xsd:double"&gt;17.807806&lt;/D&gt;&lt;D xsi:type="xsd:double"&gt;20.516087&lt;/D&gt;&lt;D xsi:type="xsd:double"&gt;34.600876&lt;/D&gt;&lt;D xsi:type="xsd:double"&gt;39.94392&lt;/D&gt;&lt;D xsi:type="xsd:double"&gt;33.2533&lt;/D&gt;&lt;D xsi:type="xsd:double"&gt;21.789122&lt;/D&gt;&lt;D xsi:type="xsd:double"&gt;25.662601&lt;/D&gt;&lt;D xsi:type="xsd:double"&gt;21.886456&lt;/D&gt;&lt;D xsi:type="xsd:double"&gt;27.390718&lt;/D&gt;&lt;D xsi:type="xsd:double"&gt;15.395951&lt;/D&gt;&lt;D xsi:type="xsd:double"&gt;10.089123&lt;/D&gt;&lt;D xsi:type="xsd:doub</t>
        </r>
      </text>
    </comment>
    <comment ref="A3" authorId="0" shapeId="0" xr:uid="{5E78E940-B83B-47C2-9B58-8DF9E12B515B}">
      <text>
        <r>
          <rPr>
            <b/>
            <sz val="9"/>
            <color indexed="81"/>
            <rFont val="Tahoma"/>
            <charset val="1"/>
          </rPr>
          <t>le"&gt;5.154836&lt;/D&gt;&lt;D xsi:type="xsd:double"&gt;-2.0237207&lt;/D&gt;&lt;D xsi:type="xsd:double"&gt;-6.9611015&lt;/D&gt;&lt;D xsi:type="xsd:double"&gt;-11.18375&lt;/D&gt;&lt;D xsi:type="xsd:double"&gt;-12.326789&lt;/D&gt;&lt;D xsi:type="xsd:double"&gt;-18.292433&lt;/D&gt;&lt;D xsi:type="xsd:double"&gt;-18.492859&lt;/D&gt;&lt;D xsi:type="xsd:double"&gt;-17.518312&lt;/D&gt;&lt;D xsi:type="xsd:double"&gt;-15.0459175&lt;/D&gt;&lt;D xsi:type="xsd:double"&gt;-25.503195&lt;/D&gt;&lt;D xsi:type="xsd:double"&gt;-25.198227&lt;/D&gt;&lt;D xsi:type="xsd:double"&gt;-19.744795&lt;/D&gt;&lt;D xsi:type="xsd:double"&gt;-17.25229&lt;/D&gt;&lt;D xsi:type="xsd:double"&gt;-16.676266&lt;/D&gt;&lt;D xsi:type="xsd:double"&gt;-8.779425&lt;/D&gt;&lt;D xsi:type="xsd:double"&gt;-3.4236789&lt;/D&gt;&lt;D xsi:type="xsd:double"&gt;-1.760298&lt;/D&gt;&lt;D xsi:type="xsd:double"&gt;9.585869&lt;/D&gt;&lt;D xsi:type="xsd:double"&gt;12.542152&lt;/D&gt;&lt;D xsi:type="xsd:double"&gt;15.64089&lt;/D&gt;&lt;D xsi:type="xsd:double"&gt;10.178555&lt;/D&gt;&lt;D xsi:type="xsd:double"&gt;19.375778&lt;/D&gt;&lt;D xsi:type="xsd:double"&gt;22.739256&lt;/D&gt;&lt;D xsi:type="xsd:double"&gt;13.295436&lt;/D&gt;&lt;D xsi:type="xsd:double"&gt;15.0185585&lt;/D&gt;&lt;D xsi:type="xsd:double"&gt;21.632946&lt;/D&gt;&lt;D xsi:type="xsd:double"&gt;17.747295&lt;/D&gt;&lt;D xsi:type="xsd:double"&gt;26.268673&lt;/D&gt;&lt;D xsi:type="xsd:double"&gt;22.819592&lt;/D&gt;&lt;D xsi:type="xsd:double"&gt;16.160381&lt;/D&gt;&lt;D xsi:type="xsd:double"&gt;13.014054&lt;/D&gt;&lt;D xsi:type="xsd:double"&gt;18.318295&lt;/D&gt;&lt;D xsi:type="xsd:double"&gt;9.110964&lt;/D&gt;&lt;D xsi:type="xsd:double"&gt;14.654326&lt;/D&gt;&lt;D xsi:type="xsd:double"&gt;20.067417&lt;/D&gt;&lt;/FQL&gt;&lt;FQL&gt;&lt;Q&gt;EWC^FG_TOTAL_RETURNC(-10AY,0,AM)&lt;/Q&gt;&lt;R&gt;121&lt;/R&gt;&lt;C&gt;1&lt;/C&gt;&lt;D xsi:type="xsd:double"&gt;-10.110969&lt;/D&gt;&lt;D xsi:type="xsd:double"&gt;2.194786&lt;/D&gt;&lt;D xsi:type="xsd:double"&gt;-6.3758373&lt;/D&gt;&lt;D xsi:type="xsd:double"&gt;0.43615103&lt;/D&gt;&lt;D xsi:type="xsd:double"&gt;-0.14471412&lt;/D&gt;&lt;D xsi:type="xsd:double"&gt;-3.6594212&lt;/D&gt;&lt;D xsi:type="xsd:double"&gt;6.242943&lt;/D&gt;&lt;D xsi:type="xsd:double"&gt;2.407086&lt;/D&gt;&lt;D xsi:type="xsd:double"&gt;-3.4566224&lt;/D&gt;&lt;D xsi:type="xsd:double"&gt;-6.04918&lt;/D&gt;&lt;D xsi:type="xsd:double"&gt;-1.382488&lt;/D&gt;&lt;D xsi:type="xsd:double"&gt;-7.827103&lt;/D&gt;&lt;D xsi:type="xsd:double"&gt;5.2809477&lt;/D&gt;&lt;D xsi:type="xsd:double"&gt;-6.4205465&lt;/D&gt;&lt;D xsi:type="xsd:double"&gt;-5.3173246&lt;/D&gt;&lt;D xsi:type="xsd:double"&gt;-7.9605637&lt;/D&gt;&lt;D xsi:type="xsd:double"&gt;-0.29925108&lt;/D&gt;&lt;D xsi:type="xsd:double"&gt;14.6573305&lt;/D&gt;&lt;D xsi:type="xsd:double"&gt;2.530539&lt;/D&gt;&lt;D xsi:type="xsd:double"&gt;3.1489372&lt;/D&gt;&lt;D xsi:type="xsd:double"&gt;3.3415794&lt;/D&gt;&lt;D xsi:type="xsd:double"&gt;-0.8556068&lt;/D&gt;&lt;D xsi:type="xsd:double"&gt;3.6120176&lt;/D&gt;&lt;D xsi:type="xsd:double"&gt;-0.7050514&lt;/D&gt;&lt;D xsi:type="xsd:double"&gt;0.23669004&lt;/D&gt;&lt;D xsi:type="xsd:double"&gt;-0.43290257&lt;/D&gt;&lt;D xsi:type="xsd:double"&gt;6.4822197&lt;/D&gt;&lt;D xsi:type="xsd:double"&gt;0.24936199&lt;/D&gt;&lt;D xsi:type="xsd:double"&gt;3.1787634&lt;/D&gt;&lt;D xsi:type="xsd:double"&gt;-3.8419724&lt;/D&gt;&lt;D xsi:type="xsd:double"&gt;2.148509&lt;/D&gt;&lt;D xsi:type="xsd:double"&gt;-2.6937246&lt;/D&gt;&lt;D xsi:type="xsd:double"&gt;0.5308986&lt;/D&gt;&lt;D xsi:type="xsd:double"&gt;2.308023&lt;/D&gt;&lt;D xsi:type="xsd:double"&gt;1.0037184&lt;/D&gt;&lt;D xsi:type="xsd:double"&gt;4.085386&lt;/D&gt;&lt;D xsi:type="xsd:double"&gt;2.9349327&lt;/D&gt;&lt;D xsi:type="xsd:double"&gt;0.721395&lt;/D&gt;&lt;D xsi:type="xsd:double"&gt;-0.6139159&lt;/D&gt;&lt;D xsi:type="xsd:double"&gt;3.783214&lt;/D&gt;&lt;D xsi:type="xsd:double"&gt;-8.004022&lt;/D&gt;&lt;D xsi:type="xsd:double"&gt;2.0021915&lt;/D&gt;&lt;D xsi:type="xsd:double"&gt;-0.17845035&lt;/D&gt;&lt;D xsi:type="xsd:double"&gt;3.8255334&lt;/D&gt;&lt;D xsi:type="xsd:double"&gt;0.034427643&lt;/D&gt;&lt;D xsi:type="xsd:double"&gt;1.0368466&lt;/D&gt;&lt;D xsi:type="xsd:double"&gt;-1.1675835&lt;/D&gt;&lt;D xsi:type="xsd:double"&gt;-2.2585154&lt;/D&gt;&lt;D xsi:type="xsd:double"&gt;-2.2395968&lt;/D&gt;&lt;D xsi:type="xsd:double"&gt;-2.6181817&lt;/D&gt;&lt;D xsi:type="xsd:double"&gt;-4.6303215&lt;/D&gt;&lt;D xsi:type="xsd:double"&gt;2.5899887&lt;/D&gt;&lt;D xsi:type="xsd:double"&gt;4.578972&lt;/D&gt;&lt;D xsi:type="xsd:double"&gt;1.3729095&lt;/D&gt;&lt;D xsi:type="xsd:double"&gt;3.623724&lt;/D&gt;&lt;D xsi:type="xsd:double"&gt;-1.1656642&lt;/D&gt;&lt;D xsi:type="xsd:double"&gt;0.78628063&lt;/D&gt;&lt;D xsi:type="xsd:double"&gt;3.6638975&lt;/D&gt;&lt;D xsi:type="xsd:double"&gt;-2.7614772&lt;/D&gt;&lt;D xsi:type="xsd:double"&gt;2.0944238&lt;/D&gt;&lt;D xsi:type="xsd:double"&gt;-1.5646756&lt;/D&gt;&lt;D xsi:type="xsd:double"&gt;4.062164&lt;/D&gt;&lt;D xsi:type="xsd:double"&gt;0.06788969&lt;/D&gt;&lt;D xsi:type="xsd:double"&gt;3.1566858&lt;/D&gt;&lt;D xsi:type="xsd:double"&gt;0.73308945&lt;/D&gt;&lt;D xsi:type="xsd:double"&gt;-18.954681&lt;/D&gt;&lt;D xsi:type="xsd:double"&gt;-5.5510225&lt;/D&gt;&lt;D xsi:type="xsd:double"&gt;6.1365604&lt;/D&gt;&lt;D xsi:type="xsd:double"&gt;9.039092&lt;/D&gt;&lt;D xsi:type="xsd:double"&gt;-1.2564659&lt;/D&gt;&lt;D xsi:type="xsd:double"&gt;7.4866295&lt;/D&gt;&lt;D xsi:type="xsd:double"&gt;-1.2082458&lt;/D&gt;&lt;D xsi:type="xsd:double"&gt;2.8777003&lt;/D&gt;&lt;D xsi:type="xsd:double"&gt;1.1188745&lt;/D&gt;&lt;D xsi:type="xsd:double"&gt;9.232367&lt;/D&gt;&lt;D xsi:type="xsd:double"&gt;2.9182196&lt;/D&gt;&lt;D xsi:type="xsd:double"&gt;2.024281&lt;/D&gt;&lt;D xsi:type="xsd:double"&gt;2.9914618&lt;/D&gt;&lt;D xsi:type="xsd:double"&gt;3.9419055&lt;/D&gt;&lt;D xsi:type="xsd:double"&gt;4.9615145&lt;/D&gt;&lt;D xsi:type="xsd:double"&gt;3.512895&lt;/D&gt;&lt;D xsi:type="xsd:double"&gt;-1.6107738&lt;/D&gt;&lt;D xsi:type="xsd:double"&gt;0.9661794&lt;/D&gt;&lt;D xsi:type="xsd:double"&gt;-1.0100961&lt;/D&gt;&lt;D xsi:type="xsd:double"&gt;1.2620807&lt;/D&gt;&lt;D xsi:type="xsd:double"&gt;4.693711&lt;/D&gt;&lt;D xsi:type="xsd:double"&gt;-3.6727488&lt;/D&gt;&lt;D xsi:type="xsd:double"&gt;1.6672969&lt;/D&gt;&lt;D xsi:type="xsd:double"&gt;1.964891&lt;/D&gt;&lt;D xsi:type="xsd:double"&gt;-0.5138695&lt;/D&gt;&lt;D xsi:type="xsd:double"&gt;3.0216932&lt;/D&gt;&lt;D xsi:type="xsd:double"&gt;-11.857605&lt;/D&gt;&lt;D xsi:type="xsd:double"&gt;3.8113475&lt;/D&gt;&lt;D xsi:type="xsd:double"&gt;-6.8451524&lt;/D&gt;&lt;D xsi:type="xsd:double"&gt;5.748141&lt;/D&gt;&lt;D xsi:type="xsd:double"&gt;-2.241522&lt;/D&gt;&lt;D xsi:type="xsd:double"&gt;-11.550581&lt;/D&gt;&lt;D xsi:type="xsd:double"&gt;12.410879&lt;/D&gt;&lt;D xsi:type="xsd:double"&gt;-2.4214506&lt;/D&gt;&lt;D xsi:type="xsd:double"&gt;1.5770316&lt;/D&gt;&lt;D xsi:type="xsd:double"&gt;4.7211647&lt;/D&gt;&lt;D xsi:type="xsd:double"&gt;-7.382369&lt;/D&gt;&lt;D xsi:type="xsd:double"&gt;5.171895&lt;/D&gt;&lt;D xsi:type="xsd:double"&gt;2.2852182&lt;/D&gt;&lt;D xsi:type="xsd:double"&gt;-2.5862694&lt;/D&gt;&lt;D xsi:type="xsd:double"&gt;0.52785873&lt;/D&gt;&lt;D xsi:type="xsd:double"&gt;1.7503023&lt;/D&gt;&lt;D xsi:type="xsd:double"&gt;-2.4942756&lt;/D&gt;&lt;D xsi:type="xsd:double"&gt;-1.7641842&lt;/D&gt;&lt;D xsi:type="xsd:double"&gt;-0.35917163&lt;/D&gt;&lt;D xsi:type="xsd:double"&gt;5.3169129999999996&lt;/D&gt;&lt;D xsi:type="xsd:double"&gt;5.3233385&lt;/D&gt;&lt;D xsi:type="xsd:double"&gt;-0.24704933&lt;/D&gt;&lt;D xsi:type="xsd:double"&gt;3.4947753&lt;/D&gt;&lt;D xsi:type="xsd:double"&gt;0.9305954&lt;/D&gt;&lt;D xsi:type="xsd:double"&gt;0.60590506&lt;/D&gt;&lt;D xsi:type="xsd:double"&gt;-1.7282009&lt;/D&gt;&lt;D xsi:type="xsd:double"&gt;2.5337934&lt;/D&gt;&lt;D xsi:type="xsd:double"&gt;-0.760746&lt;/D&gt;&lt;D xsi:type="xsd:double"&gt;4.546654&lt;/D&gt;&lt;D xsi:type="xsd:double"&gt;4.6776295&lt;/D&gt;&lt;/FQL&gt;&lt;FQL&gt;&lt;Q&gt;ENZL^FMA_DIV_YLD(NTMA,-10AY,0,AM,"PORTAGG","MEANR")&lt;/Q&gt;&lt;R&gt;121&lt;/R&gt;&lt;C&gt;1&lt;/C&gt;&lt;D xsi:type="xsd:double"&gt;4.60804294886135&lt;/D&gt;&lt;D xsi:type="xsd:double"&gt;4.45415420827267&lt;/D&gt;&lt;D xsi:type="xsd:double"&gt;4.48248001040599&lt;/D&gt;&lt;D xsi:type="xsd:double"&gt;4.42916115987728&lt;/D&gt;&lt;D xsi:type="xsd:double"&gt;4.28390309573631&lt;/D&gt;&lt;D xsi:type="xsd:double"&gt;4.27732751488421&lt;/D&gt;&lt;D xsi:type="xsd:double"&gt;4.43109586472914&lt;/D&gt;&lt;D xsi:type="xsd:double"&gt;4.49794976265339&lt;/D&gt;&lt;D xsi:type="xsd:double"&gt;4.49928491435052&lt;/D&gt;&lt;D xsi:type="xsd:double"&gt;4.71045703063957&lt;/D&gt;&lt;D xsi:type="xsd:double"&gt;4.601923321143&lt;/D&gt;&lt;D xsi:type="xsd:double"&gt;5.12687247724132&lt;/D&gt;&lt;D xsi:type="xsd:double"&gt;5.25610306562709&lt;/D&gt;&lt;D xsi:type="xsd:double"&gt;4.90050284432619&lt;/D&gt;&lt;D xsi:type="xsd:double"&gt;4.84429380087766&lt;/D&gt;&lt;D xsi:type="xsd:double"&gt;4.86879400199452&lt;/D&gt;&lt;D xsi:type="xsd:double"&gt;4.96028495092613&lt;/D&gt;&lt;D xsi:type="xsd:double"&gt;4.69320986597194&lt;/D&gt;&lt;D xsi:type="xsd:double"&gt;4.56786187682055&lt;/D&gt;&lt;D xsi:type="xsd:double"&gt;4.51184290853695&lt;/D&gt;&lt;D xsi:type="xsd:double"&gt;4.36495976201959&lt;/D&gt;&lt;D xsi:type="xsd:double"&gt;4.34831305239146&lt;/D&gt;&lt;D xsi:type="xsd:double"&gt;4.143500053194&lt;/D&gt;&lt;D xsi:type="xsd:double"&gt;4.15035892748783&lt;/D&gt;&lt;D xsi:type="xsd:double"&gt;4.47425924384547&lt;/D&gt;&lt;D xsi:type="xsd:double"&gt;4.72836833308894&lt;/D&gt;&lt;D xsi:type="xsd:double"&gt;4.6078893654269&lt;/D&gt;&lt;D xsi:type="xsd:double"&gt;4.52298040871349&lt;/D&gt;&lt;D xsi:type="xsd:double"&gt;4.50667709990805&lt;/D&gt;&lt;D xsi:type="xsd:double"&gt;4.56289658551886&lt;/D&gt;&lt;D xsi:type="xsd:double"&gt;4.54815424712202&lt;/D&gt;&lt;D xsi:type="xsd:double"&gt;4.46217403152772&lt;/D&gt;&lt;D xsi:type="xsd:double"&gt;4.45983933935568&lt;/D&gt;&lt;D xsi:type="xsd:double"&gt;4.4243008329293&lt;/D&gt;&lt;D xsi:type="xsd:double"&gt;4.33732561258442&lt;/D&gt;&lt;D xsi:type="xsd:double"&gt;4.3716332364446&lt;/D&gt;&lt;D xsi:type="xsd:double"&gt;4.38127829522374&lt;/D&gt;&lt;D xsi:type="xsd:double"&gt;4.46071557559729&lt;/D&gt;&lt;D xsi:type="xsd:double"&gt;4.323959131258&lt;/D&gt;&lt;D xsi:type="xsd:double"&gt;4.23880014523521&lt;/D&gt;&lt;D xsi:type="xsd:double"&gt;4.56959119117219&lt;/D&gt;&lt;D xsi:type="xsd:double"&gt;4.21231062148988&lt;/D&gt;&lt;D xsi:type="xsd:double"&gt;4.23273643680641&lt;/D&gt;&lt;D xsi:type="xsd:double"&gt;4.18671693443111&lt;/D&gt;&lt;D xsi:type="xsd:double"&gt;4.02876136001886&lt;/D&gt;&lt;D xsi:type="xsd:double"&gt;4.03150732710809&lt;/D&gt;&lt;D xsi:type="xsd:double"&gt;4.06509938421979&lt;/D&gt;&lt;D xsi:type="xsd:double"&gt;4.048063402095&lt;/D&gt;&lt;D xsi:type="xsd:double"&gt;4.13340821914025&lt;/D&gt;&lt;D xsi:type="xsd:double"&gt;4.16232154472356&lt;/D&gt;&lt;D xsi:type="xsd:double"&gt;4.21620884508493&lt;/D&gt;&lt;D xsi:type="xsd:double"&gt;4.12146589501381&lt;/D&gt;&lt;D xsi:type="xsd:double"&gt;4.01629781746386&lt;/D&gt;&lt;D xsi:type="xsd:double"&gt;3.87700978697509&lt;/D&gt;&lt;D xsi:type="xsd:double"&gt;3.81576900980483&lt;/D&gt;&lt;D xsi:type="xsd:double"&gt;3.69133867957838&lt;/D&gt;&lt;D xsi:type="xsd:double"&gt;3.7424923247758&lt;/D&gt;&lt;D xsi:type="xsd:double"&gt;3.46403359255409&lt;/D&gt;&lt;D xsi:type="xsd:double"&gt;3.39516552295264&lt;/D&gt;&lt;D xsi:type="xsd:double"&gt;3.25420548643833&lt;/D&gt;&lt;D xsi:type="xsd:double"&gt;3.35361685793869&lt;/D&gt;&lt;D xsi:type="xsd:double"&gt;3.3417044045978&lt;/D&gt;&lt;D xsi:type="xsd:double"&gt;3.2630618938731&lt;/D&gt;&lt;D xsi:type="xsd:double"&gt;3.16115836959196&lt;/D&gt;&lt;D xsi:type="xsd:double"&gt;3.09484629852521&lt;/D&gt;&lt;D xsi:type="xsd:double"&gt;3.27481751990317&lt;/D&gt;&lt;D xsi:type="xsd:double"&gt;2.99315351827277&lt;/D&gt;&lt;D xsi:type="xsd:double"&gt;2.64325409117421&lt;/D&gt;&lt;D xsi:type="xsd:double"&gt;2.54420659167294&lt;/D&gt;&lt;D xsi:type="xsd:double"&gt;2.48601789967298&lt;/D&gt;&lt;D xsi:type="xsd:double"&gt;2.36784486276127&lt;/D&gt;&lt;D xsi:type="xsd:double"&gt;2.40844548440481&lt;/D&gt;&lt;D xsi:type="xsd:double"&gt;2.35745166024548&lt;/D&gt;&lt;D xsi:type="xsd:double"&gt;2.37147913026698&lt;/D&gt;&lt;D xsi:type="xsd:double"&gt;2.38566244040939&lt;/D&gt;&lt;D xsi:type="xsd:double"&gt;2.33709414348483&lt;/D&gt;&lt;D xsi:type="xsd:double"&gt;2.54476426372633&lt;/D&gt;&lt;D xsi:type="xsd:double"&gt;2.60991159570341&lt;/D&gt;&lt;D xsi:type="xsd:double"&gt;2.58053085717825&lt;/D&gt;&lt;D xsi:type="xsd:double"&gt;2.60878357093241&lt;/D&gt;&lt;D xsi:type="xsd:double"&gt;2.68850091047967&lt;/D&gt;&lt;D xsi:type="xsd:double"&gt;2.61377344995347&lt;/D&gt;&lt;D xsi:type="xsd:double"&gt;2.65935117412741&lt;/D&gt;&lt;D xsi:type="xsd:double"&gt;2.60295708584754&lt;/D&gt;&lt;D xsi:type="xsd:double"&gt;2.66338142329113&lt;/D&gt;&lt;D xsi:type="xsd:double"&gt;2.68027907464165&lt;/D&gt;&lt;D xsi:type="xsd:double"&gt;2.78182117383517&lt;/D&gt;&lt;D xsi:type="xsd:double"&gt;2.80642564176586&lt;/D&gt;&lt;D xsi:type="xsd:double"&gt;2.91782021728626&lt;/D&gt;&lt;D xsi:type="xsd:double"&gt;3.06457471958569&lt;/D&gt;&lt;D xsi:type="xsd:double"&gt;3.08951799673979&lt;/D&gt;&lt;D xsi:type="xsd:double"&gt;3.2203571026946&lt;/D&gt;&lt;D xsi:type="xsd:double"&gt;3.2704017939411&lt;/D&gt;&lt;D xsi:type="xsd:double"&gt;3.28893934180277&lt;/D&gt;&lt;D xsi:type="xsd:double"&gt;3.19480063943491&lt;/D&gt;&lt;D xsi:type="xsd:double"&gt;3.18309614436295&lt;/D&gt;&lt;D xsi:type="xsd:double"&gt;3.461512833119&lt;/D&gt;&lt;D xsi:type="xsd:double"&gt;3.43946487997118&lt;/D&gt;&lt;D xsi:type="xsd:double"&gt;3.42404910684955&lt;/D&gt;&lt;D xsi:type="xsd:double"&gt;3.39620861869628&lt;/D&gt;&lt;D xsi:type="xsd:double"&gt;3.27312817338828&lt;/D&gt;&lt;D xsi:type="xsd:double"&gt;3.43694005449514&lt;/D&gt;&lt;D xsi:type="xsd:double"&gt;3.40091187781202&lt;/D&gt;&lt;D xsi:type="xsd:double"&gt;3.401555364285&lt;/D&gt;&lt;D xsi:type="xsd:double"&gt;3.4959824490547&lt;/D&gt;&lt;D xsi:type="xsd:double"&gt;3.43528506665211&lt;/D&gt;&lt;D xsi:type="xsd:double"&gt;3.45861868777743&lt;/D&gt;&lt;D xsi:type="xsd:double"&gt;3.38417184156553&lt;/D&gt;&lt;D xsi:type="xsd:double"&gt;3.42429086493373&lt;/D&gt;&lt;D xsi:type="xsd:double"&gt;3.46446846050103&lt;/D&gt;&lt;D xsi:type="xsd:double"&gt;3.08733886672348&lt;/D&gt;&lt;D xsi:type="xsd:double"&gt;2.99034787402029&lt;/D&gt;&lt;D xsi:type="xsd:double"&gt;2.98975730644541&lt;/D&gt;&lt;D xsi:type="xsd:double"&gt;2.74374244409766&lt;/D&gt;&lt;D xsi:type="xsd:double"&gt;2.76002114117714&lt;/D&gt;&lt;D xsi:type="xsd:double"&gt;2.7733518130699&lt;/D&gt;&lt;D xsi:type="xsd:double"&gt;2.74341579374842&lt;/D&gt;&lt;D xsi:type="xsd:double"&gt;2.71667477151527&lt;/D&gt;&lt;D xsi:type="xsd:double"&gt;2.60385993362954&lt;/D&gt;&lt;D xsi:type="xsd:double"&gt;3.03249168173727&lt;/D&gt;&lt;D xsi:type="xsd:double"&gt;3.05297533510851&lt;/D&gt;&lt;/FQL&gt;&lt;FQL&gt;&lt;Q&gt;EWI^FMA_PE(LTMA,-10AY,0,AM,"PORTAGG","MEANR")&lt;/Q&gt;&lt;R&gt;121&lt;/R&gt;&lt;C&gt;1&lt;/C&gt;&lt;D xsi:type="xsd:double"&gt;16.6057970202461&lt;/D&gt;&lt;D xsi:type="xsd:double"&gt;17.2315910435505&lt;/D&gt;&lt;D xsi:type="xsd:double"&gt;18.0903703036489&lt;/D&gt;&lt;D xsi:type="xsd:double"&gt;17.9847340611129&lt;/D&gt;&lt;D xsi:type="xsd:double"&gt;25.8349795371611&lt;/D&gt;&lt;D xsi:type="xsd:double"&gt;44.2928839678598&lt;/D&gt;&lt;D xsi:type="xsd:double"&gt;41.630709008208&lt;/D&gt;&lt;D xsi:type="xsd:double"&gt;39.0103002593332&lt;/D&gt;&lt;D xsi:type="xsd:double"&gt;35.7434112288035&lt;/D&gt;&lt;D xsi:type="xsd:double"&gt;32.8268562504785&lt;/D&gt;&lt;D xsi:type="xsd:double"&gt;30.7090253759885&lt;/D&gt;&lt;D xsi:type="xsd:double"&gt;26.9884481864461&lt;/D&gt;&lt;D xsi:type="xsd:double"&gt;24.7980715969217&lt;/D&gt;&lt;D xsi:type="xsd:double"&gt;22.550882173783&lt;/D&gt;&lt;D xsi:type="xsd:double"&gt;19.7405921678959&lt;/D&gt;&lt;D xsi:type="xsd:double"&gt;16.9106685130241&lt;/D&gt;&lt;D xsi:type="xsd:double"&gt;13.7203311480756&lt;/D&gt;&lt;D xsi:type="xsd:double"&gt;15.3663753515082&lt;/D&gt;&lt;D xsi:type="xsd:double"&gt;15.1288093531516&lt;/D&gt;&lt;D xsi:type="xsd:double"&gt;15.2793239681744&lt;/D&gt;&lt;D xsi:type="xsd:double"&gt;14.7941789169836&lt;/D&gt;&lt;D xsi:type="xsd:double"&gt;14.3120535116153&lt;/D&gt;&lt;D xsi:type="xsd:double"&gt;15.0571723179012&lt;/D&gt;&lt;D xsi:type="xsd:double"&gt;15.0932806233599&lt;/D&gt;&lt;D xsi:type="xsd:double"&gt;14.7413509177446&lt;/D&gt;&lt;D xsi:type="xsd:double"&gt;14.719741088475&lt;/D&gt;&lt;D xsi:type="xsd:double"&gt;15.600308867887&lt;/D&gt;&lt;D xsi:type="xsd:double"&gt;28.1419495191346&lt;/D&gt;&lt;D xsi:type="xsd:double"&gt;20.2113008032908&lt;/D&gt;&lt;D xsi:type="xsd:double"&gt;83.6936885776985&lt;/D&gt;&lt;D xsi:type="xsd:double"&gt;76.3954207485121&lt;/D&gt;&lt;D xsi:type="xsd:double"&gt;69.6144057208176&lt;/D&gt;&lt;D xsi:type="xsd:double"&gt;62.4456491444949&lt;/D&gt;&lt;D xsi:type="xsd:double"&gt;55.2211128063819&lt;/D&gt;&lt;D xsi:type="xsd:double"&gt;48.0280372680491&lt;/D&gt;&lt;D xsi:type="xsd:double"&gt;41.2034559082728&lt;/D&gt;&lt;D xsi:type="xsd:double"&gt;34.0636638839954&lt;/D&gt;&lt;D xsi:type="xsd:double"&gt;27.0356986220154&lt;/D&gt;&lt;D xsi:type="xsd:double"&gt;20.9907625514815&lt;/D&gt;&lt;D xsi:type="xsd:double"&gt;15.8042935454229&lt;/D&gt;&lt;D xsi:type="xsd:double"&gt;14.2880606067901&lt;/D&gt;&lt;D xsi:type="xsd:double"&gt;14.213166354276&lt;/D&gt;&lt;D xsi:type="xsd:double"&gt;14.1343701222616&lt;/D&gt;&lt;D xsi:type="xsd:double"&gt;14.1448573713838&lt;/D&gt;&lt;D xsi:type="xsd:double"&gt;13.3380397091967&lt;/D&gt;&lt;D xsi:type="xsd:double"&gt;13.3399158780633&lt;/D&gt;&lt;D xsi:type="xsd:double"&gt;12.9147783640993&lt;/D&gt;&lt;D xsi:type="xsd:double"&gt;12.548947729031&lt;/D&gt;&lt;D xsi:type="xsd:double"&gt;11.8737390878584&lt;/D&gt;&lt;D xsi:type="xsd:double"&gt;11.4554618129675&lt;/D&gt;&lt;D xsi:type="xsd:double"&gt;10.6110283031401&lt;/D&gt;&lt;D xsi:type="xsd:double"&gt;10.906421381508&lt;/D&gt;&lt;D xsi:type="xsd:double"&gt;10.7399408502187&lt;/D&gt;&lt;D xsi:type="xsd:double"&gt;11.2641008276793&lt;/D&gt;&lt;D xsi:type="xsd:double"&gt;11.3318120102735&lt;/D&gt;&lt;D xsi:type="xsd:double"&gt;11.1527200179335&lt;/D&gt;&lt;D xsi:type="xsd:double"&gt;10.963888846782&lt;/D&gt;&lt;D xsi:type="xsd:double"&gt;11.3140670997876&lt;/D&gt;&lt;D xsi:type="xsd:double"&gt;10.8206329945518&lt;/D&gt;&lt;D xsi:type="xsd:double"&gt;11.2740341169221&lt;/D&gt;&lt;D xsi:type="xsd:double"&gt;11.261260450819&lt;/D&gt;&lt;D xsi:type="xsd:double"&gt;12.001388835943&lt;/D&gt;&lt;D xsi:type="xsd:double"&gt;11.8535451330866&lt;/D&gt;&lt;D xsi:type="xsd:double"&gt;12.3495105864705&lt;/D&gt;&lt;D xsi:type="xsd:double"&gt;12.6727509876463&lt;/D&gt;&lt;D xsi:type="xsd:double"&gt;10.970345277721&lt;/D&gt;&lt;D xsi:type="xsd:double"&gt;11.3594125527211&lt;/D&gt;&lt;D xsi:type="xsd:double"&gt;13.4476460483447&lt;/D&gt;&lt;D xsi:type="xsd:double"&gt;15.8441582442781&lt;/D&gt;&lt;D xsi:type="xsd:double"&gt;16.8457097275075&lt;/D&gt;&lt;D xsi:type="xsd:double"&gt;17.5033685294395&lt;/D&gt;&lt;D xsi:type="xsd:double"&gt;18.2037766145879&lt;/D&gt;&lt;D xsi:type="xsd:double"&gt;18.7647342688994&lt;/D&gt;&lt;D xsi:type="xsd:double"&gt;20.4665684500003&lt;/D&gt;&lt;D xsi:type="xsd:double"&gt;22.557438163568&lt;/D&gt;&lt;D xsi:type="xsd:double"&gt;23.8226769907425&lt;/D&gt;&lt;D xsi:type="xsd:double"&gt;21.4345609742454&lt;/D&gt;&lt;D xsi:type="xsd:double"&gt;20.1580625267803&lt;/D&gt;&lt;D xsi:type="xsd:double"&gt;19.5983226751671&lt;/D&gt;&lt;D xsi:type="xsd:double"&gt;18.917448315612&lt;/D&gt;&lt;D xsi:type="xsd:double"&gt;18.5371671387978&lt;/D&gt;&lt;D xsi:type="xsd:double"&gt;17.703134076901&lt;/D&gt;&lt;D xsi:type="xsd:double"&gt;16.3607780521246&lt;/D&gt;&lt;D xsi:type="xsd:double"&gt;15.2641800257466&lt;/D&gt;&lt;D xsi:type="xsd:double"&gt;14.6235703659098&lt;/D&gt;&lt;D xsi:type="xsd:double"&gt;13.9200714173492&lt;/D&gt;&lt;D xsi:type="xsd:double"&gt;12.3618843121288&lt;/D&gt;&lt;D xsi:type="xsd:double"&gt;12.1212324280656&lt;/D&gt;&lt;D xsi:type="xsd:double"&gt;11.8712636325936&lt;/D&gt;&lt;D xsi:type="xsd:double"&gt;10.4856998284272&lt;/D&gt;&lt;D xsi:type="xsd:double"&gt;10.5389922310933&lt;/D&gt;&lt;D xsi:type="xsd:double"&gt;10.1636245148115&lt;/D&gt;&lt;D xsi:type="xsd:double"&gt;9.67727762348045&lt;/D&gt;&lt;D xsi:type="xsd:double"&gt;9.32628435033607&lt;/D&gt;&lt;D xsi:type="xsd:double"&gt;8.88966621198122&lt;/D&gt;&lt;D xsi:type="xsd:double"&gt;8.47891126965454&lt;/D&gt;&lt;D xsi:type="xsd:double"&gt;7.96964348577756&lt;/D&gt;&lt;D xsi:type="xsd:double"&gt;8.45674707321473&lt;/D&gt;&lt;D xsi:type="xsd:double"&gt;7.71614793984135&lt;/D&gt;&lt;D xsi:type="xsd:double"&gt;7.84803642779382&lt;/D&gt;&lt;D xsi:type="xsd:double"&gt;8.26053351230494&lt;/D&gt;&lt;D xsi:type="xsd:double"&gt;8.29206594207187&lt;/D&gt;&lt;D xsi:type="xsd:double"&gt;8.33537326093632&lt;/D&gt;&lt;D xsi:type="xsd:double"&gt;8.29052273421194&lt;/D&gt;&lt;D xsi:type="xsd:double"&gt;8.44372267252691&lt;/D&gt;&lt;D xsi:type="xsd:double"&gt;8.53560528188618&lt;/D&gt;&lt;D xsi:type="xsd:double"&gt;8.29591914860069&lt;/D&gt;&lt;D xsi:type="xsd:double"&gt;8.30332205051294&lt;/D&gt;&lt;D xsi:type="xsd:double"&gt;8.23960098705099&lt;/D&gt;&lt;D xsi:type="xsd:double"&gt;8.11106250986128&lt;/D&gt;&lt;D xsi:type="xsd:double"&gt;8.79526286438488&lt;/D&gt;&lt;D xsi:type="xsd:double"&gt;8.94239704001556&lt;/D&gt;&lt;D xsi:type="xsd:double"&gt;9.0846110574636&lt;/D&gt;&lt;D xsi:type="xsd:double"&gt;9.38632434125416&lt;/D&gt;&lt;D xsi:type="xsd:double"&gt;9.43627550855&lt;/D&gt;&lt;D xsi:type="xsd:double"&gt;9.55563810039548&lt;/D&gt;&lt;D xsi:type="xsd:double"&gt;9.58767508016421&lt;/D&gt;&lt;D xsi:type="xsd:double"&gt;9.63407798270081&lt;/D&gt;&lt;D xsi:type="xsd:double"&gt;9.46304624037155&lt;/D&gt;&lt;D xsi:type="xsd:double"&gt;9.94611442941338&lt;/D&gt;&lt;D xsi:type="xsd:double"&gt;10.4237325842683&lt;/D&gt;&lt;/FQL&gt;&lt;FQL&gt;&lt;Q&gt;DDR3512M-FDS^FG_PRICE_CHANGE(0,-1AY)&lt;/Q&gt;&lt;R&gt;1&lt;/R&gt;&lt;C&gt;1&lt;/C&gt;&lt;D xsi:type="xsd:double"&gt;-12.3521936031474&lt;/D&gt;&lt;/FQL&gt;&lt;FQL&gt;&lt;Q&gt;PASP-FDS^FG_PRICE_CHANGE(0,-1AY)&lt;/Q&gt;&lt;R&gt;1&lt;/R&gt;&lt;C&gt;1&lt;/C&gt;&lt;D xsi:type="xsd:double"&gt;-6.22807017543859&lt;/D&gt;&lt;/FQL&gt;&lt;FQL&gt;&lt;Q&gt;PLATI-FDS^FG_PRICE_CHANGE(0,-1AY)&lt;/Q&gt;&lt;R&gt;1&lt;/R&gt;&lt;C&gt;1&lt;/C&gt;&lt;D xsi:type="xsd:double"&gt;7.50279955207167&lt;/D&gt;&lt;/FQL&gt;&lt;FQL&gt;&lt;Q&gt;W-FDS^FG_PRICE_CHANGE(0,-1AY)&lt;/Q&gt;&lt;R&gt;1&lt;/R&gt;&lt;C&gt;1&lt;/C&gt;&lt;D xsi:type="xsd:double"&gt;8.10205908683974&lt;/D&gt;&lt;/FQL&gt;&lt;FQL&gt;&lt;Q&gt;COPP-FDS^FG_PRICE_CHANGE(0,-1AY)&lt;/Q&gt;&lt;R&gt;1&lt;/R&gt;&lt;C&gt;1&lt;/C&gt;&lt;D xsi:type="xsd:double"&gt;20.7323788546255&lt;/D&gt;&lt;/FQL&gt;&lt;FQL&gt;&lt;Q&gt;EWQ^FG_PRICE_MAVG(0,,,,30)&lt;/Q&gt;&lt;R&gt;1&lt;/R&gt;&lt;C&gt;1&lt;/C&gt;&lt;D xsi:type="xsd:double"&gt;39.514&lt;/D&gt;&lt;/FQL&gt;&lt;FQL&gt;&lt;Q&gt;EWL^FG_PRICE_MAVG(0,,,,30)&lt;/Q&gt;&lt;R&gt;1&lt;/R&gt;&lt;C&gt;1&lt;/C&gt;&lt;D xsi:type="xsd:double"&gt;51.457&lt;/D&gt;&lt;/FQL&gt;&lt;FQL&gt;&lt;Q&gt;EWA^FG_PRICE_MAVG(0,,,,30)&lt;/Q&gt;&lt;R&gt;1&lt;/R&gt;&lt;C&gt;1&lt;/C&gt;&lt;D xsi:type="xsd:double"&gt;26.248333&lt;/D&gt;&lt;/FQL&gt;&lt;FQL&gt;&lt;Q&gt;EWU^FG_COMPANY_NAME&lt;/Q&gt;&lt;R&gt;1&lt;/R&gt;&lt;C&gt;1&lt;/C&gt;&lt;D xsi:type="xsd:string"&gt;iShares MSCI United Kingdom ETF&lt;/D&gt;&lt;/FQL&gt;&lt;FQL&gt;&lt;Q&gt;SPY^FG_TOTAL_RETURNC(0,-6AM)&lt;/Q&gt;&lt;R&gt;1&lt;/R&gt;&lt;C&gt;1&lt;/C&gt;&lt;D xsi:type="xsd:double"&gt;12.768734&lt;/D&gt;&lt;/FQL&gt;&lt;FQL&gt;&lt;Q&gt;URTH^P_PRICE(0)/P_PRICE_LOW_PR(0,,,,,,"PRICE","INTRA","52W")-1&lt;/Q&gt;&lt;R&gt;1&lt;/R&gt;&lt;C&gt;1&lt;/C&gt;&lt;D xsi:type="xsd:double"&gt;0.36564958&lt;/D&gt;&lt;/FQL&gt;&lt;FQL&gt;&lt;Q&gt;VWO^FMA_PCT_ABOVE_MAVG(200,0,,,,"PORTAGG")&lt;/Q&gt;&lt;R&gt;1&lt;/R&gt;&lt;C&gt;1&lt;/C&gt;&lt;D xsi:type="xsd:double"&gt;36.8833368621639&lt;/D&gt;&lt;/FQL&gt;&lt;FQL&gt;&lt;Q&gt;EWI^PERCENT_CHANGE(FMA_EPS(+1,0,,,,"PORTAGG","MEAN"),FMA_EPS(+1,-3AM,,,,"PORTAGG","MEAN"))&lt;/Q&gt;&lt;R&gt;1&lt;/R&gt;&lt;C&gt;1&lt;/C&gt;&lt;D xsi:type="xsd:double"&gt;-6.40363792583883&lt;/D&gt;&lt;/FQL&gt;&lt;FQL&gt;&lt;Q&gt;EWN^FG_TOTAL_RETURNC(0,-3AM)&lt;/Q&gt;&lt;R&gt;1&lt;/R&gt;&lt;C&gt;1&lt;/C&gt;&lt;D xsi:type="xsd:double"&gt;-4.6880903&lt;/D&gt;&lt;/FQL&gt;&lt;FQL&gt;&lt;Q&gt;EWU^FG_TOTAL_RETURNC(0,-12AM)&lt;/Q&gt;&lt;R&gt;1&lt;/R&gt;&lt;C&gt;1&lt;/C&gt;&lt;D xsi:type="xsd:double"&gt;19.234324&lt;/D&gt;&lt;/FQL&gt;&lt;FQL&gt;&lt;Q&gt;EWL^PERCENT_CHANGE(FMA_EPS(+1,0,,,,"PORTAGG","MEAN"),FMA_EPS(+1,-1AM,,,,"PORTAGG","MEAN"))&lt;/Q&gt;&lt;R&gt;1&lt;/R&gt;&lt;C&gt;1&lt;/C&gt;&lt;D xsi:type="xsd:double"&gt;-1.67209260923939&lt;/D&gt;&lt;/FQL&gt;&lt;FQL&gt;&lt;Q&gt;EWG^FG_TOTAL_RETURNC(0,-1AM)&lt;/Q&gt;&lt;R&gt;1&lt;/R&gt;&lt;C&gt;1&lt;/C&gt;&lt;D xsi:type="xsd:double"&gt;4.302442&lt;/D&gt;&lt;/FQL&gt;&lt;FQL&gt;&lt;Q&gt;EWA^FG_TOTAL_RETURNC(0,-6AM)&lt;/Q&gt;&lt;R&gt;1&lt;/R&gt;&lt;C&gt;1&lt;/C&gt;&lt;D xsi:type="xsd:double"&gt;10.468793&lt;/D&gt;&lt;/FQL&gt;&lt;FQL&gt;&lt;Q&gt;FXI^FMA_COS_DOWN("EPS","1M",+1,0,,,"PORTAGG","MEANR")&lt;/Q&gt;&lt;R&gt;1&lt;/R&gt;&lt;C&gt;1&lt;/C&gt;&lt;D xsi:type="xsd:double"&gt;13&lt;/D&gt;&lt;/FQL&gt;&lt;FQL&gt;&lt;Q&gt;VGK^FMA_COS_UP("EPS","1M",+1,0,,,"PORTAGG","MEANR")&lt;/Q&gt;&lt;R&gt;1&lt;/R&gt;&lt;C&gt;1&lt;/C&gt;&lt;D xsi:type="xsd:double"&gt;427&lt;/D&gt;&lt;/FQL&gt;&lt;FQL&gt;&lt;Q&gt;QQQ^SIZE(FG_CONSTITUENTS)&lt;/Q&gt;&lt;R&gt;1&lt;/R&gt;&lt;C&gt;1&lt;/C&gt;&lt;D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xsi:type="xsd:double"&gt;40&lt;/D&gt;&lt;/FQL&gt;&lt;FQL&gt;&lt;Q&gt;EWA^FMA_RBICS_REV_CURRENT(30, LOC, "PORTAGG")&lt;/Q&gt;&lt;R&gt;1&lt;/R&gt;&lt;C&gt;1&lt;/C&gt;&lt;D xsi:type="xsd:double"&gt;43.2962109543241&lt;/D&gt;&lt;/FQL&gt;&lt;FQL&gt;&lt;Q&gt;TRYSE10Y-FDS^FG_YIELD_NAME&lt;/Q&gt;&lt;R&gt;1&lt;/R&gt;&lt;C&gt;1&lt;/C&gt;&lt;D xsi:type="xsd:string"&gt;Sweden Benchmark Bond - 10 Year&lt;/D&gt;&lt;/FQL&gt;&lt;FQL&gt;&lt;Q&gt;SPY^FG_COMPANY_NAME&lt;/Q&gt;&lt;R&gt;1&lt;/R&gt;&lt;C&gt;1&lt;/C&gt;&lt;D xsi:type="xsd:string"&gt;SPDR S&amp;amp;P 500 ETF Trust&lt;/D&gt;&lt;/FQL&gt;&lt;FQL&gt;&lt;Q&gt;REFCHMPR-FDS^PROPER_NAME(0,,,"SECURITY","NAME")&lt;/Q&gt;&lt;R&gt;1&lt;/R&gt;&lt;C&gt;1&lt;/C&gt;&lt;D xsi:type="xsd:string"&gt;Swiss Policy Rate - Sight Deposit Rate&lt;/D&gt;&lt;/FQL&gt;&lt;FQL&gt;&lt;Q&gt;TRYIT10Y-FDS^PCTCHG(FG_YIELD(0,,,,"YTM"),FG_YIELD(-3AM,,,,"YTM"))&lt;/Q&gt;&lt;R&gt;1&lt;/R&gt;&lt;C&gt;1&lt;/C&gt;&lt;D xsi:type="xsd:double"&gt;-7.762202&lt;/D&gt;&lt;/FQL&gt;&lt;FQL&gt;&lt;Q&gt;TRYJP10Y-FDS^PCTCHG(FG_YIELD(0,,,,"YTM"),FG_YIELD(-3AM,,,,"YTM"))&lt;/Q&gt;&lt;R&gt;1&lt;/R&gt;&lt;C&gt;1&lt;/C&gt;&lt;D xsi:type="xsd:double"&gt;-12.937701&lt;/D&gt;&lt;/FQL&gt;&lt;FQL&gt;&lt;Q&gt;TRYNL10Y-FDS^FG_YIELD(0,,,,"YTM")&lt;/Q&gt;&lt;R&gt;1&lt;/R&gt;&lt;C&gt;1&lt;/C&gt;&lt;D xsi:type="xsd:double"&gt;2.556&lt;/D&gt;&lt;/FQL&gt;&lt;FQL&gt;&lt;Q&gt;TRYCA10Y-FDS^FG_YIELD(0,,,,"YTM")&lt;/Q&gt;&lt;R&gt;1&lt;/R&gt;&lt;C&gt;1&lt;/C&gt;&lt;D xsi:type="xsd:double"&gt;3.2347&lt;/D&gt;&lt;/FQL&gt;&lt;FQL&gt;&lt;Q&gt;CC_CA^IMF_IFS_RCPI_Q(0)&lt;/Q&gt;&lt;R&gt;0&lt;/R&gt;&lt;C&gt;0&lt;/C&gt;&lt;/FQL&gt;&lt;FQL&gt;&lt;Q&gt;VGK^JULIAN(FMA_DIV_YLD(NTMA,NOW,NOW,M,"PORTAGG","MEANR").DATES)&lt;/Q&gt;&lt;R&gt;1&lt;/R&gt;&lt;C&gt;1&lt;/C&gt;&lt;D xsi:type="xsd:long"&gt;45504&lt;/D&gt;&lt;/FQL&gt;&lt;FQL&gt;&lt;Q&gt;EWN^FMA_EVAL_EBITDA(NTMA,0,,,"PORTAGG","MEANR")&lt;/Q&gt;&lt;R&gt;1&lt;/R&gt;&lt;C&gt;1&lt;/C&gt;&lt;D xsi:type="xsd:double"&gt;12.015913510856&lt;/D&gt;&lt;/FQL&gt;&lt;FQL&gt;&lt;Q&gt;SPY^FMA_DIV_YLD(NTMA,NOW,NOW,M,"PORTAGG","MEANR")&lt;/Q&gt;&lt;R&gt;1&lt;/R&gt;&lt;C&gt;1&lt;/C&gt;&lt;D xsi:type="xsd:double"&gt;1.346001568938&lt;/D&gt;&lt;/FQL&gt;&lt;FQL&gt;&lt;Q&gt;EWU^FMA_PE(LTM,0,,,"PORTAGG","MEANR")&lt;/Q&gt;&lt;R&gt;1&lt;/R&gt;&lt;C&gt;1&lt;/C&gt;&lt;D xsi:type="xsd:double"&gt;13.8577746054872&lt;/D&gt;&lt;/FQL&gt;&lt;FQL&gt;&lt;Q&gt;EWG^FMA_EVAL_EBIT(LTMA,NOW,NOW,M,"PORTAGG","MEANR")&lt;/Q&gt;&lt;R&gt;1&lt;/R&gt;&lt;C&gt;1&lt;/C&gt;&lt;D xsi:type="xsd:double"&gt;14.6994790732026&lt;/D&gt;&lt;/FQL&gt;&lt;FQL&gt;&lt;Q&gt;EWA^FG_FCF_YIELD_NTM(0)&lt;/Q&gt;&lt;R&gt;1&lt;/R&gt;&lt;C&gt;1&lt;/C&gt;&lt;D xsi:type="xsd:double"&gt;4.59401223020662&lt;/D&gt;&lt;/FQL&gt;&lt;FQL&gt;&lt;Q&gt;EWQ^FG_COMPANY_NAME&lt;/Q&gt;&lt;R&gt;1&lt;/R&gt;&lt;C&gt;1&lt;/C&gt;&lt;D xsi:type="xsd:string"&gt;iShares MSCI France ETF&lt;/D&gt;&lt;/FQL&gt;&lt;FQL&gt;&lt;Q&gt;EWC^FG_COMPANY_NAME&lt;/Q&gt;&lt;R&gt;1&lt;/R&gt;&lt;C&gt;1&lt;/C&gt;&lt;D xsi:type="xsd:string"&gt;iShares MSCI Canada ETF&lt;/D&gt;&lt;/FQL&gt;&lt;FQL&gt;&lt;Q&gt;EWL^FG_COMPANY_NAME&lt;/Q&gt;&lt;R&gt;1&lt;/R&gt;&lt;C&gt;1&lt;/C&gt;&lt;D xsi:type="xsd:string"&gt;iShares MSCI Switzerland ETF&lt;/D&gt;&lt;/FQL&gt;&lt;FQL&gt;&lt;Q&gt;USO^FG_TOTAL_RETURNC(0,-1AM)&lt;/Q&gt;&lt;R&gt;1&lt;/R&gt;&lt;C&gt;1&lt;/C&gt;&lt;D xsi:type="xsd:double"&gt;16.143967&lt;/D&gt;&lt;/FQL&gt;&lt;FQL&gt;&lt;Q&gt;GLD^FG_TOTAL_RETURNC(0,-1AM)&lt;/Q&gt;&lt;R&gt;1&lt;/R&gt;&lt;C&gt;1&lt;/C&gt;&lt;D xsi:type="xsd:double"&gt;4.3848395&lt;/D&gt;&lt;/FQL&gt;&lt;FQL&gt;&lt;Q&gt;ENZL^FMA_ROE(NTMA,-20AY,NOW,FY,"PORTAGG","MEANR")&lt;/Q&gt;&lt;R&gt;20&lt;/R&gt;&lt;C&gt;1&lt;/C&gt;&lt;D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xsi:type="xsd:double"&gt;9.00388709577871&lt;/D&gt;&lt;D xsi:type="xsd:double"&gt;7.53226388544375&lt;/D&gt;&lt;D xsi:type="xsd:double"&gt;6.44400184436727&lt;/D&gt;&lt;D xsi:type="xsd:double"&gt;7.76896899459677&lt;/D&gt;&lt;D xsi:type="xsd:double"&gt;6.57910752236192&lt;/D&gt;&lt;/FQL&gt;&lt;FQL&gt;&lt;Q&gt;TRY10Y-FDS^FG_YIELD(-10AY,0,Y,,"YTM")&lt;/Q&gt;&lt;R&gt;10&lt;/R&gt;&lt;C&gt;1&lt;/C&gt;&lt;D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xsi:type="xsd:double"&gt;2.574&lt;/D&gt;&lt;/FQL&gt;&lt;FQL&gt;&lt;Q&gt;ENZL^FG_COMPANY_NAME&lt;/Q&gt;&lt;R&gt;1&lt;/R&gt;&lt;C&gt;1&lt;/C&gt;&lt;D xsi:type="xsd:string"&gt;iShares MSCI New Zealand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xsi:type="xsd:double"&gt;-1.5517712&lt;/D&gt;&lt;/FQL&gt;&lt;FQL&gt;&lt;Q&gt;USDANG^FG_PRICE_CHANGE(0,-6AM)&lt;/Q&gt;&lt;R&gt;1&lt;/R&gt;&lt;C&gt;1&lt;/C&gt;&lt;D xsi:type="xsd:double"&gt;0&lt;/D&gt;&lt;/FQL&gt;&lt;FQL&gt;&lt;Q&gt;USDUSD^FG_PRICE_CHANGE(0,-6AM)&lt;/Q&gt;&lt;R&gt;1&lt;/R&gt;&lt;C&gt;1&lt;/C&gt;&lt;D xsi:type="xsd:double"&gt;0&lt;/D&gt;&lt;/FQL&gt;&lt;FQL&gt;&lt;Q&gt;USDGBP^FG_PRICE_CHANGE(0,-6AM)&lt;/Q&gt;&lt;R&gt;1&lt;/R&gt;&lt;C&gt;1&lt;/C&gt;&lt;D xsi:type="xsd:double"&gt;-3.7163258&lt;/D&gt;&lt;/FQL&gt;&lt;FQL&gt;&lt;Q&gt;USDJPY^FG_PRICE_CHANGE(0,-6AM)&lt;/Q&gt;&lt;R&gt;1&lt;/R&gt;&lt;C&gt;1&lt;/C&gt;&lt;D xsi:type="xsd:double"&gt;-2.6445806&lt;/D&gt;&lt;/FQL&gt;&lt;FQL&gt;&lt;Q&gt;USDCAD^FG_PRICE_CHANGE(0,-6AM)&lt;/Q&gt;&lt;R&gt;1&lt;/R&gt;&lt;C&gt;1&lt;/C&gt;&lt;D xsi:type="xsd:double"&gt;0.5997062&lt;/D&gt;&lt;/FQL&gt;&lt;FQL&gt;&lt;Q&gt;USDNZD^FG_PRICE_CHANGE(0,-6AM)&lt;/Q&gt;&lt;R&gt;1&lt;/R&gt;&lt;C&gt;1&lt;/C&gt;&lt;D xsi:type="xsd:double"&gt;-1.4235139&lt;/D&gt;&lt;/FQL&gt;&lt;FQL&gt;&lt;Q&gt;EWC^FMA_EPS(NTMA,-20AY,0,CY,,"PORTAGG","MEANR")&lt;/Q&gt;&lt;R&gt;20&lt;/R&gt;&lt;C&gt;1&lt;/C&gt;&lt;D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xsi:type="xsd:double"&gt;2.06895579824313&lt;/D&gt;&lt;D xsi:type="xsd:double"&gt;1.95234296531067&lt;/D&gt;&lt;D xsi:type="xsd:double"&gt;2.65881300816857&lt;/D&gt;&lt;D xsi:type="xsd:double"&gt;2.74371402167799&lt;/D&gt;&lt;D xsi:type="xsd:double"&gt;2.67770897270638&lt;/D&gt;&lt;/FQL&gt;&lt;FQL&gt;&lt;Q&gt;ENZL^P_PRICE_RETURNS_PR('52W',2,-10AY,0,AM)&lt;/Q&gt;&lt;R&gt;121&lt;/R&gt;&lt;C&gt;1&lt;/C&gt;&lt;D xsi:type="xsd:double"&gt;2.547872&lt;/D&gt;&lt;D xsi:type="xsd:double"&gt;4.042423&lt;/D&gt;&lt;D xsi:type="xsd:double"&gt;11.326921&lt;/D&gt;&lt;D xsi:type="xsd:double"&gt;10.722601&lt;/D&gt;&lt;D xsi:type="xsd:double"&gt;9.093857&lt;/D&gt;&lt;D xsi:type="xsd:double"&gt;-0.9700358&lt;/D&gt;&lt;D xsi:type="xsd:double"&gt;0.3360629&lt;/D&gt;&lt;D xsi:type="xsd:double"&gt;-3.2344341&lt;/D&gt;&lt;D xsi:type="xsd:double"&gt;-3.4015834&lt;/D&gt;&lt;D xsi:type="xsd:double"&gt;-13.872492&lt;/D&gt;&lt;D xsi:type="xsd:double"&gt;-8.472085&lt;/D&gt;&lt;D xsi:type="xsd:double"&gt;-16.633093&lt;/D&gt;&lt;D xsi:type="xsd:double"&gt;-7.4837565&lt;/D&gt;&lt;D xsi:type="xsd:double"&gt;-7.714629&lt;/D&gt;&lt;D xsi:type="xsd:double"&gt;-5.1255283&lt;/D&gt;&lt;D xsi:type="xsd:double"&gt;-9.598226&lt;/D&gt;&lt;D xsi:type="xsd:double"&gt;-7.555908&lt;/D&gt;&lt;D xsi:type="xsd:double"&gt;1.3492584&lt;/D&gt;&lt;D xsi:type="xsd:double"&gt;3.5089493&lt;/D&gt;&lt;D xsi:type="xsd:double"&gt;8.861219&lt;/D&gt;&lt;D xsi:type="xsd:double"&gt;16.518938&lt;/D&gt;&lt;D xsi:type="xsd:double"&gt;34.62715&lt;/D&gt;&lt;D xsi:type="xsd:double"&gt;37.58583&lt;/D&gt;&lt;D xsi:type="xsd:double"&gt;53.034653&lt;/D&gt;&lt;D xsi:type="xsd:double"&gt;34.957348&lt;/D&gt;&lt;D xsi:type="xsd:double"&gt;22.738182&lt;/D&gt;&lt;D xsi:type="xsd:double"&gt;20.644928&lt;/D&gt;&lt;D xsi:type="xsd:double"&gt;23.692703&lt;/D&gt;&lt;D xsi:type="xsd:double"&gt;28.007317&lt;/D&gt;&lt;D xsi:type="xsd:double"&gt;14.201117&lt;/D&gt;&lt;D xsi:type="xsd:double"&gt;9.491897&lt;/D&gt;&lt;D xsi:type="xsd:double"&gt;10.196341&lt;/D&gt;&lt;D xsi:type="xsd:double"&gt;7.805431&lt;/D&gt;&lt;D xsi:type="xsd:double"&gt;7.062149&lt;/D&gt;&lt;D xsi:type="xsd:double"&gt;5.841875&lt;/D&gt;&lt;D xsi:type="xsd:double"&gt;1.6491652&lt;/D&gt;&lt;D xsi:type="xsd:double"&gt;11.470879&lt;/D&gt;&lt;D xsi:type="xsd:double"&gt;13.542867&lt;/D&gt;&lt;D xsi:type="xsd:double"&gt;13.02309&lt;/D&gt;&lt;D xsi:type="xsd:double"&gt;20.662094&lt;/D&gt;&lt;D xsi:type="xsd:double"&gt;12.236047&lt;/D&gt;&lt;D xsi:type="xsd:double"&gt;25.490284&lt;/D&gt;&lt;D xsi:type="xsd:double"&gt;24.200857&lt;/D&gt;&lt;D xsi:type="xsd:double"&gt;15.641546&lt;/D&gt;&lt;D xsi:type="xsd:double"&gt;15.865601&lt;/D&gt;&lt;D xsi:type="xsd:double"&gt;10.985697&lt;/D&gt;&lt;D xsi:type="xsd:double"&gt;4.527855&lt;/D&gt;&lt;D xsi:type="xsd:double"&gt;4.011011&lt;/D&gt;&lt;D xsi:type="xsd:double"&gt;1.1964798&lt;/D&gt;&lt;D xsi:type="xsd:double"&gt;8.789754&lt;/D&gt;&lt;D xsi:type="xsd:double"&gt;7.509136&lt;/D&gt;&lt;D xsi:type="xsd:double"&gt;2.495885&lt;/D&gt;&lt;D xsi:type="xsd:double"&gt;7.8752995&lt;/D&gt;&lt;D xsi:type="xsd:double"&gt;5.685854&lt;/D&gt;&lt;D xsi:type="xsd:double"&gt;4.2906404&lt;/D&gt;&lt;D xsi:type="xsd:double"&gt;11.012769&lt;/D&gt;&lt;D xsi:type="xsd:double"&gt;4.491997&lt;/D&gt;&lt;D xsi:type="xsd:double"&gt;14.362038&lt;/D&gt;&lt;D xsi:type="xsd:double"&gt;18.065548&lt;/D&gt;&lt;D xsi:type="xsd:double"&gt;19.816553&lt;/D&gt;&lt;D xsi:type="xsd:double"&gt;18.650305&lt;/D&gt;&lt;D xsi:type="xsd:double"&gt;14.6838665&lt;/D&gt;&lt;D xsi:type="xsd:double"&gt;22.295534&lt;/D&gt;&lt;D xsi:type="xsd:double"&gt;25.2195&lt;/D&gt;&lt;D xsi:type="xsd:double"&gt;19.955994&lt;/D&gt;&lt;D xsi:type="xsd:double"&gt;9.244013&lt;/D&gt;&lt;D xsi:type="xsd:double"&gt;-5.511469&lt;/D&gt;&lt;D xsi:type="xsd:double"&gt;1.3747811&lt;/D&gt;&lt;D xsi:type="xsd:double"&gt;12.68779&lt;/D&gt;&lt;D xsi:type="xsd:double"&gt;8.900285&lt;/D&gt;&lt;D xsi:type="xsd:double"&gt;12.943077&lt;/D&gt;&lt;D xsi:type="xsd:double"&gt;9.472239&lt;/D&gt;&lt;D xsi:type="xsd:double"&gt;20.517624&lt;/D&gt;&lt;D xsi:type="xsd:double"&gt;25.595402&lt;/D&gt;&lt;D xsi:type="xsd:double"&gt;22.802782&lt;/D&gt;&lt;D xsi:type="xsd:double"&gt;24.285078&lt;/D&gt;&lt;D xsi:type="xsd:double"&gt;19.877052&lt;/D&gt;&lt;D xsi:type="xsd:double"&gt;21.333038&lt;/D&gt;&lt;D xsi:type="xsd:double"&gt;38.204967&lt;/D&gt;&lt;D xsi:type="xsd:double"&gt;31.217348&lt;/D&gt;&lt;D xsi:type="xsd:double"&gt;14.619911&lt;/D&gt;&lt;D xsi:type="xsd:double"&gt;10.75486&lt;/D&gt;&lt;D xsi:type="xsd:double"&gt;6.668842&lt;/D&gt;&lt;D xsi:type="xsd:double"&gt;10.965765&lt;/D&gt;&lt;D xsi:type="xsd:double"&gt;4.4959188&lt;/D&gt;&lt;D xsi:type="xsd:double"&gt;-0.64839125&lt;/D&gt;&lt;D xsi:type="xsd:double"&gt;-10.822701&lt;/D&gt;&lt;D xsi:type="xsd:double"&gt;-15.889674&lt;/D&gt;&lt;D xsi:type="xsd:double"&gt;-14.930844&lt;/D&gt;&lt;D xsi:type="xsd:double"&gt;-10.683745&lt;/D&gt;&lt;D xsi:type="xsd:double"&gt;-11.181438&lt;/D&gt;&lt;D xsi:type="xsd:double"&gt;-26.615597&lt;/D&gt;&lt;D xsi:type="xsd:double"&gt;-24.37467&lt;/D&gt;&lt;D xsi:type="xsd:double"&gt;-23.475193&lt;/D&gt;&lt;D xsi:type="xsd:double"&gt;-16.494787&lt;/D&gt;&lt;D xsi:type="xsd:double"&gt;-22.73389&lt;/D&gt;&lt;D xsi:type="xsd:double"&gt;-32.78643&lt;/D&gt;&lt;D xsi:type="xsd:double"&gt;-26.142715&lt;/D&gt;&lt;D xsi:type="xsd:double"&gt;-13.236737&lt;/D&gt;&lt;D xsi:type="xsd:double"&gt;-11.647349&lt;/D&gt;&lt;D xsi:type="xsd:double"&gt;-4.388708&lt;/D&gt;&lt;D xsi:type="xsd:double"&gt;-11.30147&lt;/D&gt;&lt;D xsi:type="xsd:double"&gt;-7.5681567&lt;/D&gt;&lt;D xsi:type="xsd:double"&gt;11.911297&lt;/D&gt;&lt;D xsi:type="xsd:double"&gt;3.7522197&lt;/D&gt;&lt;D xsi:type="xsd:double"&gt;10.037565&lt;/D&gt;&lt;D xsi:type="xsd:double"&gt;-3.7087083&lt;/D&gt;&lt;D xsi:type="xsd:double"&gt;-3.9458752&lt;/D&gt;&lt;D xsi:type="xsd:double"&gt;13.458872&lt;/D&gt;&lt;D xsi:type="xsd:double"&gt;-1.287657&lt;/D&gt;&lt;D xsi:type="xsd:double"&gt;-4.2146683&lt;/D&gt;&lt;D xsi:type="xsd:double"&gt;-1.4767408&lt;/D&gt;&lt;D xsi:type="xsd:double"&gt;-6.625718&lt;/D&gt;&lt;D xsi:type="xsd:double"&gt;-1.481849&lt;/D&gt;&lt;D xsi:type="xsd:double"&gt;-6.614828&lt;/D&gt;&lt;D xsi:type="xsd:double"&gt;-8.657843&lt;/D&gt;&lt;D xsi:type="xsd:double"&gt;-1.3984025&lt;/D&gt;&lt;D xsi:type="xsd:double"&gt;-3.9581716&lt;/D&gt;&lt;D xsi:type="xsd:double"&gt;-0.30345917&lt;/D&gt;&lt;D xsi:type="xsd:double"&gt;14.344215&lt;/D&gt;&lt;D xsi:type="xsd:double"&gt;10.984015&lt;/D&gt;&lt;/FQL&gt;&lt;FQL&gt;&lt;Q&gt;EWI^FMA_DIV_YLD(NTMA,-10AY,0,AM,"PORTAGG","MEANR")&lt;/Q&gt;&lt;R&gt;121&lt;/R&gt;&lt;C&gt;1&lt;/C&gt;&lt;D xsi:type="xsd:double"&gt;3.97519122118323&lt;/D&gt;&lt;D xsi:type="xsd:double"&gt;3.98398093342353&lt;/D&gt;&lt;D xsi:type="xsd:double"&gt;3.97920018637299&lt;/D&gt;&lt;D xsi:type="xsd:double"&gt;4.27218270378016&lt;/D&gt;&lt;D xsi:type="xsd:double"&gt;3.73682426346107&lt;/D&gt;&lt;D xsi:type="xsd:double"&gt;3.47108243430565&lt;/D&gt;&lt;D xsi:type="xsd:double"&gt;3.08211052344215&lt;/D&gt;&lt;D xsi:type="xsd:double"&gt;3.16911240226874&lt;/D&gt;&lt;D xsi:type="xsd:double"&gt;3.26681827308061&lt;/D&gt;&lt;D xsi:type="xsd:double"&gt;3.27861299320685&lt;/D&gt;&lt;D xsi:type="xsd:double"&gt;3.06754566666219&lt;/D&gt;&lt;D xsi:type="xsd:double"&gt;3.38629213996149&lt;/D&gt;&lt;D xsi:type="xsd:double"&gt;3.55995799370087&lt;/D&gt;&lt;D xsi:type="xsd:double"&gt;3.584537135239&lt;/D&gt;&lt;D xsi:type="xsd:double"&gt;3.79846184513464&lt;/D&gt;&lt;D xsi:type="xsd:double"&gt;4.14061568249448&lt;/D&gt;&lt;D xsi:type="xsd:double"&gt;4.82568916860628&lt;/D&gt;&lt;D xsi:type="xsd:double"&gt;4.38208068044503&lt;/D&gt;&lt;D xsi:type="xsd:double"&gt;4.58294043507197&lt;/D&gt;&lt;D xsi:type="xsd:double"&gt;4.49913836372891&lt;/D&gt;&lt;D xsi:type="xsd:double"&gt;4.78788731735719&lt;/D&gt;&lt;D xsi:type="xsd:double"&gt;5.02362999610765&lt;/D&gt;&lt;D xsi:type="xsd:double"&gt;4.74285517267467&lt;/D&gt;&lt;D xsi:type="xsd:double"&gt;4.71948698640769&lt;/D&gt;&lt;D xsi:type="xsd:double"&gt;4.91411095733188&lt;/D&gt;&lt;D xsi:type="xsd:double"&gt;4.78595680942936&lt;/D&gt;&lt;D xsi:type="xsd:double"&gt;4.53550667294587&lt;/D&gt;&lt;D xsi:type="xsd:double"&gt;4.31690008032323&lt;/D&gt;&lt;D xsi:type="xsd:double"&gt;4.44599975976405&lt;/D&gt;&lt;D xsi:type="xsd:double"&gt;4.06750207002043&lt;/D&gt;&lt;D xsi:type="xsd:double"&gt;3.96810840537046&lt;/D&gt;&lt;D xsi:type="xsd:double"&gt;3.76006640885769&lt;/D&gt;&lt;D xsi:type="xsd:double"&gt;3.75897859432636&lt;/D&gt;&lt;D xsi:type="xsd:double"&gt;3.79947203627448&lt;/D&gt;&lt;D xsi:type="xsd:double"&gt;3.76814030713007&lt;/D&gt;&lt;D xsi:type="xsd:double"&gt;3.78081091724328&lt;/D&gt;&lt;D xsi:type="xsd:double"&gt;3.8120868528491&lt;/D&gt;&lt;D xsi:type="xsd:double"&gt;3.82206993493439&lt;/D&gt;&lt;D xsi:type="xsd:double"&gt;3.81493364075625&lt;/D&gt;&lt;D xsi:type="xsd:double"&gt;3.7943472617801&lt;/D&gt;&lt;D xsi:type="xsd:double"&gt;4.0296985547953&lt;/D&gt;&lt;D xsi:type="xsd:double"&gt;4.00243749414389&lt;/D&gt;&lt;D xsi:type="xsd:double"&gt;3.97876720954978&lt;/D&gt;&lt;D xsi:type="xsd:double"&gt;3.912804821769</t>
        </r>
      </text>
    </comment>
    <comment ref="A4" authorId="0" shapeId="0" xr:uid="{866AEF10-1D65-47D8-89EF-D3C37E999D40}">
      <text>
        <r>
          <rPr>
            <b/>
            <sz val="9"/>
            <color indexed="81"/>
            <rFont val="Tahoma"/>
            <charset val="1"/>
          </rPr>
          <t xml:space="preserve">02&lt;/D&gt;&lt;D xsi:type="xsd:double"&gt;4.52327630867995&lt;/D&gt;&lt;D xsi:type="xsd:double"&gt;4.42331069616282&lt;/D&gt;&lt;D xsi:type="xsd:double"&gt;4.5769263603456&lt;/D&gt;&lt;D xsi:type="xsd:double"&gt;4.63233393959756&lt;/D&gt;&lt;D xsi:type="xsd:double"&gt;4.91864791561961&lt;/D&gt;&lt;D xsi:type="xsd:double"&gt;5.07712974022427&lt;/D&gt;&lt;D xsi:type="xsd:double"&gt;5.418433063506&lt;/D&gt;&lt;D xsi:type="xsd:double"&gt;5.16026244866482&lt;/D&gt;&lt;D xsi:type="xsd:double"&gt;5.1215540130128&lt;/D&gt;&lt;D xsi:type="xsd:double"&gt;4.83078534964413&lt;/D&gt;&lt;D xsi:type="xsd:double"&gt;4.63395676792351&lt;/D&gt;&lt;D xsi:type="xsd:double"&gt;4.86556204899233&lt;/D&gt;&lt;D xsi:type="xsd:double"&gt;5.00331996242368&lt;/D&gt;&lt;D xsi:type="xsd:double"&gt;4.65666732740647&lt;/D&gt;&lt;D xsi:type="xsd:double"&gt;5.09412920189894&lt;/D&gt;&lt;D xsi:type="xsd:double"&gt;4.76932548621143&lt;/D&gt;&lt;D xsi:type="xsd:double"&gt;4.8131987086444&lt;/D&gt;&lt;D xsi:type="xsd:double"&gt;4.52456206324014&lt;/D&gt;&lt;D xsi:type="xsd:double"&gt;4.5815494323944&lt;/D&gt;&lt;D xsi:type="xsd:double"&gt;4.42752191483507&lt;/D&gt;&lt;D xsi:type="xsd:double"&gt;4.45370748887988&lt;/D&gt;&lt;D xsi:type="xsd:double"&gt;6.09495300622027&lt;/D&gt;&lt;D xsi:type="xsd:double"&gt;5.87672825081317&lt;/D&gt;&lt;D xsi:type="xsd:double"&gt;5.04973448764846&lt;/D&gt;&lt;D xsi:type="xsd:double"&gt;4.18803302828043&lt;/D&gt;&lt;D xsi:type="xsd:double"&gt;4.31542851825517&lt;/D&gt;&lt;D xsi:type="xsd:double"&gt;3.99165980066744&lt;/D&gt;&lt;D xsi:type="xsd:double"&gt;4.02374536724231&lt;/D&gt;&lt;D xsi:type="xsd:double"&gt;4.11721819137055&lt;/D&gt;&lt;D xsi:type="xsd:double"&gt;4.00362450719883&lt;/D&gt;&lt;D xsi:type="xsd:double"&gt;3.95387094149777&lt;/D&gt;&lt;D xsi:type="xsd:double"&gt;3.8740387365484&lt;/D&gt;&lt;D xsi:type="xsd:double"&gt;3.92121879498627&lt;/D&gt;&lt;D xsi:type="xsd:double"&gt;4.1005594574133&lt;/D&gt;&lt;D xsi:type="xsd:double"&gt;4.06191685254827&lt;/D&gt;&lt;D xsi:type="xsd:double"&gt;4.15670777750603&lt;/D&gt;&lt;D xsi:type="xsd:double"&gt;4.05072324579591&lt;/D&gt;&lt;D xsi:type="xsd:double"&gt;4.19602155604014&lt;/D&gt;&lt;D xsi:type="xsd:double"&gt;4.30017367776347&lt;/D&gt;&lt;D xsi:type="xsd:double"&gt;4.50177636052082&lt;/D&gt;&lt;D xsi:type="xsd:double"&gt;4.43673380659429&lt;/D&gt;&lt;D xsi:type="xsd:double"&gt;4.3264691487803&lt;/D&gt;&lt;D xsi:type="xsd:double"&gt;4.6461787413316&lt;/D&gt;&lt;D xsi:type="xsd:double"&gt;4.62162655319557&lt;/D&gt;&lt;D xsi:type="xsd:double"&gt;4.75462307086516&lt;/D&gt;&lt;D xsi:type="xsd:double"&gt;5.56531317840342&lt;/D&gt;&lt;D xsi:type="xsd:double"&gt;5.03436826455756&lt;/D&gt;&lt;D xsi:type="xsd:double"&gt;5.35802474124&lt;/D&gt;&lt;D xsi:type="xsd:double"&gt;5.64574914330444&lt;/D&gt;&lt;D xsi:type="xsd:double"&gt;5.8266097635308&lt;/D&gt;&lt;D xsi:type="xsd:double"&gt;5.75137414359881&lt;/D&gt;&lt;D xsi:type="xsd:double"&gt;5.64700883993288&lt;/D&gt;&lt;D xsi:type="xsd:double"&gt;6.16150211895647&lt;/D&gt;&lt;D xsi:type="xsd:double"&gt;5.41473990539874&lt;/D&gt;&lt;D xsi:type="xsd:double"&gt;5.78300982870231&lt;/D&gt;&lt;D xsi:type="xsd:double"&gt;5.5130838212758&lt;/D&gt;&lt;D xsi:type="xsd:double"&gt;5.43309386819878&lt;/D&gt;&lt;D xsi:type="xsd:double"&gt;5.36210540883119&lt;/D&gt;&lt;D xsi:type="xsd:double"&gt;5.41087363199758&lt;/D&gt;&lt;D xsi:type="xsd:double"&gt;5.52892975980193&lt;/D&gt;&lt;D xsi:type="xsd:double"&gt;5.44352507918498&lt;/D&gt;&lt;D xsi:type="xsd:double"&gt;5.37532858874599&lt;/D&gt;&lt;D xsi:type="xsd:double"&gt;5.47622356783402&lt;/D&gt;&lt;D xsi:type="xsd:double"&gt;5.46531581909824&lt;/D&gt;&lt;D xsi:type="xsd:double"&gt;5.5361988867424&lt;/D&gt;&lt;D xsi:type="xsd:double"&gt;5.65643669854102&lt;/D&gt;&lt;D xsi:type="xsd:double"&gt;5.36980689362065&lt;/D&gt;&lt;D xsi:type="xsd:double"&gt;5.44326186176994&lt;/D&gt;&lt;D xsi:type="xsd:double"&gt;5.51378261351968&lt;/D&gt;&lt;D xsi:type="xsd:double"&gt;5.21351326736147&lt;/D&gt;&lt;D xsi:type="xsd:double"&gt;5.24042724591773&lt;/D&gt;&lt;D xsi:type="xsd:double"&gt;5.18614223012314&lt;/D&gt;&lt;D xsi:type="xsd:double"&gt;5.26419167069935&lt;/D&gt;&lt;D xsi:type="xsd:double"&gt;5.32603762699543&lt;/D&gt;&lt;D xsi:type="xsd:double"&gt;5.67117014800141&lt;/D&gt;&lt;D xsi:type="xsd:double"&gt;5.43519926966035&lt;/D&gt;&lt;D xsi:type="xsd:double"&gt;5.24581391440221&lt;/D&gt;&lt;/FQL&gt;&lt;FQL&gt;&lt;Q&gt;EWN^FMA_PE(NTMA,-10AY,0,AM,"PORTAGG","MEANR")&lt;/Q&gt;&lt;R&gt;121&lt;/R&gt;&lt;C&gt;1&lt;/C&gt;&lt;D xsi:type="xsd:double"&gt;13.8188359071062&lt;/D&gt;&lt;D xsi:type="xsd:double"&gt;14.7544838435385&lt;/D&gt;&lt;D xsi:type="xsd:double"&gt;14.8499034450886&lt;/D&gt;&lt;D xsi:type="xsd:double"&gt;14.594353983902&lt;/D&gt;&lt;D xsi:type="xsd:double"&gt;15.6636961879629&lt;/D&gt;&lt;D xsi:type="xsd:double"&gt;17.136316220442&lt;/D&gt;&lt;D xsi:type="xsd:double"&gt;17.7990555385529&lt;/D&gt;&lt;D xsi:type="xsd:double"&gt;16.9607465639944&lt;/D&gt;&lt;D xsi:type="xsd:double"&gt;16.495838302108&lt;/D&gt;&lt;D xsi:type="xsd:double"&gt;16.4491634238409&lt;/D&gt;&lt;D xsi:type="xsd:double"&gt;16.8304262913014&lt;/D&gt;&lt;D xsi:type="xsd:double"&gt;14.7616737972209&lt;/D&gt;&lt;D xsi:type="xsd:double"&gt;14.8640677897835&lt;/D&gt;&lt;D xsi:type="xsd:double"&gt;16.1335899046002&lt;/D&gt;&lt;D xsi:type="xsd:double"&gt;15.4667053090798&lt;/D&gt;&lt;D xsi:type="xsd:double"&gt;14.4164634935421&lt;/D&gt;&lt;D xsi:type="xsd:double"&gt;13.7834993392188&lt;/D&gt;&lt;D xsi:type="xsd:double"&gt;14.9346538777176&lt;/D&gt;&lt;D xsi:type="xsd:double"&gt;14.9467300116203&lt;/D&gt;&lt;D xsi:type="xsd:double"&gt;14.873805829601&lt;/D&gt;&lt;D xsi:type="xsd:double"&gt;14.5259455610511&lt;/D&gt;&lt;D xsi:type="xsd:double"&gt;14.0942057163934&lt;/D&gt;&lt;D xsi:type="xsd:double"&gt;14.852722884216&lt;/D&gt;&lt;D xsi:type="xsd:double"&gt;14.8742964634283&lt;/D&gt;&lt;D xsi:type="xsd:double"&gt;14.9000339434388&lt;/D&gt;&lt;D xsi:type="xsd:double"&gt;14.506540177089&lt;/D&gt;&lt;D xsi:type="xsd:double"&gt;14.7895848907391&lt;/D&gt;&lt;D xsi:type="xsd:double"&gt;14.9956439397936&lt;/D&gt;&lt;D xsi:type="xsd:double"&gt;15.2732373653177&lt;/D&gt;&lt;D xsi:type="xsd:double"&gt;16.0658307955633&lt;/D&gt;&lt;D xsi:type="xsd:double"&gt;16.0865490042617&lt;/D&gt;&lt;D xsi:type="xsd:double"&gt;16.566385689957&lt;/D&gt;&lt;D xsi:type="xsd:double"&gt;16.3278039027341&lt;/D&gt;&lt;D xsi:type="xsd:double"&gt;15.7730200369603&lt;/D&gt;&lt;D xsi:type="xsd:double"&gt;15.8698038631323&lt;/D&gt;&lt;D xsi:type="xsd:double"&gt;15.6713702265961&lt;/D&gt;&lt;D xsi:type="xsd:double"&gt;16.1161399693633&lt;/D&gt;&lt;D xsi:type="xsd:double"&gt;16.1161194546651&lt;/D&gt;&lt;D xsi:type="xsd:double"&gt;16.0424620439414&lt;/D&gt;&lt;D xsi:type="xsd:double"&gt;16.2461708433965&lt;/D&gt;&lt;D xsi:type="xsd:double"&gt;15.1646814553608&lt;/D&gt;&lt;D xsi:type="xsd:double"&gt;15.7741675501155&lt;/D&gt;&lt;D xsi:type="xsd:double"&gt;15.6136274323216&lt;/D&gt;&lt;D xsi:type="xsd:double"&gt;15.6896888373232&lt;/D&gt;&lt;D xsi:type="xsd:double"&gt;15.8585875964392&lt;/D&gt;&lt;D xsi:type="xsd:double"&gt;15.6705939058738&lt;/D&gt;&lt;D xsi:type="xsd:double"&gt;15.640740861733&lt;/D&gt;&lt;D xsi:type="xsd:double"&gt;15.019385424609&lt;/D&gt;&lt;D xsi:type="xsd:double"&gt;14.2760105471647&lt;/D&gt;&lt;D xsi:type="xsd:double"&gt;14.3697220663431&lt;/D&gt;&lt;D xsi:type="xsd:double"&gt;13.3720386690058&lt;/D&gt;&lt;D xsi:type="xsd:double"&gt;13.3617054341922&lt;/D&gt;&lt;D xsi:type="xsd:double"&gt;14.3944465028796&lt;/D&gt;&lt;D xsi:type="xsd:double"&gt;14.7021194548281&lt;/D&gt;&lt;D xsi:type="xsd:double"&gt;15.4753224199036&lt;/D&gt;&lt;D xsi:type="xsd:double"&gt;15.2539616935744&lt;/D&gt;&lt;D xsi:type="xsd:double"&gt;15.2558409406402&lt;/D&gt;&lt;D xsi:type="xsd:double"&gt;15.4841154329232&lt;/D&gt;&lt;D xsi:type="xsd:double"&gt;15.0337846097366&lt;/D&gt;&lt;D xsi:type="xsd:double"&gt;15.8129652120545&lt;/D&gt;&lt;D xsi:type="xsd:double"&gt;15.9171899304417&lt;/D&gt;&lt;D xsi:type="xsd:double"&gt;16.7012995816776&lt;/D&gt;&lt;D xsi:type="xsd:double"&gt;16.8002830820527&lt;/D&gt;&lt;D xsi:type="xsd:double"&gt;17.1620643650941&lt;/D&gt;&lt;D xsi:type="xsd:double"&gt;17.785293162483&lt;/D&gt;&lt;D xsi:type="xsd:double"&gt;14.3565281665453&lt;/D&gt;&lt;D xsi:type="xsd:double"&gt;15.8300240785872&lt;/D&gt;&lt;D xsi:type="xsd:double"&gt;17.529298364426&lt;/D&gt;&lt;D xsi:type="xsd:double"&gt;19.4264161900341&lt;/D&gt;&lt;D xsi:type="xsd:double"&gt;20.107883748229&lt;/D&gt;&lt;D xsi:type="xsd:double"&gt;19.7290384224939&lt;/D&gt;&lt;D xsi:type="xsd:double"&gt;19.4787295873508&lt;/D&gt;&lt;D xsi:type="xsd:double"&gt;19.893271946185&lt;/D&gt;&lt;D xsi:type="xsd:double"&gt;20.3511712519634&lt;/D&gt;&lt;D xsi:type="xsd:double"&gt;20.3918161836452&lt;/D&gt;&lt;D xsi:type="xsd:double"&gt;21.1819704112257&lt;/D&gt;&lt;D xsi:type="xsd:double"&gt;22.0211712559457&lt;/D&gt;&lt;D xsi:type="xsd:double"&gt;21.7025551463911&lt;/D&gt;&lt;D xsi:type="xsd:double"&gt;22.8845722833355&lt;/D&gt;&lt;D xsi:type="xsd:double"&gt;21.5069849028672&lt;/D&gt;&lt;D xsi:type="xsd:double"&gt;21.3961677355115&lt;/D&gt;&lt;D xsi:type="xsd:double"&gt;21.0945241265939&lt;/D&gt;&lt;D xsi:type="xsd:double"&gt;21.9074281235786&lt;/D&gt;&lt;D xsi:type="xsd:double"&gt;21.7374728885425&lt;/D&gt;&lt;D xsi:type="xsd:double"&gt;20.192968382275&lt;/D&gt;&lt;D xsi:type="xsd:double"&gt;21.3615065278661&lt;/D&gt;&lt;D xsi:type="xsd:double"&gt;20.2110599892131&lt;/D&gt;&lt;D xsi:type="xsd:double"&gt;19.5969793130157&lt;/D&gt;&lt;D xsi:type="xsd:double"&gt;18.6946209253788&lt;/D&gt;&lt;D xsi:type="xsd:double"&gt;16.5505671733605&lt;/D&gt;&lt;D xsi:type="xsd:double"&gt;17.8297762180442&lt;/D&gt;&lt;D xsi:type="xsd:double"&gt;15.7085188075079&lt;/D&gt;&lt;D xsi:type="xsd:double"&gt;16.6065288125373&lt;/D&gt;&lt;D xsi:type="xsd:double"&gt;16.2656088746868&lt;/D&gt;&lt;D xsi:type="xsd:double"&gt;17.8124749593509&lt;/D&gt;&lt;D xsi:type="xsd:double"&gt;16.2211275956255&lt;/D&gt;&lt;D xsi:type="xsd:double"&gt;14.2631099568841&lt;/D&gt;&lt;D xsi:type="xsd:double"&gt;16.0966507233554&lt;/D&gt;&lt;D xsi:type="xsd:double"&gt;16.3428475678625&lt;/D&gt;&lt;D xsi:type="xsd:double"&gt;16.620370322774&lt;/D&gt;&lt;D xsi:type="xsd:double"&gt;16.8701209075877&lt;/D&gt;&lt;D xsi:type="xsd:double"&gt;16.1868115184524&lt;/D&gt;&lt;D xsi:type="xsd:double"&gt;16.2410199229043&lt;/D&gt;&lt;D xsi:type="xsd:double"&gt;15.6922204115939&lt;/D&gt;&lt;D xsi:type="xsd:double"&gt;15.6413015935373&lt;/D&gt;&lt;D xsi:type="xsd:double"&gt;15.6017478939474&lt;/D&gt;&lt;D xsi:type="xsd:double"&gt;15.561632076492&lt;/D&gt;&lt;D xsi:type="xsd:double"&gt;14.2820983407612&lt;/D&gt;&lt;D xsi:type="xsd:double"&gt;13.714570492796&lt;/D&gt;&lt;D xsi:type="xsd:double"&gt;14.0557297633516&lt;/D&gt;&lt;D xsi:type="xsd:double"&gt;14.8794040134136&lt;/D&gt;&lt;D xsi:type="xsd:double"&gt;14.7541915375894&lt;/D&gt;&lt;D xsi:type="xsd:double"&gt;16.2987600168978&lt;/D&gt;&lt;D xsi:type="xsd:double"&gt;16.1827463299473&lt;/D&gt;&lt;D xsi:type="xsd:double"&gt;16.2716778048642&lt;/D&gt;&lt;D xsi:type="xsd:double"&gt;16.1569948179872&lt;/D&gt;&lt;D xsi:type="xsd:double"&gt;16.726997284855&lt;/D&gt;&lt;D xsi:type="xsd:double"&gt;16.6231398819174&lt;/D&gt;&lt;D xsi:type="xsd:double"&gt;14.7735025558865&lt;/D&gt;&lt;D xsi:type="xsd:double"&gt;14.4605893106628&lt;/D&gt;&lt;D xsi:type="xsd:double"&gt;15.1303784360714&lt;/D&gt;&lt;/FQL&gt;&lt;FQL&gt;&lt;Q&gt;SPY^FMA_PE(LTMA,-10AY,0,AM,"PORTAGG","MEANR")&lt;/Q&gt;&lt;R&gt;121&lt;/R&gt;&lt;C&gt;1&lt;/C&gt;&lt;D xsi:type="xsd:double"&gt;15.9764469536286&lt;/D&gt;&lt;D xsi:type="xsd:double"&gt;16.8777070422924&lt;/D&gt;&lt;D xsi:type="xsd:double"&gt;16.8562180982814&lt;/D&gt;&lt;D xsi:type="xsd:double"&gt;17.1803597250845&lt;/D&gt;&lt;D xsi:type="xsd:double"&gt;17.3113238259384&lt;/D&gt;&lt;D xsi:type="xsd:double"&gt;17.4880172873346&lt;/D&gt;&lt;D xsi:type="xsd:double"&gt;17.5603626447011&lt;/D&gt;&lt;D xsi:type="xsd:double"&gt;17.5654631512171&lt;/D&gt;&lt;D xsi:type="xsd:double"&gt;17.5023114669054&lt;/D&gt;&lt;D xsi:type="xsd:double"&gt;17.3775374761632&lt;/D&gt;&lt;D xsi:type="xsd:double"&gt;17.5363989215421&lt;/D&gt;&lt;D xsi:type="xsd:double"&gt;16.6899548784795&lt;/D&gt;&lt;D xsi:type="xsd:double"&gt;17.0854389424927&lt;/D&gt;&lt;D xsi:type="xsd:double"&gt;17.4388493430261&lt;/D&gt;&lt;D xsi:type="xsd:double"&gt;17.1861266252644&lt;/D&gt;&lt;D xsi:type="xsd:double"&gt;16.1338699993641&lt;/D&gt;&lt;D xsi:type="xsd:double"&gt;16.2966838906097&lt;/D&gt;&lt;D xsi:type="xsd:double"&gt;16.18819342752&lt;/D&gt;&lt;D xsi:type="xsd:double"&gt;16.4452153070474&lt;/D&gt;&lt;D xsi:type="xsd:double"&gt;16.565182572191&lt;/D&gt;&lt;D xsi:type="xsd:double"&gt;16.7903390909585&lt;/D&gt;&lt;D xsi:type="xsd:double"&gt;17.0754004946733&lt;/D&gt;&lt;D xsi:type="xsd:double"&gt;17.468314350518&lt;/D&gt;&lt;D xsi:type="xsd:double"&gt;17.3883673167525&lt;/D&gt;&lt;D xsi:type="xsd:double"&gt;17.7834710084041&lt;/D&gt;&lt;D xsi:type="xsd:double"&gt;17.9214254674198&lt;/D&gt;&lt;D xsi:type="xsd:double"&gt;18.7907440942411&lt;/D&gt;&lt;D xsi:type="xsd:double"&gt;19.0106702222571&lt;/D&gt;&lt;D xsi:type="xsd:double"&gt;19.1890335371885&lt;/D&gt;&lt;D xsi:type="xsd:double"&gt;19.4612423775783&lt;/D&gt;&lt;D xsi:type="xsd:double"&gt;19.2817060326588&lt;/D&gt;&lt;D xsi:type="xsd:double"&gt;19.2160733638627&lt;/D&gt;&lt;D xsi:type="xsd:double"&gt;19.1942620012913&lt;/D&gt;&lt;D xsi:type="xsd:double"&gt;19.0645065552121&lt;/D&gt;&lt;D xsi:type="xsd:double"&gt;18.989305410148&lt;/D&gt;&lt;D xsi:type="xsd:double"&gt;19.0000841852226&lt;/D&gt;&lt;D xsi:type="xsd:double"&gt;19.5449085807809&lt;/D&gt;&lt;D xsi:type="xsd:double"&gt;19.5975181931334&lt;/D&gt;&lt;D xsi:type="xsd:double"&gt;20.0643361478258&lt;/D&gt;&lt;D xsi:type="xsd:double"&gt;20.7289174229044&lt;/D&gt;&lt;D xsi:type="xsd:double"&gt;19.2822126347187&lt;/D&gt;&lt;D xsi:type="xsd:double"&gt;19.8054180333876&lt;/D&gt;&lt;D xsi:type="xsd:double"&gt;19.3446912833386&lt;/D&gt;&lt;D xsi:type="xsd:double"&gt;19.1268152747918&lt;/D&gt;&lt;D xsi:type="xsd:double"&gt;18.9802195687485&lt;/D&gt;&lt;D xsi:type="xsd:double"&gt;18.7551648421878&lt;/D&gt;&lt;D xsi:type="xsd:double"&gt;18.5812645833458&lt;/D&gt;&lt;D xsi:type="xsd:double"&gt;18.5250628231272&lt;/D&gt;&lt;D xsi:type="xsd:double"&gt;17.9192813850996&lt;/D&gt;&lt;D xsi:type="xsd:double"&gt;17.5514468335417&lt;/D&gt;&lt;D xsi:type="xsd:double"&gt;16.4696828375605&lt;/D&gt;&lt;D xsi:type="xsd:double"&gt;16.062910707094&lt;/D&gt;&lt;D xsi:type="xsd:double"&gt;16.6675667574381&lt;/D&gt;&lt;D xsi:type="xsd:double"&gt;17.0500356757658&lt;/D&gt;&lt;D xsi:type="xsd:double"&gt;17.2266776974111&lt;/D&gt;&lt;D xsi:type="xsd:double"&gt;17.1933090638041&lt;/D&gt;&lt;D xsi:type="xsd:double"&gt;17.2088125046244&lt;/D&gt;&lt;D xsi:type="xsd:double"&gt;17.6034611207956&lt;/D&gt;&lt;D xsi:type="xsd:double"&gt;17.4686743747154&lt;/D&gt;&lt;D xsi:type="xsd:double"&gt;17.7756887289858&lt;/D&gt;&lt;D xsi:type="xsd:double"&gt;17.7686171399736&lt;/D&gt;&lt;D xsi:type="xsd:double"&gt;18.6644309139383&lt;/D&gt;&lt;D xsi:type="xsd:double"&gt;19.1114781106439&lt;/D&gt;&lt;D xsi:type="xsd:double"&gt;20.0674131241989&lt;/D&gt;&lt;D xsi:type="xsd:double"&gt;20.3700268264001&lt;/D&gt;&lt;D xsi:type="xsd:double"&gt;17.8141092056438&lt;/D&gt;&lt;D xsi:type="xsd:double"&gt;18.2826225131304&lt;/D&gt;&lt;D xsi:type="xsd:double"&gt;19.6658028293394&lt;/D&gt;&lt;D xsi:type="xsd:double"&gt;21.1411139940903&lt;/D&gt;&lt;D xsi:type="xsd:double"&gt;21.7846466957716&lt;/D&gt;&lt;D xsi:type="xsd:double"&gt;22.6184805000635&lt;/D&gt;&lt;D xsi:type="xsd:double"&gt;23.0461556416892&lt;/D&gt;&lt;D xsi:type="xsd:double"&gt;24.3471161665182&lt;/D&gt;&lt;D xsi:type="xsd:double"&gt;24.5788362438544&lt;/D&gt;&lt;D xsi:type="xsd:double"&gt;25.8207481763028&lt;/D&gt;&lt;D xsi:type="xsd:double"&gt;27.7678600151286&lt;/D&gt;&lt;D xsi:type="xsd:double"&gt;27.2973058366244&lt;/D&gt;&lt;D xsi:type="xsd:double"&gt;26.2015905843348&lt;/D&gt;&lt;D xsi:type="xsd:double"&gt;26.087148818631&lt;/D&gt;&lt;D xsi:type="xsd:double"&gt;25.3988254735721&lt;/D&gt;&lt;D xsi:type="xsd:double"&gt;24.9935628622116&lt;/D&gt;&lt;D xsi:type="xsd:double"&gt;24.8770152832517&lt;/D&gt;&lt;D xsi:type="xsd:double"&gt;24.0648344669583&lt;/D&gt;&lt;D xsi:type="xsd:double"&gt;23.6659697963545&lt;/D&gt;&lt;D xsi:type="xsd:double"&gt;23.0863921558549&lt;/D&gt;&lt;D xsi:type="xsd:double"&gt;23.2847482709879&lt;/D&gt;&lt;D xsi:type="xsd:double"&gt;23.1564309968532&lt;/D&gt;&lt;D xsi:type="xsd:double"&gt;22.7033082154555&lt;/D&gt;&lt;D xsi:type="xsd:double"&gt;21.4759126301749&lt;/D&gt;&lt;D xsi:type="xsd:double"&gt;20.5627869159796&lt;/D&gt;&lt;D xsi:type="xsd:double"&gt;20.6197081232829&lt;/D&gt;&lt;D xsi:type="xsd:double"&gt;19.7200020394701&lt;/D&gt;&lt;D xsi:type="xsd:double"&gt;19.1923117941487&lt;/D&gt;&lt;D xsi:type="xsd:double"&gt;18.8970112504982&lt;/D&gt;&lt;D xsi:type="xsd:double"&gt;19.5240935003242&lt;/D&gt;&lt;D xsi:type="xsd:double"&gt;18.9155021398734&lt;/D&gt;&lt;D xsi:type="xsd:double"&gt;17.25635076163&lt;/D&gt;&lt;D xsi:type="xsd:double"&gt;18.3233416904707&lt;/D&gt;&lt;D xsi:type="xsd:double"&gt;17.9937708373081&lt;/D&gt;&lt;D xsi:type="xsd:double"&gt;17.7871234816596&lt;/D&gt;&lt;D xsi:type="xsd:double"&gt;18.584098659756&lt;/D&gt;&lt;D xsi:type="xsd:double"&gt;17.9533946717436&lt;/D&gt;&lt;D xsi:type="xsd:double"&gt;18.2470062020009&lt;/D&gt;&lt;D xsi:type="xsd:double"&gt;18.3131607298585&lt;/D&gt;&lt;D xsi:type="xsd:double"&gt;18.6646212695253&lt;/D&gt;&lt;D xsi:type="xsd:double"&gt;19.1263392694931&lt;/D&gt;&lt;D xsi:type="xsd:double"&gt;19.3690575908911&lt;/D&gt;&lt;D xsi:type="xsd:double"&gt;19.4493822744607&lt;/D&gt;&lt;D xsi:type="xsd:double"&gt;19.3532141035061&lt;/D&gt;&lt;D xsi:type="xsd:double"&gt;19.7380555988718&lt;/D&gt;&lt;D xsi:type="xsd:double"&gt;20.6809849576596&lt;/D&gt;&lt;D xsi:type="xsd:double"&gt;21.7710571109744&lt;/D&gt;&lt;D xsi:type="xsd:double"&gt;22.5949891129059&lt;/D&gt;&lt;D xsi:type="xsd:double"&gt;22.7430429889769&lt;/D&gt;&lt;D xsi:type="xsd:double"&gt;22.6018006293184&lt;/D&gt;&lt;D xsi:type="xsd:double"&gt;22.5255005821407&lt;/D&gt;&lt;D xsi:type="xsd:double"&gt;22.6003256729921&lt;/D&gt;&lt;D xsi:type="xsd:double"&gt;23.1312514509513&lt;/D&gt;&lt;D xsi:type="xsd:double"&gt;22.4801652560893&lt;/D&gt;&lt;D xsi:type="xsd:double"&gt;22.8015790085895&lt;/D&gt;&lt;D xsi:type="xsd:double"&gt;23.7574090078974&lt;/D&gt;&lt;/FQL&gt;&lt;FQL&gt;&lt;Q&gt;DDR3512M-FDS^FG_PRICE_MAVG(0,,,,30)&lt;/Q&gt;&lt;R&gt;1&lt;/R&gt;&lt;C&gt;1&lt;/C&gt;&lt;D xsi:type="xsd:double"&gt;0.8824327&lt;/D&gt;&lt;/FQL&gt;&lt;FQL&gt;&lt;Q&gt;PASP-FDS^FG_PRICE_MAVG(0,,,,30)&lt;/Q&gt;&lt;R&gt;1&lt;/R&gt;&lt;C&gt;1&lt;/C&gt;&lt;D xsi:type="xsd:double"&gt;1026.1&lt;/D&gt;&lt;/FQL&gt;&lt;FQL&gt;&lt;Q&gt;PLATI-FDS^FG_PRICE_MAVG(0,,,,30)&lt;/Q&gt;&lt;R&gt;1&lt;/R&gt;&lt;C&gt;1&lt;/C&gt;&lt;D xsi:type="xsd:double"&gt;972.4&lt;/D&gt;&lt;/FQL&gt;&lt;FQL&gt;&lt;Q&gt;W-FDS^FG_PRICE_MAVG(0,,,,30)&lt;/Q&gt;&lt;R&gt;1&lt;/R&gt;&lt;C&gt;1&lt;/C&gt;&lt;D xsi:type="xsd:double"&gt;5.753667&lt;/D&gt;&lt;/FQL&gt;&lt;FQL&gt;&lt;Q&gt;COPP-FDS^FG_PRICE_MAVG(0,,,,30)&lt;/Q&gt;&lt;R&gt;1&lt;/R&gt;&lt;C&gt;1&lt;/C&gt;&lt;D xsi:type="xsd:double"&gt;4.2925167&lt;/D&gt;&lt;/FQL&gt;&lt;FQL&gt;&lt;Q&gt;CAGDPY@US^EE_ACTUAL_ANNUAL(MED,0)&lt;/Q&gt;&lt;R&gt;1&lt;/R&gt;&lt;C&gt;1&lt;/C&gt;&lt;D xsi:type="xsd:double"&gt;-3.26791565830676&lt;/D&gt;&lt;/FQL&gt;&lt;FQL&gt;&lt;Q&gt;CC_DE^FG_COMPANY_NAME&lt;/Q&gt;&lt;R&gt;1&lt;/R&gt;&lt;C&gt;1&lt;/C&gt;&lt;D xsi:type="xsd:string"&gt;Germany&lt;/D&gt;&lt;/FQL&gt;&lt;FQL&gt;&lt;Q&gt;USDANG^FG_PRICE_CHANGE(0,-1AM)&lt;/Q&gt;&lt;R&gt;1&lt;/R&gt;&lt;C&gt;1&lt;/C&gt;&lt;D xsi:type="xsd:double"&gt;0&lt;/D&gt;&lt;/FQL&gt;&lt;FQL&gt;&lt;Q&gt;USDUSD^STD(FG_PRICE_CHANGE(0,-3AY,M))&lt;/Q&gt;&lt;R&gt;1&lt;/R&gt;&lt;C&gt;1&lt;/C&gt;&lt;D xsi:type="xsd:double"&gt;0&lt;/D&gt;&lt;/FQL&gt;&lt;FQL&gt;&lt;Q&gt;USDCHF^FG_PRICE_CHANGE(0,-1AM)&lt;/Q&gt;&lt;R&gt;1&lt;/R&gt;&lt;C&gt;1&lt;/C&gt;&lt;D xsi:type="xsd:double"&gt;1.2208819&lt;/D&gt;&lt;/FQL&gt;&lt;FQL&gt;&lt;Q&gt;USDCAD^FG_PRICE_CHANGE(0,-1AM)&lt;/Q&gt;&lt;R&gt;1&lt;/R&gt;&lt;C&gt;1&lt;/C&gt;&lt;D xsi:type="xsd:double"&gt;1.1024952&lt;/D&gt;&lt;/FQL&gt;&lt;FQL&gt;&lt;Q&gt;EWI^FMA_EPS(NTMA,-20AY,0,CY,,"PORTAGG","MEANR")&lt;/Q&gt;&lt;R&gt;20&lt;/R&gt;&lt;C&gt;1&lt;/C&gt;&lt;D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xsi:type="xsd:double"&gt;3.81180271683843&lt;/D&gt;&lt;/FQL&gt;&lt;FQL&gt;&lt;Q&gt;EWU^P_PRICE_RETURNS_PR('52W',2,-10AY,0,AM)&lt;/Q&gt;&lt;R&gt;121&lt;/R&gt;&lt;C&gt;1&lt;/C&gt;&lt;D xsi:type="xsd:double"&gt;0.6505251&lt;/D&gt;&lt;D xsi:type="xsd:double"&gt;-0.5333543&lt;/D&gt;&lt;D xsi:type="xsd:double"&gt;-3.1219244&lt;/D&gt;&lt;D xsi:type="xsd:double"&gt;-8.599299&lt;/D&gt;&lt;D xsi:type="xsd:double"&gt;-1.4447272&lt;/D&gt;&lt;D xsi:type="xsd:double"&gt;-6.661296&lt;/D&gt;&lt;D xsi:type="xsd:double"&gt;-3.382969&lt;/D&gt;&lt;D xsi:type="xsd:double"&gt;-3.4295738&lt;/D&gt;&lt;D xsi:type="xsd:double"&gt;-5.857319&lt;/D&gt;&lt;D xsi:type="xsd:double"&gt;-7.693529&lt;/D&gt;&lt;D xsi:type="xsd:double"&gt;-2.9721618&lt;/D&gt;&lt;D xsi:type="xsd:double"&gt;-12.399596&lt;/D&gt;&lt;D xsi:type="xsd:double"&gt;-1.8617809&lt;/D&gt;&lt;D xsi:type="xsd:double"&gt;-7.1893635&lt;/D&gt;&lt;D xsi:type="xsd:double"&gt;-7.405007&lt;/D&gt;&lt;D xsi:type="xsd:double"&gt;-11.719709&lt;/D&gt;&lt;D xsi:type="xsd:double"&gt;-19.564938&lt;/D&gt;&lt;D xsi:type="xsd:double"&gt;-11.906063&lt;/D&gt;&lt;D xsi:type="xsd:double"&gt;-13.239426&lt;/D&gt;&lt;D xsi:type="xsd:double"&gt;-16.175508&lt;/D&gt;&lt;D xsi:type="xsd:double"&gt;-15.454971&lt;/D&gt;&lt;D xsi:type="xsd:double"&gt;-11.255246&lt;/D&gt;&lt;D xsi:type="xsd:double"&gt;-12.494964&lt;/D&gt;&lt;D xsi:type="xsd:double"&gt;-1.9370139&lt;/D&gt;&lt;D xsi:type="xsd:double"&gt;-7.673633&lt;/D&gt;&lt;D xsi:type="xsd:double"&gt;-6.6381335&lt;/D&gt;&lt;D xsi:type="xsd:double"&gt;-1.4296293&lt;/D&gt;&lt;D xsi:type="xsd:double"&gt;7.1027517&lt;/D&gt;&lt;D xsi:type="xsd:double"&gt;14.896059&lt;/D&gt;&lt;D xsi:type="xsd:double"&gt;6.9957137&lt;/D&gt;&lt;D xsi:type="xsd:double"&gt;8.234668&lt;/D&gt;&lt;D xsi:type="xsd:double"&gt;11.222803&lt;/D&gt;&lt;D xsi:type="xsd:double"&gt;9.490776&lt;/D&gt;&lt;D xsi:type="xsd:double"&gt;14.841806&lt;/D&gt;&lt;D xsi:type="xsd:double"&gt;11.413372&lt;/D&gt;&lt;D xsi:type="xsd:double"&gt;10.157633&lt;/D&gt;&lt;D xsi:type="xsd:double"&gt;17.34208&lt;/D&gt;&lt;D xsi:type="xsd:double"&gt;18.155396&lt;/D&gt;&lt;D xsi:type="xsd:double"&gt;17.088055&lt;/D&gt;&lt;D xsi:type="xsd:double"&gt;22.238218&lt;/D&gt;&lt;D xsi:type="xsd:double"&gt;12.511563&lt;/D&gt;&lt;D xsi:type="xsd:double"&gt;15.981436&lt;/D&gt;&lt;D xsi:type="xsd:double"&gt;16.086174&lt;/D&gt;&lt;D xsi:type="xsd:double"&gt;12.641454&lt;/D&gt;&lt;D xsi:type="xsd:double"&gt;9.875309&lt;/D&gt;&lt;D xsi:type="xsd:double"&gt;11.011494&lt;/D&gt;&lt;D xsi:type="xsd:double"&gt;5.3990126&lt;/D&gt;&lt;D xsi:type="xsd:double"&gt;0.5962968&lt;/D&gt;&lt;D xsi:type="xsd:double"&gt;-2.8072894&lt;/D&gt;&lt;D xsi:type="xsd:double"&gt;-2.6892304&lt;/D&gt;&lt;D xsi:type="xsd:double"&gt;-10.894924&lt;/D&gt;&lt;D xsi:type="xsd:double"&gt;-12.022966&lt;/D&gt;&lt;D xsi:type="xsd:double"&gt;-3.3157647&lt;/D&gt;&lt;D xsi:type="xsd:double"&gt;-2.9847085&lt;/D&gt;&lt;D xsi:type="xsd:double"&gt;-1.9980252&lt;/D&gt;&lt;D xsi:type="xsd:double"&gt;-5.9817553&lt;/D&gt;&lt;D xsi:type="xsd:double"&gt;-5.8076677&lt;/D&gt;&lt;D xsi:type="xsd:double"&gt;-4.2175474&lt;/D&gt;&lt;D xsi:type="xsd:double"&gt;-8.615273&lt;/D&gt;&lt;D xsi:type="xsd:double"&gt;-1.3175428&lt;/D&gt;&lt;D xsi:type="xsd:double"&gt;-1.6860783&lt;/D&gt;&lt;D xsi:type="xsd:double"&gt;4.6800256&lt;/D&gt;&lt;D xsi:type="xsd:double"&gt;15.275299&lt;/D&gt;&lt;D xsi:type="xsd:double"&gt;14.845991&lt;/D&gt;&lt;D xsi:type="xsd:double"&gt;7.8527927&lt;/D&gt;&lt;D xsi:type="xsd:double"&gt;-12.05669&lt;/D&gt;&lt;D xsi:type="xsd:double"&gt;-22.542137&lt;/D&gt;&lt;D xsi:type="xsd:double"&gt;-19.709366&lt;/D&gt;&lt;D xsi:type="xsd:double"&gt;-12.533199&lt;/D&gt;&lt;D xsi:type="xsd:double"&gt;-16.590618&lt;/D&gt;&lt;D xsi:type="xsd:double"&gt;-8.481383&lt;/D&gt;&lt;D xsi:type="xsd:double"&gt;-14.51487&lt;/D&gt;&lt;D xsi:type="xsd:double"&gt;-10.074597&lt;/D&gt;&lt;D xsi:type="xsd:double"&gt;-10.870051&lt;/D&gt;&lt;D xsi:type="xsd:double"&gt;-6.838542&lt;/D&gt;&lt;D xsi:type="xsd:double"&gt;-5.2054462&lt;/D&gt;&lt;D xsi:type="xsd:double"&gt;-5.7234945&lt;/D&gt;&lt;D xsi:type="xsd:double"&gt;19.207191&lt;/D&gt;&lt;D xsi:type="xsd:double"&gt;31.933605&lt;/D&gt;&lt;D xsi:type="xsd:double"&gt;37.391293&lt;/D&gt;&lt;D xsi:type="xsd:double"&gt;27.317333&lt;/D&gt;&lt;D xsi:type="xsd:double"&gt;32.492935&lt;/D&gt;&lt;D xsi:type="xsd:double"&gt;28.780687&lt;/D&gt;&lt;D xsi:type="xsd:double"&gt;30.87703&lt;/D&gt;&lt;D xsi:type="xsd:double"&gt;29.070377&lt;/D&gt;&lt;D xsi:type="xsd:double"&gt;21.977806&lt;/D&gt;&lt;D xsi:type="xsd:double"&gt;14.4908905&lt;/D&gt;&lt;D xsi:type="xsd:double"&gt;13.246668&lt;/D&gt;&lt;D xsi:type="xsd:double"&gt;20.29971&lt;/D&gt;&lt;D xsi:type="xsd:double"&gt;4.8860073&lt;/D&gt;&lt;D xsi:type="xsd:double"&gt;10.944664&lt;/D&gt;&lt;D xsi:type="xsd:double"&gt;-4.659849&lt;/D&gt;&lt;D xsi:type="xsd:double"&gt;-3.6018848&lt;/D&gt;&lt;D xsi:type="xsd:double"&gt;-5.110204&lt;/D&gt;&lt;D xsi:type="xsd:double"&gt;-1.9750059&lt;/D&gt;&lt;D xsi:type="xsd:double"&gt;-6.233883&lt;/D&gt;&lt;D xsi:type="xsd:double"&gt;-15.5608835&lt;/D&gt;&lt;D xsi:type="xsd:double"&gt;-6.558508&lt;/D&gt;&lt;D xsi:type="xsd:double"&gt;-0.14573336&lt;/D&gt;&lt;D xsi:type="xsd:double"&gt;-2.802813&lt;/D&gt;&lt;D xsi:type="xsd:double"&gt;-3.357774&lt;/D&gt;&lt;D xsi:type="xsd:double"&gt;2.903378&lt;/D&gt;&lt;D xsi:type="xsd:double"&gt;-0.055396557&lt;/D&gt;&lt;D xsi:type="xsd:double"&gt;12.20957&lt;/D&gt;&lt;D xsi:type="xsd:double"&gt;5.2681923&lt;/D&gt;&lt;D xsi:type="xsd:double"&gt;10.449958&lt;/D&gt;&lt;D xsi:type="xsd:double"&gt;8.034122&lt;/D&gt;&lt;D xsi:type="xsd:double"&gt;14.823687&lt;/D&gt;&lt;D xsi:type="xsd:double"&gt;25.131248&lt;/D&gt;&lt;D xsi:type="xsd:double"&gt;7.80946&lt;/D&gt;&lt;D xsi:type="xsd:double"&gt;6.8457723&lt;/D&gt;&lt;D xsi:type="xsd:double"&gt;7.431853&lt;/D&gt;&lt;D xsi:type="xsd:double"&gt;3.5190463&lt;/D&gt;&lt;D xsi:type="xsd:double"&gt;8.454502&lt;/D&gt;&lt;D xsi:type="xsd:double"&gt;7.5060964&lt;/D&gt;&lt;D xsi:type="xsd:double"&gt;12.204254&lt;/D&gt;&lt;D xsi:type="xsd:double"&gt;14.580965&lt;/D&gt;&lt;D xsi:type="xsd:double"&gt;17.724812&lt;/D&gt;&lt;D xsi:type="xsd:double"&gt;13.090897&lt;/D&gt;&lt;D xsi:type="xsd:double"&gt;19.943201&lt;/D&gt;&lt;D xsi:type="xsd:double"&gt;19.234324&lt;/D&gt;&lt;/FQL&gt;&lt;FQL&gt;&lt;Q&gt;ENZL^FMA_PE(LTMA,-10AY,0,AM,"PORTAGG","MEANR")&lt;/Q&gt;&lt;R&gt;121&lt;/R&gt;&lt;C&gt;1&lt;/C&gt;&lt;D xsi:type="xsd:double"&gt;17.8689048706871&lt;/D&gt;&lt;D xsi:type="xsd:double"&gt;18.6829962268737&lt;/D&gt;&lt;D xsi:type="xsd:double"&gt;18.9145559288892&lt;/D&gt;&lt;D xsi:type="xsd:double"&gt;19.2938661591459&lt;/D&gt;&lt;D xsi:type="xsd:double"&gt;19.9731817767321&lt;/D&gt;&lt;D xsi:type="xsd:double"&gt;20.4870044440553&lt;/D&gt;&lt;D xsi:type="xsd:double"&gt;20.2042178295739&lt;/D&gt;&lt;D xsi:type="xsd:double"&gt;20.0486370879803&lt;/D&gt;&lt;D xsi:type="xsd:double"&gt;19.9018115376379&lt;/D&gt;&lt;D xsi:type="xsd:double"&gt;19.6258591634084&lt;/D&gt;&lt;D xsi:type="xsd:double"&gt;19.7292314600997&lt;/D&gt;&lt;D xsi:type="xsd:double"&gt;19.1149029595757&lt;/D&gt;&lt;D xsi:type="xsd:double"&gt;18.6646324256699&lt;/D&gt;&lt;D xsi:type="xsd:double"&gt;19.4764301102304&lt;/D&gt;&lt;D xsi:type="xsd:double"&gt;19.3569292818277&lt;/D&gt;&lt;D xsi:type="xsd:double"&gt;19.2829323334111&lt;/D&gt;&lt;D xsi:type="xsd:double"&gt;18.6762685834737&lt;/D&gt;&lt;D xsi:type="xsd:double"&gt;19.3364386486104&lt;/D&gt;&lt;D xsi:type="xsd:double"&gt;19.3363810249183&lt;/D&gt;&lt;D xsi:type="xsd:double"&gt;19.5926125172391&lt;/D&gt;&lt;D xsi:type="xsd:double"&gt;19.7688926499115&lt;/D&gt;&lt;D xsi:type="xsd:double"&gt;19.8396744477502&lt;/D&gt;&lt;D xsi:type="xsd:double"&gt;20.647960300759&lt;/D&gt;&lt;D xsi:type="xsd:double"&gt;21.2835286217647&lt;/D&gt;&lt;D xsi:type="xsd:double"&gt;20.4142149767103&lt;/D&gt;&lt;D xsi:type="xsd:double"&gt;19.5282676723517&lt;/D&gt;&lt;D xsi:type="xsd:double"&gt;19.9085519685142&lt;/D&gt;&lt;D xsi:type="xsd:double"&gt;20.4022892579612&lt;/D&gt;&lt;D xsi:type="xsd:double"&gt;20.5522290996097&lt;/D&gt;&lt;D xsi:type="xsd:double"&gt;19.7930368561237&lt;/D&gt;&lt;D xsi:type="xsd:double"&gt;19.8280262427462&lt;/D&gt;&lt;D xsi:type="xsd:double"&gt;19.9980928473947&lt;/D&gt;&lt;D xsi:type="xsd:double"&gt;19.946115112116&lt;/D&gt;&lt;D xsi:type="xsd:double"&gt;20.0355054894289&lt;/D&gt;&lt;D xsi:type="xsd:double"&gt;20.5970943449819&lt;/D&gt;&lt;D xsi:type="xsd:double"&gt;20.7030376270656&lt;/D&gt;&lt;D xsi:type="xsd:double"&gt;20.8157664538748&lt;/D&gt;&lt;D xsi:type="xsd:double"&gt;21.0391634695554&lt;/D&gt;&lt;D xsi:type="xsd:double"&gt;21.8003076342161&lt;/D&gt;&lt;D xsi:type="xsd:double"&gt;22.1936080858287&lt;/D&gt;&lt;D xsi:type="xsd:double"&gt;20.4918446230976&lt;/D&gt;&lt;D xsi:type="xsd:double"&gt;22.5603705497098&lt;/D&gt;&lt;D xsi:type="xsd:double"&gt;22.4356690311369&lt;/D&gt;&lt;D xsi:type="xsd:double"&gt;22.4193593652269&lt;/D&gt;&lt;D xsi:type="xsd:double"&gt;22.7313828253394&lt;/D&gt;&lt;D xsi:type="xsd:double"&gt;22.906464783928&lt;/D&gt;&lt;D xsi:type="xsd:double"&gt;23.0521914419907&lt;/D&gt;&lt;D xsi:type="xsd:double"&gt;23.173028050536&lt;/D&gt;&lt;D xsi:type="xsd:double"&gt;23.1348000944337&lt;/D&gt;&lt;D xsi:type="xsd:double"&gt;23.1008487815122&lt;/D&gt;&lt;D xsi:type="xsd:double"&gt;22.5469359658746&lt;/D&gt;&lt;D xsi:type="xsd:double"&gt;23.1929279420812&lt;/D&gt;&lt;D xsi:type="xsd:double"&gt;23.7647228636815&lt;/D&gt;&lt;D xsi:type="xsd:double"&gt;24.1803351618377&lt;/D&gt;&lt;D xsi:type="xsd:double"&gt;24.0343598245684&lt;/D&gt;&lt;D xsi:type="xsd:double"&gt;24.2429538514557&lt;/D&gt;&lt;D xsi:type="xsd:double"&gt;24.1065284449805&lt;/D&gt;&lt;D xsi:type="xsd:double"&gt;24.9643140866824&lt;/D&gt;&lt;D xsi:type="xsd:double"&gt;25.4422551338654&lt;/D&gt;&lt;D xsi:type="xsd:double"&gt;28.8782048369405&lt;/D&gt;&lt;D xsi:type="xsd:double"&gt;28.6397727565367&lt;/D&gt;&lt;D xsi:type="xsd:double"&gt;29.089780691178&lt;/D&gt;&lt;D xsi:type="xsd:double"&gt;31.3366963726101&lt;/D&gt;&lt;D xsi:type="xsd:double"&gt;32.3702856049271&lt;/D&gt;&lt;D xsi:type="xsd:double"&gt;32.6616546325669&lt;/D&gt;&lt;D xsi:type="xsd:double"&gt;30.7937770624389&lt;/D&gt;&lt;D xsi:type="xsd:double"&gt;30.7890894594022&lt;/D&gt;&lt;D xsi:type="xsd:double"&gt;31.8079860037424&lt;/D&gt;&lt;D xsi:type="xsd:double"&gt;32.3718607408029&lt;/D&gt;&lt;D xsi:type="xsd:double"&gt;33.2079645363401&lt;/D&gt;&lt;D xsi:type="xsd:double"&gt;33.9151121592607&lt;/D&gt;&lt;D xsi:type="xsd:double"&gt;33.8866487700892&lt;/D&gt;&lt;D xsi:type="xsd:double"&gt;35.0361356932188&lt;/D&gt;&lt;D xsi:type="xsd:double"&gt;35.5790970017591&lt;/D&gt;&lt;D xsi:type="xsd:double"&gt;36.907323160698&lt;/D&gt;&lt;D xsi:type="xsd:double"&gt;39.1768980369047&lt;/D&gt;&lt;D xsi:type="xsd:double"&gt;35.6265191538662&lt;/D&gt;&lt;D xsi:type="xsd:double"&gt;34.3698159448137&lt;/D&gt;&lt;D xsi:type="xsd:double"&gt;34.4754655042445&lt;/D&gt;&lt;D xsi:type="xsd:double"&gt;34.9308953909354&lt;/D&gt;&lt;D xsi:type="xsd:double"&gt;35.3062363097805&lt;/D&gt;&lt;D xsi:type="xsd:double"&gt;36.4228495059433&lt;/D&gt;&lt;D xsi:type="xsd:double"&gt;36.9119190867797&lt;/D&gt;&lt;D xsi:type="xsd:double"&gt;38.3842546739037&lt;/D&gt;&lt;D xsi:type="xsd:double"&gt;38.5008226753631&lt;/D&gt;&lt;D xsi:type="xsd:double"&gt;39.2407184902711&lt;/D&gt;&lt;D xsi:type="xsd:double"&gt;39.3060316100218&lt;/D&gt;&lt;D xsi:type="xsd:double"&gt;38.7459898052749&lt;/D&gt;&lt;D xsi:type="xsd:double"&gt;37.5551455012457&lt;/D&gt;&lt;D xsi:type="xsd:double"&gt;35.1289088054338&lt;/D&gt;&lt;D xsi:type="xsd:double"&gt;34.6115272278246&lt;/D&gt;&lt;D xsi:type="xsd:double"&gt;34.2644295831056&lt;/D&gt;&lt;D xsi:type="xsd:double"&gt;33.295324503754&lt;/D&gt;&lt;D xsi:type="xsd:double"&gt;33.1441432482083&lt;/D&gt;&lt;D xsi:type="xsd:double"&gt;33.4694404657929&lt;/D&gt;&lt;D xsi:type="xsd:double"&gt;34.3223273974581&lt;/D&gt;&lt;D xsi:type="xsd:double"&gt;31.3559800270843&lt;/D&gt;&lt;D xsi:type="xsd:double"&gt;30.8963849885309&lt;/D&gt;&lt;D xsi:type="xsd:double"&gt;29.5336255980242&lt;/D&gt;&lt;D xsi:type="xsd:double"&gt;29.5806091799266&lt;/D&gt;&lt;D xsi:type="xsd:double"&gt;30.11052394297&lt;/D&gt;&lt;D xsi:type="xsd:double"&gt;29.2819775620696&lt;/D&gt;&lt;D xsi:type="xsd:double"&gt;28.7617567254896&lt;/D&gt;&lt;D xsi:type="xsd:double"&gt;28.348462579352&lt;/D&gt;&lt;D xsi:type="xsd:double"&gt;26.476695648288&lt;/D&gt;&lt;D xsi:type="xsd:double"&gt;25.816993308794&lt;/D&gt;&lt;D xsi:type="xsd:double"&gt;24.8815995357235&lt;/D&gt;&lt;D xsi:type="xsd:double"&gt;24.2680256325974&lt;/D&gt;&lt;D xsi:type="xsd:double"&gt;23.5273584404731&lt;/D&gt;&lt;D xsi:type="xsd:double"&gt;22.6825771526342&lt;/D&gt;&lt;D xsi:type="xsd:double"&gt;23.61113123627&lt;/D&gt;&lt;D xsi:type="xsd:double"&gt;23.8934108487137&lt;/D&gt;&lt;D xsi:type="xsd:double"&gt;23.2942436175738&lt;/D&gt;&lt;D xsi:type="xsd:double"&gt;23.7962469642632&lt;/D&gt;&lt;D xsi:type="xsd:double"&gt;24.1358074983491&lt;/D&gt;&lt;D xsi:type="xsd:double"&gt;24.4741241620479&lt;/D&gt;&lt;D xsi:type="xsd:double"&gt;24.2415763112153&lt;/D&gt;&lt;D xsi:type="xsd:double"&gt;24.6306194305095&lt;/D&gt;&lt;D xsi:type="xsd:double"&gt;25.3085157448995&lt;/D&gt;&lt;D xsi:type="xsd:double"&gt;24.3331213592932&lt;/D&gt;&lt;D xsi:type="xsd:double"&gt;24.6163469015004&lt;/D&gt;&lt;/FQL&gt;&lt;FQL&gt;&lt;Q&gt;BRENT-FDS^FG_PRICE_CHANGE(0,-3AM)&lt;/Q&gt;&lt;R&gt;1&lt;/R&gt;&lt;C&gt;1&lt;/C&gt;&lt;D xsi:type="xsd:double"&gt;0&lt;/D&gt;&lt;/FQL&gt;&lt;FQL&gt;&lt;Q&gt;FC0000CA^FG_PRICE(0)&lt;/Q&gt;&lt;R&gt;1&lt;/R&gt;&lt;C&gt;1&lt;/C&gt;&lt;D xsi:type="xsd:double"&gt;316.26517&lt;/D&gt;&lt;/FQL&gt;&lt;FQL&gt;&lt;Q&gt;EWN^FG_PRICE_MAVG(0,,,,200)&lt;/Q&gt;&lt;R&gt;1&lt;/R&gt;&lt;C&gt;1&lt;/C&gt;&lt;D xsi:type="xsd:double"&gt;48.773277&lt;/D&gt;&lt;/FQL&gt;&lt;FQL&gt;&lt;Q&gt;EWU^FG_PRICE(0)&lt;/Q&gt;&lt;R&gt;1&lt;/R&gt;&lt;C&gt;1&lt;/C&gt;&lt;D xsi:type="xsd:double"&gt;36.58&lt;/D&gt;&lt;/FQL&gt;&lt;FQL&gt;&lt;Q&gt;ENZL^FG_PRICE_MAVG(0,,,,200)&lt;/Q&gt;&lt;R&gt;1&lt;/R&gt;&lt;C&gt;1&lt;/C&gt;&lt;D xsi:type="xsd:double"&gt;46.482437&lt;/D&gt;&lt;/FQL&gt;&lt;FQL&gt;&lt;Q&gt;FXI^FG_TOTAL_RETURNC(0,-1AM)&lt;/Q&gt;&lt;R&gt;1&lt;/R&gt;&lt;C&gt;1&lt;/C&gt;&lt;D xsi:type="xsd:double"&gt;30.479193&lt;/D&gt;&lt;/FQL&gt;&lt;FQL&gt;&lt;Q&gt;VWO^PERCENT_CHANGE(FMA_EPS(+1,0,,,,"PORTAGG","MEAN"),FMA_EPS(+1,-3AM,,,,"PORTAGG","MEAN"))&lt;/Q&gt;&lt;R&gt;1&lt;/R&gt;&lt;C&gt;1&lt;/C&gt;&lt;D xsi:type="xsd:double"&gt;0.983283136085123&lt;/D&gt;&lt;/FQL&gt;&lt;FQL&gt;&lt;Q&gt;EWN^FMA_PCT_ABOVE_MAVG(200,0,,,,"PORTAGG")&lt;/Q&gt;&lt;R&gt;1&lt;/R&gt;&lt;C&gt;1&lt;/C&gt;&lt;D xsi:type="xsd:double"&gt;55.5555555555556&lt;/D&gt;&lt;/FQL&gt;&lt;FQL&gt;&lt;Q&gt;EWU^FMA_COS_DOWN("EPS","1M",+1,0,,,"PORTAGG","MEANR")&lt;/Q&gt;&lt;R&gt;1&lt;/R&gt;&lt;C&gt;1&lt;/C&gt;&lt;D xsi:type="xsd:double"&gt;31&lt;/D&gt;&lt;/FQL&gt;&lt;FQL&gt;&lt;Q&gt;EWQ^FMA_RBICS_REV_CURRENT(30, LOC, "PORTAGG")&lt;/Q&gt;&lt;R&gt;1&lt;/R&gt;&lt;C&gt;1&lt;/C&gt;&lt;D xsi:type="xsd:double"&gt;11.5124215499027&lt;/D&gt;&lt;/FQL&gt;&lt;FQL&gt;&lt;Q&gt;REFCHMPR-FDS^(SUBARRAY(NOT_NA(NO_REPEAT_F(FG_YIELD(NOW,-10AY,D))),0,1)-SUBARRAY(NOT_NA(NO_REPEAT_F(FG_YIELD(NOW,-10AY,D))),1,1))*100&lt;/Q&gt;&lt;R&gt;1&lt;/R&gt;&lt;C&gt;1&lt;/C&gt;&lt;D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xsi:type="xsd:double"&gt;-25&lt;/D&gt;&lt;/FQL&gt;&lt;FQL&gt;&lt;Q&gt;TRYFR10Y-FDS^FG_YIELD_NAME&lt;/Q&gt;&lt;R&gt;1&lt;/R&gt;&lt;C&gt;1&lt;/C&gt;&lt;D xsi:type="xsd:string"&gt;France Benchmark Bond - 10 Year&lt;/D&gt;&lt;/FQL&gt;&lt;FQL&gt;&lt;Q&gt;VWO^FG_PE_NTM(0,,,90,0)&lt;/Q&gt;&lt;R&gt;1&lt;/R&gt;&lt;C&gt;1&lt;/C&gt;&lt;D xsi:type="xsd:double"&gt;12.8384353290412&lt;/D&gt;&lt;/FQL&gt;&lt;FQL&gt;&lt;Q&gt;EWQ^FMA_PE(NTMA,0,,,"PORTAGG","MEANR")&lt;/Q&gt;&lt;R&gt;1&lt;/R&gt;&lt;C&gt;1&lt;/C&gt;&lt;D xsi:type="xsd:double"&gt;13.8176776458992&lt;/D&gt;&lt;/FQL&gt;&lt;FQL&gt;&lt;Q&gt;EWJ^FMA_PE(NTMA,0,,,"PORTAGG","MEANR")&lt;/Q&gt;&lt;R&gt;1&lt;/R&gt;&lt;C&gt;1&lt;/C&gt;&lt;D xsi:type="xsd:double"&gt;14.6427122957341&lt;/D&gt;&lt;/FQL&gt;&lt;FQL&gt;&lt;Q&gt;EWI^FG_COMPANY_NAME&lt;/Q&gt;&lt;R&gt;1&lt;/R&gt;&lt;C&gt;1&lt;/C&gt;&lt;D xsi:type="xsd:string"&gt;iShares MSCI Italy ETF&lt;/D&gt;&lt;/FQL&gt;&lt;FQL&gt;&lt;Q&gt;VGK^FG_TOTAL_RETURNC(0,-6AM)&lt;/Q&gt;&lt;R&gt;1&lt;/R&gt;&lt;C&gt;1&lt;/C&gt;&lt;D xsi:type="xsd:double"&gt;6.5093637&lt;/D&gt;&lt;/FQL&gt;&lt;FQL&gt;&lt;Q&gt;DUMMY^ECON_EXPR_DATA('FDS_ECON[PMIDMMANHE]',,,M)&lt;/Q&gt;&lt;R&gt;1&lt;/R&gt;&lt;C&gt;1&lt;/C&gt;&lt;D xsi:type="xsd:double"&gt;47.52011&lt;/D&gt;&lt;/FQL&gt;&lt;FQL&gt;&lt;Q&gt;EWU^FMA_ROE(NTMA,-20AY,NOW,FY,"PORTAGG","MEANR")&lt;/Q&gt;&lt;R&gt;20&lt;/R&gt;&lt;C&gt;1&lt;/C&gt;&lt;D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xsi:type="xsd:double"&gt;12.870966472555&lt;/D&gt;&lt;D xsi:type="xsd:double"&gt;11.2077122027496&lt;/D&gt;&lt;D xsi:type="xsd:double"&gt;13.9227366843934&lt;/D&gt;&lt;D xsi:type="xsd:double"&gt;15.8583479057593&lt;/D&gt;&lt;D xsi:type="xsd:double"&gt;14.7202942014685&lt;/D&gt;&lt;/FQL&gt;&lt;FQL&gt;&lt;Q&gt;TRYUS10Y-FDS^FG_YIELD(-10AY,0,Y,,"YTM")&lt;/Q&gt;&lt;R&gt;10&lt;/R&gt;&lt;C&gt;1&lt;/C&gt;&lt;D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xsi:type="xsd:double"&gt;3.1928&lt;/D&gt;&lt;/FQL&gt;&lt;FQL&gt;&lt;Q&gt;EWL^FMA_PE(NTMA,-10AY,0,AM,"PORTAGG","MEANR")&lt;/Q&gt;&lt;R&gt;121&lt;/R&gt;&lt;C&gt;1&lt;/C&gt;&lt;D xsi:type="xsd:double"&gt;15.1180215919904&lt;/D&gt;&lt;D xsi:type="xsd:double"&gt;15.9654544075771&lt;/D&gt;&lt;D xsi:type="xsd:double"&gt;15.8330109722697&lt;/D&gt;&lt;D xsi:type="xsd:double"&gt;15.7565158369341&lt;/D&gt;&lt;D xsi:type="xsd:double"&gt;16.8475443286737&lt;/D&gt;&lt;D xsi:type="xsd:double"&gt;17.284157458602&lt;/D&gt;&lt;D xsi:type="xsd:double"&gt;18.2873658413189&lt;/D&gt;&lt;D xsi:type="xsd:double"&gt;17.6011247078023&lt;/D&gt;&lt;D xsi:type="xsd:double"&gt;17.4507240567984&lt;/D&gt;&lt;D xsi:type="xsd:double"&gt;17.3141890608346&lt;/D&gt;&lt;D xsi:type="xsd:double"&gt;17.6676590829855&lt;/D&gt;&lt;D xsi:type="xsd:double"&gt;16.4594853936507&lt;/D&gt;&lt;D xsi:type="xsd:double"&gt;16.5148429239243&lt;/D&gt;&lt;D xsi:type="xsd:double"&gt;16.8260023510172&lt;/D&gt;&lt;D xsi:type="xsd:double"&gt;16.5939176863916&lt;/D&gt;&lt;D xsi:type="xsd:double"&gt;15.8580968414456&lt;/D&gt;&lt;D xsi:type="xsd:double"&gt;15.7721098463917&lt;/D&gt;&lt;D xsi:type="xsd:double"&gt;16.4341905957592&lt;/D&gt;&lt;D xsi:type="xsd:double"&gt;16.4853254928766&lt;/D&gt;&lt;D xsi:type="xsd:double"&gt;16.6681740008186&lt;/D&gt;&lt;D xsi:type="xsd:double"&gt;16.6654060352742&lt;/D&gt;&lt;D xsi:type="xsd:double"&gt;16.707304082633&lt;/D&gt;&lt;D xsi:type="xsd:double"&gt;17.423527966129&lt;/D&gt;&lt;D xsi:type="xsd:double"&gt;17.3492168529548&lt;/D&gt;&lt;D xsi:type="xsd:double"&gt;17.0470178924991&lt;/D&gt;&lt;D xsi:type="xsd:double"&gt;16.5691032740662&lt;/D&gt;&lt;D xsi:type="xsd:double"&gt;16.6379478574713&lt;/D&gt;&lt;D xsi:type="xsd:double"&gt;17.2065091199771&lt;/D&gt;&lt;D xsi:type="xsd:double"&gt;17.3800024830095&lt;/D&gt;&lt;D xsi:type="xsd:double"&gt;17.6390374546385&lt;/D&gt;&lt;D xsi:type="xsd:double"&gt;17.2825737031328&lt;/D&gt;&lt;D xsi:type="xsd:double"&gt;18.0259516534311&lt;/D&gt;&lt;D xsi:type="xsd:double"&gt;17.85127543502&lt;/D&gt;&lt;D xsi:type="xsd:double"&gt;17.7311509741055&lt;/D&gt;&lt;D xsi:type="xsd:double"&gt;17.5512101375863&lt;/D&gt;&lt;D xsi:type="xsd:double"&gt;17.5004270061688&lt;/D&gt;&lt;D xsi:type="xsd:double"&gt;17.9120637695898&lt;/D&gt;&lt;D xsi:type="xsd:double"&gt;17.6132197782747&lt;/D&gt;&lt;D xsi:type="xsd:double"&gt;17.5932464331134&lt;/D&gt;&lt;D xsi:type="xsd:double"&gt;17.8741525974281&lt;/D&gt;&lt;D xsi:type="xsd:double"&gt;16.2648856057421&lt;/D&gt;&lt;D xsi:type="xsd:double"&gt;16.4759389556176&lt;/D&gt;&lt;D xsi:type="xsd:double"&gt;16.0963553299124&lt;/D&gt;&lt;D xsi:type="xsd:double"&gt;16.2912594718584&lt;/D&gt;&lt;D </t>
        </r>
      </text>
    </comment>
    <comment ref="A5" authorId="0" shapeId="0" xr:uid="{A45DE347-2432-4868-B917-23919C463F85}">
      <text>
        <r>
          <rPr>
            <b/>
            <sz val="9"/>
            <color indexed="81"/>
            <rFont val="Tahoma"/>
            <charset val="1"/>
          </rPr>
          <t>xsi:type="xsd:double"&gt;15.5381965507117&lt;/D&gt;&lt;D xsi:type="xsd:double"&gt;15.891272362625&lt;/D&gt;&lt;D xsi:type="xsd:double"&gt;16.0272555606498&lt;/D&gt;&lt;D xsi:type="xsd:double"&gt;15.8755046646865&lt;/D&gt;&lt;D xsi:type="xsd:double"&gt;15.4967083751586&lt;/D&gt;&lt;D xsi:type="xsd:double"&gt;15.7763992586422&lt;/D&gt;&lt;D xsi:type="xsd:double"&gt;14.8166086845059&lt;/D&gt;&lt;D xsi:type="xsd:double"&gt;15.1803714911535&lt;/D&gt;&lt;D xsi:type="xsd:double"&gt;15.5480675608053&lt;/D&gt;&lt;D xsi:type="xsd:double"&gt;16.1344931768982&lt;/D&gt;&lt;D xsi:type="xsd:double"&gt;16.8246595888332&lt;/D&gt;&lt;D xsi:type="xsd:double"&gt;16.4548542669117&lt;/D&gt;&lt;D xsi:type="xsd:double"&gt;16.89120742128&lt;/D&gt;&lt;D xsi:type="xsd:double"&gt;17.1359863490197&lt;/D&gt;&lt;D xsi:type="xsd:double"&gt;16.8454919914567&lt;/D&gt;&lt;D xsi:type="xsd:double"&gt;17.1453781939803&lt;/D&gt;&lt;D xsi:type="xsd:double"&gt;16.8750214950741&lt;/D&gt;&lt;D xsi:type="xsd:double"&gt;17.4131128666556&lt;/D&gt;&lt;D xsi:type="xsd:double"&gt;17.4295037745276&lt;/D&gt;&lt;D xsi:type="xsd:double"&gt;17.7647889301834&lt;/D&gt;&lt;D xsi:type="xsd:double"&gt;18.3751167597722&lt;/D&gt;&lt;D xsi:type="xsd:double"&gt;15.6458827201396&lt;/D&gt;&lt;D xsi:type="xsd:double"&gt;17.201386624659&lt;/D&gt;&lt;D xsi:type="xsd:double"&gt;18.4695814286525&lt;/D&gt;&lt;D xsi:type="xsd:double"&gt;19.4956731152139&lt;/D&gt;&lt;D xsi:type="xsd:double"&gt;19.627224632589&lt;/D&gt;&lt;D xsi:type="xsd:double"&gt;19.3250025309501&lt;/D&gt;&lt;D xsi:type="xsd:double"&gt;19.5285592340829&lt;/D&gt;&lt;D xsi:type="xsd:double"&gt;19.1489146370552&lt;/D&gt;&lt;D xsi:type="xsd:double"&gt;18.8225423776886&lt;/D&gt;&lt;D xsi:type="xsd:double"&gt;18.4463997398269&lt;/D&gt;&lt;D xsi:type="xsd:double"&gt;19.0504584620459&lt;/D&gt;&lt;D xsi:type="xsd:double"&gt;18.9012645977939&lt;/D&gt;&lt;D xsi:type="xsd:double"&gt;18.616472935519&lt;/D&gt;&lt;D xsi:type="xsd:double"&gt;19.4318662139275&lt;/D&gt;&lt;D xsi:type="xsd:double"&gt;19.0463227976819&lt;/D&gt;&lt;D xsi:type="xsd:double"&gt;19.8700862512432&lt;/D&gt;&lt;D xsi:type="xsd:double"&gt;19.7674143893801&lt;/D&gt;&lt;D xsi:type="xsd:double"&gt;19.8806180692012&lt;/D&gt;&lt;D xsi:type="xsd:double"&gt;19.2911374042742&lt;/D&gt;&lt;D xsi:type="xsd:double"&gt;18.4288348270169&lt;/D&gt;&lt;D xsi:type="xsd:double"&gt;19.3235724575749&lt;/D&gt;&lt;D xsi:type="xsd:double"&gt;19.3398855423122&lt;/D&gt;&lt;D xsi:type="xsd:double"&gt;19.0314834683315&lt;/D&gt;&lt;D xsi:type="xsd:double"&gt;18.4707394053296&lt;/D&gt;&lt;D xsi:type="xsd:double"&gt;17.1589938588245&lt;/D&gt;&lt;D xsi:type="xsd:double"&gt;18.6778455814198&lt;/D&gt;&lt;D xsi:type="xsd:double"&gt;16.7903190078138&lt;/D&gt;&lt;D xsi:type="xsd:double"&gt;15.9733284461668&lt;/D&gt;&lt;D xsi:type="xsd:double"&gt;16.1552568439754&lt;/D&gt;&lt;D xsi:type="xsd:double"&gt;16.942066939752&lt;/D&gt;&lt;D xsi:type="xsd:double"&gt;16.20173530647&lt;/D&gt;&lt;D xsi:type="xsd:double"&gt;14.8832259860047&lt;/D&gt;&lt;D xsi:type="xsd:double"&gt;16.7820477926252&lt;/D&gt;&lt;D xsi:type="xsd:double"&gt;16.781087288449&lt;/D&gt;&lt;D xsi:type="xsd:double"&gt;16.9255729239169&lt;/D&gt;&lt;D xsi:type="xsd:double"&gt;17.0338052116019&lt;/D&gt;&lt;D xsi:type="xsd:double"&gt;16.6508081957951&lt;/D&gt;&lt;D xsi:type="xsd:double"&gt;17.2565068245308&lt;/D&gt;&lt;D xsi:type="xsd:double"&gt;17.4955864622395&lt;/D&gt;&lt;D xsi:type="xsd:double"&gt;16.4810585049268&lt;/D&gt;&lt;D xsi:type="xsd:double"&gt;16.1361004053016&lt;/D&gt;&lt;D xsi:type="xsd:double"&gt;16.7153264326635&lt;/D&gt;&lt;D xsi:type="xsd:double"&gt;16.3509211007367&lt;/D&gt;&lt;D xsi:type="xsd:double"&gt;16.2150039573916&lt;/D&gt;&lt;D xsi:type="xsd:double"&gt;15.7195907330994&lt;/D&gt;&lt;D xsi:type="xsd:double"&gt;16.5420613600371&lt;/D&gt;&lt;D xsi:type="xsd:double"&gt;17.0425860155495&lt;/D&gt;&lt;D xsi:type="xsd:double"&gt;17.0331664846492&lt;/D&gt;&lt;D xsi:type="xsd:double"&gt;17.7588005781545&lt;/D&gt;&lt;D xsi:type="xsd:double"&gt;17.181835282099&lt;/D&gt;&lt;D xsi:type="xsd:double"&gt;17.1567655764601&lt;/D&gt;&lt;D xsi:type="xsd:double"&gt;17.3660279904771&lt;/D&gt;&lt;D xsi:type="xsd:double"&gt;17.2737313840676&lt;/D&gt;&lt;D xsi:type="xsd:double"&gt;16.9367322766818&lt;/D&gt;&lt;D xsi:type="xsd:double"&gt;17.0293293580366&lt;/D&gt;&lt;D xsi:type="xsd:double"&gt;17.0969089519456&lt;/D&gt;&lt;/FQL&gt;&lt;FQL&gt;&lt;Q&gt;PASP-FDS^FG_PRICE_CHANGE(0,-3AM)&lt;/Q&gt;&lt;R&gt;1&lt;/R&gt;&lt;C&gt;1&lt;/C&gt;&lt;D xsi:type="xsd:double"&gt;6.15690168818273&lt;/D&gt;&lt;/FQL&gt;&lt;FQL&gt;&lt;Q&gt;CPALM-FDS^FG_PRICE(0)/MAX(FG_PRICE(0,-1AY))&lt;/Q&gt;&lt;R&gt;1&lt;/R&gt;&lt;C&gt;1&lt;/C&gt;&lt;D xsi:type="xsd:double"&gt;0.949989080585281&lt;/D&gt;&lt;/FQL&gt;&lt;FQL&gt;&lt;Q&gt;EWJ^PERCENT_CHANGE(FMA_EPS(+1,0,,,,"PORTAGG","MEAN"),FMA_EPS(+1,-3AM,,,,"PORTAGG","MEAN"))&lt;/Q&gt;&lt;R&gt;1&lt;/R&gt;&lt;C&gt;1&lt;/C&gt;&lt;D xsi:type="xsd:double"&gt;8.14604040250023&lt;/D&gt;&lt;/FQL&gt;&lt;FQL&gt;&lt;Q&gt;EWI^FMA_PCT_ABOVE_MAVG(200,0,,,,"PORTAGG")&lt;/Q&gt;&lt;R&gt;1&lt;/R&gt;&lt;C&gt;1&lt;/C&gt;&lt;D xsi:type="xsd:double"&gt;64&lt;/D&gt;&lt;/FQL&gt;&lt;FQL&gt;&lt;Q&gt;QQQ^FG_TOTAL_RETURNC(0,-12AM)&lt;/Q&gt;&lt;R&gt;1&lt;/R&gt;&lt;C&gt;1&lt;/C&gt;&lt;D xsi:type="xsd:double"&gt;34.556747&lt;/D&gt;&lt;/FQL&gt;&lt;FQL&gt;&lt;Q&gt;EWL^FG_TOTAL_RETURNC(0,-12AM)&lt;/Q&gt;&lt;R&gt;1&lt;/R&gt;&lt;C&gt;1&lt;/C&gt;&lt;D xsi:type="xsd:double"&gt;17.877949&lt;/D&gt;&lt;/FQL&gt;&lt;FQL&gt;&lt;Q&gt;EWG^FG_TOTAL_RETURNC(0,-12AM)&lt;/Q&gt;&lt;R&gt;1&lt;/R&gt;&lt;C&gt;1&lt;/C&gt;&lt;D xsi:type="xsd:double"&gt;28.362476&lt;/D&gt;&lt;/FQL&gt;&lt;FQL&gt;&lt;Q&gt;CAGDPY@SE^EE_ACTUAL_ANNUAL(MED,0)&lt;/Q&gt;&lt;R&gt;1&lt;/R&gt;&lt;C&gt;1&lt;/C&gt;&lt;D xsi:type="xsd:double"&gt;6.54758763985883&lt;/D&gt;&lt;/FQL&gt;&lt;FQL&gt;&lt;Q&gt;CAGDPY@NZ^EE_ACTUAL_ANNUAL(MED,0)&lt;/Q&gt;&lt;R&gt;1&lt;/R&gt;&lt;C&gt;1&lt;/C&gt;&lt;D xsi:type="xsd:double"&gt;-7.1&lt;/D&gt;&lt;/FQL&gt;&lt;FQL&gt;&lt;Q&gt;USDSEK^FG_PRICE_CHANGE(0,-6AM)&lt;/Q&gt;&lt;R&gt;1&lt;/R&gt;&lt;C&gt;1&lt;/C&gt;&lt;D xsi:type="xsd:double"&gt;-2.8174996&lt;/D&gt;&lt;/FQL&gt;&lt;FQL&gt;&lt;Q&gt;USDGBP^FG_PRICE(0)&lt;/Q&gt;&lt;R&gt;1&lt;/R&gt;&lt;C&gt;1&lt;/C&gt;&lt;D xsi:type="xsd:double"&gt;0.7662542&lt;/D&gt;&lt;/FQL&gt;&lt;FQL&gt;&lt;Q&gt;USDEUR^FG_PRICE_CHANGE(0,-6AM)&lt;/Q&gt;&lt;R&gt;1&lt;/R&gt;&lt;C&gt;1&lt;/C&gt;&lt;D xsi:type="xsd:double"&gt;-1.5517712&lt;/D&gt;&lt;/FQL&gt;&lt;FQL&gt;&lt;Q&gt;USDNZD^STD(FG_PRICE_CHANGE(0,-3AY,M))&lt;/Q&gt;&lt;R&gt;1&lt;/R&gt;&lt;C&gt;1&lt;/C&gt;&lt;D xsi:type="xsd:double"&gt;3.60072422412022&lt;/D&gt;&lt;/FQL&gt;&lt;FQL&gt;&lt;Q&gt;EWI^P_PRICE_RETURNS_PR('52W',2,-10AY,0,AM)&lt;/Q&gt;&lt;R&gt;121&lt;/R&gt;&lt;C&gt;1&lt;/C&gt;&lt;D xsi:type="xsd:double"&gt;-3.4401894&lt;/D&gt;&lt;D xsi:type="xsd:double"&gt;-3.0783534&lt;/D&gt;&lt;D xsi:type="xsd:double"&gt;-2.73633&lt;/D&gt;&lt;D xsi:type="xsd:double"&gt;-16.682983&lt;/D&gt;&lt;D xsi:type="xsd:double"&gt;-10.569692&lt;/D&gt;&lt;D xsi:type="xsd:double"&gt;-15.319914&lt;/D&gt;&lt;D xsi:type="xsd:double"&gt;-11.398989&lt;/D&gt;&lt;D xsi:type="xsd:double"&gt;-9.937453&lt;/D&gt;&lt;D xsi:type="xsd:double"&gt;-12.066544&lt;/D&gt;&lt;D xsi:type="xsd:double"&gt;-6.457293&lt;/D&gt;&lt;D xsi:type="xsd:double"&gt;5.457413&lt;/D&gt;&lt;D xsi:type="xsd:double"&gt;-5.9859457&lt;/D&gt;&lt;D xsi:type="xsd:double"&gt;7.553613&lt;/D&gt;&lt;D xsi:type="xsd:double"&gt;3.2550335&lt;/D&gt;&lt;D xsi:type="xsd:double"&gt;0.9536147&lt;/D&gt;&lt;D xsi:type="xsd:double"&gt;0.51095486&lt;/D&gt;&lt;D xsi:type="xsd:double"&gt;-18.972927&lt;/D&gt;&lt;D xsi:type="xsd:double"&gt;-13.251906&lt;/D&gt;&lt;D xsi:type="xsd:double"&gt;-21.030611&lt;/D&gt;&lt;D xsi:type="xsd:double"&gt;-20.59102&lt;/D&gt;&lt;D xsi:type="xsd:double"&gt;-24.54905&lt;/D&gt;&lt;D xsi:type="xsd:double"&gt;-22.648357&lt;/D&gt;&lt;D xsi:type="xsd:double"&gt;-27.37227&lt;/D&gt;&lt;D xsi:type="xsd:double"&gt;-19.545109&lt;/D&gt;&lt;D xsi:type="xsd:double"&gt;-25.017685&lt;/D&gt;&lt;D xsi:type="xsd:double"&gt;-20.863104&lt;/D&gt;&lt;D xsi:type="xsd:double"&gt;-13.947892&lt;/D&gt;&lt;D xsi:type="xsd:double"&gt;-1.6331077&lt;/D&gt;&lt;D xsi:type="xsd:double"&gt;10.771108&lt;/D&gt;&lt;D xsi:type="xsd:double"&gt;6.208098&lt;/D&gt;&lt;D xsi:type="xsd:double"&gt;10.99168&lt;/D&gt;&lt;D xsi:type="xsd:double"&gt;18.010689&lt;/D&gt;&lt;D xsi:type="xsd:double"&gt;20.288288&lt;/D&gt;&lt;D xsi:type="xsd:double"&gt;37.824474&lt;/D&gt;&lt;D xsi:type="xsd:double"&gt;36.62982&lt;/D&gt;&lt;D xsi:type="xsd:double"&gt;34.482563&lt;/D&gt;&lt;D xsi:type="xsd:double"&gt;44.16046&lt;/D&gt;&lt;D xsi:type="xsd:double"&gt;42.66759&lt;/D&gt;&lt;D xsi:type="xsd:double"&gt;35.814213&lt;/D&gt;&lt;D xsi:type="xsd:double"&gt;34.373535&lt;/D&gt;&lt;D xsi:type="xsd:double"&gt;36.365734&lt;/D&gt;&lt;D xsi:type="xsd:double"&gt;36.285877&lt;/D&gt;&lt;D xsi:type="xsd:double"&gt;35.640656&lt;/D&gt;&lt;D xsi:type="xsd:double"&gt;23.709833&lt;/D&gt;&lt;D xsi:type="xsd:double"&gt;6.8599105&lt;/D&gt;&lt;D xsi:type="xsd:double"&gt;8.446503&lt;/D&gt;&lt;D xsi:type="xsd:double"&gt;-3.4802139&lt;/D&gt;&lt;D xsi:type="xsd:double"&gt;-5.6354227&lt;/D&gt;&lt;D xsi:type="xsd:double"&gt;-12.771708&lt;/D&gt;&lt;D xsi:type="xsd:double"&gt;-14.641464&lt;/D&gt;&lt;D xsi:type="xsd:double"&gt;-18.557484&lt;/D&gt;&lt;D xsi:type="xsd:double"&gt;-16.519165&lt;/D&gt;&lt;D xsi:type="xsd:double"&gt;-15.391427&lt;/D&gt;&lt;D xsi:type="xsd:double"&gt;-14.065165&lt;/D&gt;&lt;D xsi:type="xsd:double"&gt;-12.13274&lt;/D&gt;&lt;D xsi:type="xsd:double"&gt;-14.768988&lt;/D&gt;&lt;D xsi:type="xsd:double"&gt;-4.0121675&lt;/D&gt;&lt;D xsi:type="xsd:double"&gt;0.3545642&lt;/D&gt;&lt;D xsi:type="xsd:double"&gt;-5.4775057&lt;/D&gt;&lt;D xsi:type="xsd:double"&gt;3.6036253&lt;/D&gt;&lt;D xsi:type="xsd:double"&gt;9.360588&lt;/D&gt;&lt;D xsi:type="xsd:double"&gt;20.438862&lt;/D&gt;&lt;D xsi:type="xsd:double"&gt;22.240973&lt;/D&gt;&lt;D xsi:type="xsd:double"&gt;20.115936&lt;/D&gt;&lt;D xsi:type="xsd:double"&gt;21.668888&lt;/D&gt;&lt;D xsi:type="xsd:double"&gt;-9.174603&lt;/D&gt;&lt;D xsi:type="xsd:double"&gt;-20.528275&lt;/D&gt;&lt;D xsi:type="xsd:double"&gt;-21.05227&lt;/D&gt;&lt;D xsi:type="xsd:double"&gt;-5.119604&lt;/D&gt;&lt;D xsi:type="xsd:double"&gt;-10.991359&lt;/D&gt;&lt;D xsi:type="xsd:double"&gt;0.41553974&lt;/D&gt;&lt;D xsi:type="xsd:double"&gt;-6.2696037&lt;/D&gt;&lt;D xsi:type="xsd:double"&gt;-4.81236&lt;/D&gt;&lt;D xsi:type="xsd:double"&gt;-7.0800962&lt;/D&gt;&lt;D xsi:type="xsd:double"&gt;3.268361&lt;/D&gt;&lt;D xsi:type="xsd:double"&gt;4.4243574&lt;/D&gt;&lt;D xsi:type="xsd:double"&gt;4.2675495&lt;/D&gt;&lt;D xsi:type="xsd:double"&gt;36.291695&lt;/D&gt;&lt;D xsi:type="xsd:double"&gt;50.167538&lt;/D&gt;&lt;D xsi:type="xsd:double"&gt;60.196377&lt;/D&gt;&lt;D xsi:type="xsd:double"&gt;39.573036&lt;/D&gt;&lt;D xsi:type="xsd:double"&gt;34.666157&lt;/D&gt;&lt;D xsi:type="xsd:double"&gt;32.245148&lt;/D&gt;&lt;D xsi:type="xsd:double"&gt;29.371489&lt;/D&gt;&lt;D xsi:type="xsd:double"&gt;30.912853&lt;/D&gt;&lt;D xsi:type="xsd:double"&gt;27.853226&lt;/D&gt;&lt;D xsi:type="xsd:double"&gt;13.712776&lt;/D&gt;&lt;D xsi:type="xsd:double"&gt;11.750627&lt;/D&gt;&lt;D xsi:type="xsd:double"&gt;10.54976&lt;/D&gt;&lt;D xsi:type="xsd:double"&gt;-10.545719&lt;/D&gt;&lt;D xsi:type="xsd:double"&gt;-5.9240875&lt;/D&gt;&lt;D xsi:type="xsd:double"&gt;-16.558874&lt;/D&gt;&lt;D xsi:type="xsd:double"&gt;-21.45728&lt;/D&gt;&lt;D xsi:type="xsd:double"&gt;-21.646791&lt;/D&gt;&lt;D xsi:type="xsd:double"&gt;-21.155851&lt;/D&gt;&lt;D xsi:type="xsd:double"&gt;-23.75772&lt;/D&gt;&lt;D xsi:type="xsd:double"&gt;-29.575026&lt;/D&gt;&lt;D xsi:type="xsd:double"&gt;-17.113722&lt;/D&gt;&lt;D xsi:type="xsd:double"&gt;-11.833096&lt;/D&gt;&lt;D xsi:type="xsd:double"&gt;-8.47789&lt;/D&gt;&lt;D xsi:type="xsd:double"&gt;-3.799808&lt;/D&gt;&lt;D xsi:type="xsd:double"&gt;13.878655&lt;/D&gt;&lt;D xsi:type="xsd:double"&gt;11.007714&lt;/D&gt;&lt;D xsi:type="xsd:double"&gt;24.424911&lt;/D&gt;&lt;D xsi:type="xsd:double"&gt;18.269575&lt;/D&gt;&lt;D xsi:type="xsd:double"&gt;38.527454&lt;/D&gt;&lt;D xsi:type="xsd:double"&gt;33.766376&lt;/D&gt;&lt;D xsi:type="xsd:double"&gt;39.978504&lt;/D&gt;&lt;D xsi:type="xsd:double"&gt;45.238388&lt;/D&gt;&lt;D xsi:type="xsd:double"&gt;21.05466&lt;/D&gt;&lt;D xsi:type="xsd:double"&gt;26.146496&lt;/D&gt;&lt;D xsi:type="xsd:double"&gt;21.461678&lt;/D&gt;&lt;D xsi:type="xsd:double"&gt;15.485358&lt;/D&gt;&lt;D xsi:type="xsd:double"&gt;24.85645&lt;/D&gt;&lt;D xsi:type="xsd:double"&gt;22.99955&lt;/D&gt;&lt;D xsi:type="xsd:double"&gt;25.381983&lt;/D&gt;&lt;D xsi:type="xsd:double"&gt;28.11737&lt;/D&gt;&lt;D xsi:type="xsd:double"&gt;22.6694&lt;/D&gt;&lt;D xsi:type="xsd:double"&gt;15.2777195&lt;/D&gt;&lt;D xsi:type="xsd:double"&gt;25.777018&lt;/D&gt;&lt;D xsi:type="xsd:double"&gt;29.85685&lt;/D&gt;&lt;/FQL&gt;&lt;FQL&gt;&lt;Q&gt;EWU^FMA_PE(LTMA,-10AY,0,AM,"PORTAGG","MEANR")&lt;/Q&gt;&lt;R&gt;121&lt;/R&gt;&lt;C&gt;1&lt;/C&gt;&lt;D xsi:type="xsd:double"&gt;13.4268495849335&lt;/D&gt;&lt;D xsi:type="xsd:double"&gt;13.9093389912946&lt;/D&gt;&lt;D xsi:type="xsd:double"&gt;13.6634158849373&lt;/D&gt;&lt;D xsi:type="xsd:double"&gt;13.4770673405133&lt;/D&gt;&lt;D xsi:type="xsd:double"&gt;14.4623759855992&lt;/D&gt;&lt;D xsi:type="xsd:double"&gt;15.1052339657716&lt;/D&gt;&lt;D xsi:type="xsd:double"&gt;15.4653415263547&lt;/D&gt;&lt;D xsi:type="xsd:double"&gt;15.6949630011271&lt;/D&gt;&lt;D xsi:type="xsd:double"&gt;15.6870465930825&lt;/D&gt;&lt;D xsi:type="xsd:double"&gt;15.5822147632225&lt;/D&gt;&lt;D xsi:type="xsd:double"&gt;15.869355200284&lt;/D&gt;&lt;D xsi:type="xsd:double"&gt;15.0737925139144&lt;/D&gt;&lt;D xsi:type="xsd:double"&gt;15.7553625559977&lt;/D&gt;&lt;D xsi:type="xsd:double"&gt;15.6874613847882&lt;/D&gt;&lt;D xsi:type="xsd:double"&gt;15.3933606949016&lt;/D&gt;&lt;D xsi:type="xsd:double"&gt;14.838810247841&lt;/D&gt;&lt;D xsi:type="xsd:double"&gt;14.34829767706&lt;/D&gt;&lt;D xsi:type="xsd:double"&gt;15.5542080445869&lt;/D&gt;&lt;D xsi:type="xsd:double"&gt;15.7835128991294&lt;/D&gt;&lt;D xsi:type="xsd:double"&gt;15.8600801596787&lt;/D&gt;&lt;D xsi:type="xsd:double"&gt;15.8931277075778&lt;/D&gt;&lt;D xsi:type="xsd:double"&gt;16.2632225644992&lt;/D&gt;&lt;D xsi:type="xsd:double"&gt;16.9017165742431&lt;/D&gt;&lt;D xsi:type="xsd:double"&gt;16.851203979754&lt;/D&gt;&lt;D xsi:type="xsd:double"&gt;17.1527623009272&lt;/D&gt;&lt;D xsi:type="xsd:double"&gt;16.5143678178694&lt;/D&gt;&lt;D xsi:type="xsd:double"&gt;16.8868474178802&lt;/D&gt;&lt;D xsi:type="xsd:double"&gt;17.3034187166935&lt;/D&gt;&lt;D xsi:type="xsd:double"&gt;17.3356477048108&lt;/D&gt;&lt;D xsi:type="xsd:double"&gt;17.2791303258414&lt;/D&gt;&lt;D xsi:type="xsd:double"&gt;17.0426867287098&lt;/D&gt;&lt;D xsi:type="xsd:double"&gt;16.8801949522429&lt;/D&gt;&lt;D xsi:type="xsd:double"&gt;16.6940067692947&lt;/D&gt;&lt;D xsi:type="xsd:double"&gt;16.3893310562607&lt;/D&gt;&lt;D xsi:type="xsd:double"&gt;16.2577146988727&lt;/D&gt;&lt;D xsi:type="xsd:double"&gt;15.99755873736&lt;/D&gt;&lt;D xsi:type="xsd:double"&gt;15.9074849686633&lt;/D&gt;&lt;D xsi:type="xsd:double"&gt;15.4004427733942&lt;/D&gt;&lt;D xsi:type="xsd:double"&gt;15.1429189140729&lt;/D&gt;&lt;D xsi:type="xsd:double"&gt;15.6187766487161&lt;/D&gt;&lt;D xsi:type="xsd:double"&gt;14.2238916401885&lt;/D&gt;&lt;D xsi:type="xsd:double"&gt;13.9813350069092&lt;/D&gt;&lt;D xsi:type="xsd:double"&gt;13.9878509240191&lt;/D&gt;&lt;D xsi:type="xsd:double"&gt;14.1140007376438&lt;/D&gt;&lt;D xsi:type="xsd:double"&gt;13.9559792008164&lt;/D&gt;&lt;D xsi:type="xsd:double"&gt;13.8826875565406&lt;/D&gt;&lt;D xsi:type="xsd:double"&gt;13.7790666178708&lt;/D&gt;&lt;D xsi:type="xsd:double"&gt;13.3390058134062&lt;/D&gt;&lt;D xsi:type="xsd:double"&gt;13.1914490342448&lt;/D&gt;&lt;D xsi:type="xsd:double"&gt;12.8853225820427&lt;/D&gt;&lt;D xsi:type="xsd:double"&gt;11.9842934282292&lt;/D&gt;&lt;D xsi:type="xsd:double"&gt;12.3229073775767&lt;/D&gt;&lt;D xsi:type="xsd:double"&gt;12.6055372883771&lt;/D&gt;&lt;D xsi:type="xsd:double"&gt;12.9044151049543&lt;/D&gt;&lt;D xsi:type="xsd:double"&gt;13.0150177508547&lt;/D&gt;&lt;D xsi:type="xsd:double"&gt;12.8687263753885&lt;/D&gt;&lt;D xsi:type="xsd:double"&gt;12.9766395529294&lt;/D&gt;&lt;D xsi:type="xsd:double"&gt;13.0953246178509&lt;/D&gt;&lt;D xsi:type="xsd:double"&gt;12.7805164593504&lt;/D&gt;&lt;D xsi:type="xsd:double"&gt;12.9700062033963&lt;/D&gt;&lt;D xsi:type="xsd:double"&gt;12.8705578043882&lt;/D&gt;&lt;D xsi:type="xsd:double"&gt;13.3713981244649&lt;/D&gt;&lt;D xsi:type="xsd:double"&gt;13.4420642269539&lt;/D&gt;&lt;D xsi:type="xsd:double"&gt;14.2026786265225&lt;/D&gt;&lt;D xsi:type="xsd:double"&gt;13.9163066789729&lt;/D&gt;&lt;D xsi:type="xsd:double"&gt;12.1438349654029&lt;/D&gt;&lt;D xsi:type="xsd:double"&gt;12.7890470600447&lt;/D&gt;&lt;D xsi:type="xsd:double"&gt;13.8619513212032&lt;/D&gt;&lt;D xsi:type="xsd:double"&gt;15.1678878906886&lt;/D&gt;&lt;D xsi:type="xsd:double"&gt;15.2090678562616&lt;/D&gt;&lt;D xsi:type="xsd:double"&gt;16.0917950984534&lt;/D&gt;&lt;D xsi:type="xsd:double"&gt;16.733564821953&lt;/D&gt;&lt;D xsi:type="xsd:double"&gt;17.2103915694158&lt;/D&gt;&lt;D xsi:type="xsd:double"&gt;17.7423963569979&lt;/D&gt;&lt;D xsi:type="xsd:double"&gt;19.4586211833877&lt;/D&gt;&lt;D xsi:type="xsd:double"&gt;20.6652767948723&lt;/D&gt;&lt;D xsi:type="xsd:double"&gt;19.3817254166344&lt;/D&gt;&lt;D xsi:type="xsd:double"&gt;18.6878503530208&lt;/D&gt;&lt;D xsi:type="xsd:double"&gt;18.1145798667634&lt;/D&gt;&lt;D xsi:type="xsd:double"&gt;17.5931936042386&lt;/D&gt;&lt;D xsi:type="xsd:double"&gt;16.9345734529269&lt;/D&gt;&lt;D xsi:type="xsd:double"&gt;16.183774158564&lt;/D&gt;&lt;D xsi:type="xsd:double"&gt;15.2634408291103&lt;/D&gt;&lt;D xsi:type="xsd:double"&gt;14.403159123441&lt;/D&gt;&lt;D xsi:type="xsd:double"&gt;13.9019782093244&lt;/D&gt;&lt;D xsi:type="xsd:double"&gt;13.3694110492169&lt;/D&gt;&lt;D xsi:type="xsd:double"&gt;12.516932068212&lt;/D&gt;&lt;D xsi:type="xsd:double"&gt;12.5046335567764&lt;/D&gt;&lt;D xsi:type="xsd:double"&gt;12.9056929746565&lt;/D&gt;&lt;D xsi:type="xsd:double"&gt;12.3912279135317&lt;/D&gt;&lt;D xsi:type="xsd:double"&gt;12.2914850597269&lt;/D&gt;&lt;D xsi:type="xsd:double"&gt;11.7047688651694&lt;/D&gt;&lt;D xsi:type="xsd:double"&gt;11.4776487351241&lt;/D&gt;&lt;D xsi:type="xsd:double"&gt;11.0035523279174&lt;/D&gt;&lt;D xsi:type="xsd:double"&gt;10.9051263820014&lt;/D&gt;&lt;D xsi:type="xsd:double"&gt;10.2635475121035&lt;/D&gt;&lt;D xsi:type="xsd:double"&gt;9.44208245097541&lt;/D&gt;&lt;D xsi:type="xsd:double"&gt;9.73677530072348&lt;/D&gt;&lt;D xsi:type="xsd:double"&gt;9.88596326966747&lt;/D&gt;&lt;D xsi:type="xsd:double"&gt;9.95110814933409&lt;/D&gt;&lt;D xsi:type="xsd:double"&gt;10.1159774436115&lt;/D&gt;&lt;D xsi:type="xsd:double"&gt;10.231244065644&lt;/D&gt;&lt;D xsi:type="xsd:double"&gt;10.3158189352764&lt;/D&gt;&lt;D xsi:type="xsd:double"&gt;10.3778379359349&lt;/D&gt;&lt;D xsi:type="xsd:double"&gt;10.3113009682728&lt;/D&gt;&lt;D xsi:type="xsd:double"&gt;10.2144636237062&lt;/D&gt;&lt;D xsi:type="xsd:double"&gt;10.6130999035728&lt;/D&gt;&lt;D xsi:type="xsd:double"&gt;10.4915834668744&lt;/D&gt;&lt;D xsi:type="xsd:double"&gt;10.6454408476743&lt;/D&gt;&lt;D xsi:type="xsd:double"&gt;10.3955282351033&lt;/D&gt;&lt;D xsi:type="xsd:double"&gt;10.9125925243936&lt;/D&gt;&lt;D xsi:type="xsd:double"&gt;11.277665180717&lt;/D&gt;&lt;D xsi:type="xsd:double"&gt;11.1802917300525&lt;/D&gt;&lt;D xsi:type="xsd:double"&gt;11.4612716438943&lt;/D&gt;&lt;D xsi:type="xsd:double"&gt;11.5450857613451&lt;/D&gt;&lt;D xsi:type="xsd:double"&gt;11.7589322781366&lt;/D&gt;&lt;D xsi:type="xsd:double"&gt;11.6826062907713&lt;/D&gt;&lt;D xsi:type="xsd:double"&gt;11.7435068986545&lt;/D&gt;&lt;D xsi:type="xsd:double"&gt;11.7849855616598&lt;/D&gt;&lt;D xsi:type="xsd:double"&gt;11.9491274216378&lt;/D&gt;&lt;D xsi:type="xsd:double"&gt;12.1885794718096&lt;/D&gt;&lt;/FQL&gt;&lt;FQL&gt;&lt;Q&gt;NI-FDS^FG_PRICE(0)&lt;/Q&gt;&lt;R&gt;1&lt;/R&gt;&lt;C&gt;1&lt;/C&gt;&lt;D xsi:type="xsd:double"&gt;17150&lt;/D&gt;&lt;/FQL&gt;&lt;FQL&gt;&lt;Q&gt;EWI^FG_PRICE_MAVG(0,,,,60)&lt;/Q&gt;&lt;R&gt;1&lt;/R&gt;&lt;C&gt;1&lt;/C&gt;&lt;D xsi:type="xsd:double"&gt;37.639168&lt;/D&gt;&lt;/FQL&gt;&lt;FQL&gt;&lt;Q&gt;QQQ^FG_PRICE_MAVG(0,,,,60)&lt;/Q&gt;&lt;R&gt;1&lt;/R&gt;&lt;C&gt;1&lt;/C&gt;&lt;D xsi:type="xsd:double"&gt;471.016&lt;/D&gt;&lt;/FQL&gt;&lt;FQL&gt;&lt;Q&gt;EWC^FG_PRICE_MAVG(0,,,,200)&lt;/Q&gt;&lt;R&gt;1&lt;/R&gt;&lt;C&gt;1&lt;/C&gt;&lt;D xsi:type="xsd:double"&gt;37.9919&lt;/D&gt;&lt;/FQL&gt;&lt;FQL&gt;&lt;Q&gt;VWO^FG_TOTAL_RETURNC(0,-12AM)&lt;/Q&gt;&lt;R&gt;1&lt;/R&gt;&lt;C&gt;1&lt;/C&gt;&lt;D xsi:type="xsd:double"&gt;24.668144&lt;/D&gt;&lt;/FQL&gt;&lt;FQL&gt;&lt;Q&gt;EWJ^P_PRICE(0)/P_PRICE_HIGH_PR(0,,,,,,"PRICE","INTRA","52W")&lt;/Q&gt;&lt;R&gt;1&lt;/R&gt;&lt;C&gt;1&lt;/C&gt;&lt;D xsi:type="xsd:double"&gt;0.9680503&lt;/D&gt;&lt;/FQL&gt;&lt;FQL&gt;&lt;Q&gt;TRYUS10Y-FDS^PCTCHG(FG_YIELD(0,,,,"YTM"),FG_YIELD(-1AM,,,,"YTM"))&lt;/Q&gt;&lt;R&gt;1&lt;/R&gt;&lt;C&gt;1&lt;/C&gt;&lt;D xsi:type="xsd:double"&gt;11.822973&lt;/D&gt;&lt;/FQL&gt;&lt;FQL&gt;&lt;Q&gt;TRYDE10Y-FDS^FG_YIELD(0,,,,"YTM")&lt;/Q&gt;&lt;R&gt;1&lt;/R&gt;&lt;C&gt;1&lt;/C&gt;&lt;D xsi:type="xsd:double"&gt;2.264&lt;/D&gt;&lt;/FQL&gt;&lt;FQL&gt;&lt;Q&gt;EWN^FMA_PE(NTMA,0,,,"PORTAGG","MEANR")&lt;/Q&gt;&lt;R&gt;1&lt;/R&gt;&lt;C&gt;1&lt;/C&gt;&lt;D xsi:type="xsd:double"&gt;15.1303784360714&lt;/D&gt;&lt;/FQL&gt;&lt;FQL&gt;&lt;Q&gt;EWL^FMA_PE(LTM,0,,,"PORTAGG","MEANR")&lt;/Q&gt;&lt;R&gt;1&lt;/R&gt;&lt;C&gt;1&lt;/C&gt;&lt;D xsi:type="xsd:double"&gt;21.4532188141219&lt;/D&gt;&lt;/FQL&gt;&lt;FQL&gt;&lt;Q&gt;ENZL^FMA_PE(LTM,0,,,"PORTAGG","MEANR")&lt;/Q&gt;&lt;R&gt;1&lt;/R&gt;&lt;C&gt;1&lt;/C&gt;&lt;D xsi:type="xsd:double"&gt;49.5584143587149&lt;/D&gt;&lt;/FQL&gt;&lt;FQL&gt;&lt;Q&gt;TRYAE10Y-FDS^FG_YIELD(-10AY,0,Y,,"YTM")&lt;/Q&gt;&lt;R&gt;10&lt;/R&gt;&lt;C&gt;1&lt;/C&gt;&lt;D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xsi:type="xsd:double"&gt;0.703&lt;/D&gt;&lt;/FQL&gt;&lt;FQL&gt;&lt;Q&gt;EWU^FG_TOTAL_RETURNC(-10AY,0,AM)&lt;/Q&gt;&lt;R&gt;121&lt;/R&gt;&lt;C&gt;1&lt;/C&gt;&lt;D xsi:type="xsd:double"&gt;-8.833742&lt;/D&gt;&lt;D xsi:type="xsd:double"&gt;3.592813&lt;/D&gt;&lt;D xsi:type="xsd:double"&gt;-2.8901815&lt;/D&gt;&lt;D xsi:type="xsd:double"&gt;-2.937311&lt;/D&gt;&lt;D xsi:type="xsd:double"&gt;5.6281924&lt;/D&gt;&lt;D xsi:type="xsd:double"&gt;-2.4757743&lt;/D&gt;&lt;D xsi:type="xsd:double"&gt;2.8145552&lt;/D&gt;&lt;D xsi:type="xsd:double"&gt;5.4750443&lt;/D&gt;&lt;D xsi:type="xsd:double"&gt;-2.29007&lt;/D&gt;&lt;D xsi:type="xsd:double"&gt;-2.3140252&lt;/D&gt;&lt;D xsi:type="xsd:double"&gt;1.4115095&lt;/D&gt;&lt;D xsi:type="xsd:double"&gt;-8.993578&lt;/D&gt;&lt;D xsi:type="xsd:double"&gt;3.4117699&lt;/D&gt;&lt;D xsi:type="xsd:double"&gt;-3.2423198&lt;/D&gt;&lt;D xsi:type="xsd:double"&gt;-3.115821&lt;/D&gt;&lt;D xsi:type="xsd:double"&gt;-7.0393267&lt;/D&gt;&lt;D xsi:type="xsd:double"&gt;-4.1944084&lt;/D&gt;&lt;D xsi:type="xsd:double"&gt;6.8102837&lt;/D&gt;&lt;D xsi:type="xsd:double"&gt;1.0409832&lt;/D&gt;&lt;D xsi:type="xsd:double"&gt;2.1249175&lt;/D&gt;&lt;D xsi:type="xsd:double"&gt;-1.450187&lt;/D&gt;&lt;D xsi:type="xsd:double"&gt;-1.8592298&lt;/D&gt;&lt;D xsi:type="xsd:double"&gt;4.4756174&lt;/D&gt;&lt;D xsi:type="xsd:double"&gt;1.0869622&lt;/D&gt;&lt;D xsi:type="xsd:double"&gt;-1.7710328&lt;/D&gt;&lt;D xsi:type="xsd:double"&gt;-2.157116&lt;/D&gt;&lt;D xsi:type="xsd:double"&gt;2.5995374&lt;/D&gt;&lt;D xsi:type="xsd:double"&gt;0.70192814&lt;/D&gt;&lt;D xsi:type="xsd:double"&gt;2.776885&lt;/D&gt;&lt;D xsi:type="xsd:double"&gt;-0.5340874&lt;/D&gt;&lt;D xsi:type="xsd:double"&gt;2.2109985&lt;/D&gt;&lt;D xsi:type="xsd:double"&gt;4.944372&lt;/D&gt;&lt;D xsi:type="xsd:double"&gt;0.67726374&lt;/D&gt;&lt;D xsi:type="xsd:double"&gt;-0.8072138&lt;/D&gt;&lt;D xsi:type="xsd:double"&gt;1.3566494&lt;/D&gt;&lt;D xsi:type="xsd:double"&gt;1.8441439&lt;/D&gt;&lt;D xsi:type="xsd:double"&gt;2.6869059&lt;/D&gt;&lt;D xsi:type="xsd:double"&gt;-1.4789522&lt;/D&gt;&lt;D xsi:type="xsd:double"&gt;1.1836052&lt;/D&gt;&lt;D xsi:type="xsd:double"&gt;5.639529&lt;/D&gt;&lt;D xsi:type="xsd:double"&gt;-5.668688&lt;/D&gt;&lt;D xsi:type="xsd:double"&gt;2.304554&lt;/D&gt;&lt;D xsi:type="xsd:double"&gt;2.8229356&lt;/D&gt;&lt;D xsi:type="xsd:double"&gt;1.8302798&lt;/D&gt;&lt;D xsi:type="xsd:double"&gt;-0.78976154&lt;/D&gt;&lt;D xsi:type="xsd:double"&gt;-0.79703329999999994&lt;/D&gt;&lt;D xsi:type="xsd:double"&gt;-3.767699&lt;/D&gt;&lt;D xsi:type="xsd:double"&gt;-2.7965903&lt;/D&gt;&lt;D xsi:type="xsd:double"&gt;-0.78740716&lt;/D&gt;&lt;D xsi:type="xsd:double"&gt;-1.1599422&lt;/D&gt;&lt;D xsi:type="xsd:double"&gt;-7.535517&lt;/D&gt;&lt;D xsi:type="xsd:double"&gt;4.302168&lt;/D&gt;&lt;D xsi:type="xsd:double"&gt;3.6976457&lt;/D&gt;&lt;D xsi:type="xsd:double"&gt;1.8933415&lt;/D&gt;&lt;D xsi:type="xsd:double"&gt;4.6144247&lt;/D&gt;&lt;D xsi:type="xsd:double"&gt;-2.3090541&lt;/D&gt;&lt;D xsi:type="xsd:double"&gt;-0.60606&lt;/D&gt;&lt;D xsi:type="xsd:double"&gt;0.8776665&lt;/D&gt;&lt;D xsi:type="xsd:double"&gt;-6.726593&lt;/D&gt;&lt;D xsi:type="xsd:double"&gt;3.3233643&lt;/D&gt;&lt;D xsi:type="xsd:double"&gt;-1.1579335&lt;/D&gt;&lt;D xsi:type="xsd:double"&gt;6.085253&lt;/D&gt;&lt;D xsi:type="xsd:double"&gt;1.0122776&lt;/D&gt;&lt;D xsi:type="xsd:double"&gt;3.9137363&lt;/D&gt;&lt;D xsi:type="xsd:double"&gt;-2.6167154&lt;/D&gt;&lt;D xsi:type="xsd:double"&gt;-16.91603&lt;/D&gt;&lt;D xsi:type="xsd:double"&gt;-8.158761&lt;/D&gt;&lt;D xsi:type="xsd:double"&gt;1.4405727&lt;/D&gt;&lt;D xsi:type="xsd:double"&gt;8.441818&lt;/D&gt;&lt;D xsi:type="xsd:double"&gt;-3.8018525&lt;/D&gt;&lt;D xsi:type="xsd:double"&gt;2.341652&lt;/D&gt;&lt;D xsi:type="xsd:double"&gt;-3.4883738&lt;/D&gt;&lt;D xsi:type="xsd:double"&gt;2.4873734&lt;/D&gt;&lt;D xsi:type="xsd:double"&gt;6.674242&lt;/D&gt;&lt;D xsi:type="xsd:double"&gt;5.581236&lt;/D&gt;&lt;D xsi:type="xsd:double"&gt;6.4584613&lt;/D&gt;&lt;D xsi:type="xsd:double"&gt;-3.8067818&lt;/D&gt;&lt;D xsi:type="xsd:double"&gt;5.054879&lt;/D&gt;&lt;D xsi:type="xsd:double"&gt;1.6460896&lt;/D&gt;&lt;D xsi:type="xsd:double"&gt;5.636871&lt;/D&gt;&lt;D xsi:type="xsd:double"&gt;0.49051046&lt;/D&gt;&lt;D xsi:type="xsd:double"&gt;-1.0441601&lt;/D&gt;&lt;D xsi:type="xsd:double"&gt;0.6331086&lt;/D&gt;&lt;D xsi:type="xsd:double"&gt;-1.9173145&lt;/D&gt;&lt;D xsi:type="xsd:double"&gt;0.15271902&lt;/D&gt;&lt;D xsi:type="xsd:double"&gt;1.7383337&lt;/D&gt;&lt;D xsi:type="xsd:double"&gt;-0.8992791&lt;/D&gt;&lt;D xsi:type="xsd:double"&gt;5.301535&lt;/D&gt;&lt;D xsi:type="xsd:double"&gt;2.1841764&lt;/D&gt;&lt;D xsi:type="xsd:double"&gt;-8.405548&lt;/D&gt;&lt;D xsi:type="xsd:double"&gt;7.852423&lt;/D&gt;&lt;D xsi:type="xsd:double"&gt;-9.502924&lt;/D&gt;&lt;D xsi:type="xsd:double"&gt;1.6056299&lt;/D&gt;&lt;D xsi:type="xsd:double"&gt;-4.501295&lt;/D&gt;&lt;D xsi:type="xsd:double"&gt;6.035948&lt;/D&gt;&lt;D xsi:type="xsd:double"&gt;-6.2360106&lt;/D&gt;&lt;D xsi:type="xsd:double"&gt;-9.754437&lt;/D&gt;&lt;D xsi:type="xsd:double"&gt;12.585044&lt;/D&gt;&lt;D xsi:type="xsd:double"&gt;5.773747&lt;/D&gt;&lt;D xsi:type="xsd:double"&gt;2.6236653&lt;/D&gt;&lt;D xsi:type="xsd:double"&gt;1.6007423&lt;/D&gt;&lt;D xsi:type="xsd:double"&gt;-2.4714231&lt;/D&gt;&lt;D xsi:type="xsd:double"&gt;4.7513485&lt;/D&gt;&lt;D xsi:type="xsd:double"&gt;1.6026616&lt;/D&gt;&lt;D xsi:type="xsd:double"&gt;-2.4264097&lt;/D&gt;&lt;D xsi:type="xsd:double"&gt;-2.114427&lt;/D&gt;&lt;D xsi:type="xsd:double"&gt;3.7166476&lt;/D&gt;&lt;D xsi:type="xsd:double"&gt;-2.7565122&lt;/D&gt;&lt;D xsi:type="xsd:double"&gt;0.7874012&lt;/D&gt;&lt;D xsi:type="xsd:double"&gt;-2.9999971&lt;/D&gt;&lt;D xsi:type="xsd:double"&gt;4.9613476&lt;/D&gt;&lt;D xsi:type="xsd:double"&gt;3.0557513&lt;/D&gt;&lt;D xsi:type="xsd:double"&gt;-1.7367423&lt;/D&gt;&lt;D xsi:type="xsd:double"&gt;3.3488393&lt;/D&gt;&lt;D xsi:type="xsd:double"&gt;2.2802234&lt;/D&gt;&lt;D xsi:type="xsd:double"&gt;6.042826&lt;/D&gt;&lt;D xsi:type="xsd:double"&gt;-0.3596127&lt;/D&gt;&lt;D xsi:type="xsd:double"&gt;0.5713463&lt;/D&gt;&lt;D xsi:type="xsd:double"&gt;-0.3658831&lt;/D&gt;&lt;D xsi:type="xsd:double"&gt;3.1355858&lt;/D&gt;&lt;D xsi:type="xsd:double"&gt;0.19173622&lt;/D&gt;&lt;/FQL&gt;&lt;FQL&gt;&lt;Q&gt;WL-FDS^FG_PRICE_CHANGE(0,-3AM)&lt;/Q&gt;&lt;R&gt;1&lt;/R&gt;&lt;C&gt;1&lt;/C&gt;&lt;D xsi:type="xsd:double"&gt;1.59555396199356&lt;/D&gt;&lt;/FQL&gt;&lt;FQL&gt;&lt;Q&gt;W-FDS^FG_PRICE_CHANGE(0,-1AM)&lt;/Q&gt;&lt;R&gt;1&lt;/R&gt;&lt;C&gt;1&lt;/C&gt;&lt;D xsi:type="xsd:double"&gt;8.05369127516777&lt;/D&gt;&lt;/FQL&gt;&lt;FQL&gt;&lt;Q&gt;TIOS-FDS^FG_PRICE_CHANGE(0,-1AY)&lt;/Q&gt;&lt;R&gt;1&lt;/R&gt;&lt;C&gt;1&lt;/C&gt;&lt;D xsi:type="xsd:double"&gt;-9.87223168654174&lt;/D&gt;&lt;/FQL&gt;&lt;FQL&gt;&lt;Q&gt;EWI^FG_PRICE_MAVG(0,,,,30)&lt;/Q&gt;&lt;R&gt;1&lt;/R&gt;&lt;C&gt;1&lt;/C&gt;&lt;D xsi:type="xsd:double"&gt;38.287334&lt;/D&gt;&lt;/FQL&gt;&lt;FQL&gt;&lt;Q&gt;EWJ^FG_TOTAL_RETURNC(0,-12AM)&lt;/Q&gt;&lt;R&gt;1&lt;/R&gt;&lt;C&gt;1&lt;/C&gt;&lt;D xsi:type="xsd:double"&gt;20.067417&lt;/D&gt;&lt;/FQL&gt;&lt;FQL&gt;&lt;Q&gt;EWI^P_PRICE(0)/P_PRICE_LOW_PR(0,,,,,,"PRICE","INTRA","52W")-1&lt;/Q&gt;&lt;R&gt;1&lt;/R&gt;&lt;C&gt;1&lt;/C&gt;&lt;D xsi:type="xsd:double"&gt;0.31070137&lt;/D&gt;&lt;/FQL&gt;&lt;FQL&gt;&lt;Q&gt;EWN^P_PRICE(0)/P_PRICE_LOW_PR(0,,,,,,"PRICE","INTRA","52W")-1&lt;/Q&gt;&lt;R&gt;1&lt;/R&gt;&lt;C&gt;1&lt;/C&gt;&lt;D xsi:type="xsd:double"&gt;0.37255442&lt;/D&gt;&lt;/FQL&gt;&lt;FQL&gt;&lt;Q&gt;EWU^P_PRICE(0)/P_PRICE_HIGH_PR(0,,,,,,"PRICE","INTRA","52W")&lt;/Q&gt;&lt;R&gt;1&lt;/R&gt;&lt;C&gt;1&lt;/C&gt;&lt;D xsi:type="xsd:double"&gt;0.96568114&lt;/D&gt;&lt;/FQL&gt;&lt;FQL&gt;&lt;Q&gt;EWC^FG_TOTAL_RETURNC(0,-6AM)&lt;/Q&gt;&lt;R&gt;1&lt;/R&gt;&lt;C&gt;1&lt;/C&gt;&lt;D xsi:type="xsd:double"&gt;10.094822&lt;/D&gt;&lt;/FQL&gt;&lt;FQL&gt;&lt;Q&gt;ENZL^FG_TOTAL_RETURNC(0,-6AM)&lt;/Q&gt;&lt;R&gt;1&lt;/R&gt;&lt;C&gt;1&lt;/C&gt;&lt;D xsi:type="xsd:double"&gt;9.083343&lt;/D&gt;&lt;/FQL&gt;&lt;FQL&gt;&lt;Q&gt;VWO^SIZE(FG_CONSTITUENTS)&lt;/Q&gt;&lt;R&gt;1&lt;/R&gt;&lt;C&gt;1&lt;/C&gt;&lt;D xsi:type="xsd:long"&gt;4847&lt;/D&gt;&lt;/FQL&gt;&lt;FQL&gt;&lt;Q&gt;SPY^SIZE(FG_CONSTITUENTS)&lt;/Q&gt;&lt;R&gt;1&lt;/R&gt;&lt;C&gt;1&lt;/C&gt;&lt;D xsi:type="xsd:long"&gt;503&lt;/D&gt;&lt;/FQL&gt;&lt;FQL&gt;&lt;Q&gt;EWD^FG_ROE(0)&lt;/Q&gt;&lt;R&gt;1&lt;/R&gt;&lt;C&gt;1&lt;/C&gt;&lt;D xsi:type="xsd:double"&gt;16.9910738498694&lt;/D&gt;&lt;/FQL&gt;&lt;FQL&gt;&lt;Q&gt;REFAUCASH-FDS^(SUBARRAY(NOT_NA(NO_REPEAT_F(FG_YIELD(NOW,-10AY,D))),0,1)-SUBARRAY(NOT_NA(NO_REPEAT_F(FG_YIELD(NOW,-10AY,D))),1,1))*100&lt;/Q&gt;&lt;R&gt;1&lt;/R&gt;&lt;C&gt;1&lt;/C&gt;&lt;D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xsi:type="xsd:double"&gt;25&lt;/D&gt;&lt;/FQL&gt;&lt;FQL&gt;&lt;Q&gt;CAGDPY@NZ^EE_ACTUAL_ANNUAL(MED,+1)&lt;/Q&gt;&lt;R&gt;1&lt;/R&gt;&lt;C&gt;1&lt;/C&gt;&lt;D xsi:type="xsd:double"&gt;-6.4&lt;/D&gt;&lt;/FQL&gt;&lt;FQL&gt;&lt;Q&gt;USDSEK^FG_PRICE_CHANGE(0,-1AM)&lt;/Q&gt;&lt;R&gt;1&lt;/R&gt;&lt;C&gt;1&lt;/C&gt;&lt;D xsi:type="xsd:double"&gt;0.06828308&lt;/D&gt;&lt;/FQL&gt;&lt;FQL&gt;&lt;Q&gt;USDCHF^FG_COMPANY_NAME&lt;/Q&gt;&lt;R&gt;1&lt;/R&gt;&lt;C&gt;1&lt;/C&gt;&lt;D xsi:type="xsd:string"&gt;Swiss Franc per U.S. Dollar&lt;/D&gt;&lt;/FQL&gt;&lt;FQL&gt;&lt;Q&gt;USDCAD^FG_COMPANY_NAME&lt;/Q&gt;&lt;R&gt;1&lt;/R&gt;&lt;C&gt;1&lt;/C&gt;&lt;D xsi:type="xsd:string"&gt;Canadian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xsi:type="xsd:double"&gt;2.86470858427176&lt;/D&gt;&lt;/FQL&gt;&lt;FQL&gt;&lt;Q&gt;EWC^FMA_DIV_YLD(NTMA,-10AY,0,AM,"PORTAGG","MEANR")&lt;/Q&gt;&lt;R&gt;121&lt;/R&gt;&lt;C&gt;1&lt;/C&gt;&lt;D xsi:type="xsd:double"&gt;3.03806498908146&lt;/D&gt;&lt;D xsi:type="xsd:double"&gt;2.94863482948085&lt;/D&gt;&lt;D xsi:type="xsd:double"&gt;3.10312171248548&lt;/D&gt;&lt;D xsi:type="xsd:double"&gt;2.99801577403161&lt;/D&gt;&lt;D xsi:type="xsd:double"&gt;2.87283369872003&lt;/D&gt;&lt;D xsi:type="xsd:double"&gt;2.96751056205657&lt;/D&gt;&lt;D xsi:type="xsd:double"&gt;2.82223793524456&lt;/D&gt;&lt;D xsi:type="xsd:double"&gt;2.85973993690458&lt;/D&gt;&lt;D xsi:type="xsd:double"&gt;2.9272411722687&lt;/D&gt;&lt;D xsi:type="xsd:double"&gt;3.04958986768268&lt;/D&gt;&lt;D xsi:type="xsd:double"&gt;3.06229708123105&lt;/D&gt;&lt;D xsi:type="xsd:double"&gt;3.22956600579198&lt;/D&gt;&lt;D xsi:type="xsd:double"&gt;3.15505015639616&lt;/D&gt;&lt;D xsi:type="xsd:double"&gt;3.29254617173705&lt;/D&gt;&lt;D xsi:type="xsd:double"&gt;3.40364249197641&lt;/D&gt;&lt;D xsi:type="xsd:double"&gt;3.53317833530462&lt;/D&gt;&lt;D xsi:type="xsd:double"&gt;3.55953497912495&lt;/D&gt;&lt;D xsi:type="xsd:double"&gt;3.17153354331594&lt;/D&gt;&lt;D xsi:type="xsd:double"&gt;3.18185771764481&lt;/D&gt;&lt;D xsi:type="xsd:double"&gt;3.09916498883837&lt;/D&gt;&lt;D xsi:type="xsd:double"&gt;3.06615960829041&lt;/D&gt;&lt;D xsi:type="xsd:double"&gt;3.0471929614729&lt;/D&gt;&lt;D xsi:type="xsd:double"&gt;2.94107351961394&lt;/D&gt;&lt;D xsi:type="xsd:double"&gt;2.98454648841571&lt;/D&gt;&lt;D xsi:type="xsd:double"&gt;2.96412260895231&lt;/D&gt;&lt;D xsi:type="xsd:double"&gt;2.9317320380966&lt;/D&gt;&lt;D xsi:type="xsd:double"&gt;2.83367271891927&lt;/D&gt;&lt;D xsi:type="xsd:double"&gt;2.82753080577978&lt;/D&gt;&lt;D xsi:type="xsd:double"&gt;2.79808431904578&lt;/D&gt;&lt;D xsi:type="xsd:double"&gt;2.90463250433504&lt;/D&gt;&lt;D xsi:type="xsd:double"&gt;2.89283439920739&lt;/D&gt;&lt;D xsi:type="xsd:double"&gt;2.93129612943988&lt;/D&gt;&lt;D xsi:type="xsd:double"&gt;2.97693865529526&lt;/D&gt;&lt;D xsi:type="xsd:double"&gt;3.06120341425862&lt;/D&gt;&lt;D xsi:type="xsd:double"&gt;3.06052048842544&lt;/D&gt;&lt;D xsi:type="xsd:double"&gt;3.11659573652833&lt;/D&gt;&lt;D xsi:type="xsd:double"&gt;2.95637135250477&lt;/D&gt;&lt;D xsi:type="xsd:double"&gt;2.91112632064467&lt;/D&gt;&lt;D xsi:type="xsd:double"&gt;2.90883863902927&lt;/D&gt;&lt;D xsi:type="xsd:double"&gt;2.907233996228&lt;/D&gt;&lt;D xsi:type="xsd:double"&gt;3.17889950624327&lt;/D&gt;&lt;D xsi:type="xsd:double"&gt;3.13244549703684&lt;/D&gt;&lt;D xsi:type="xsd:double"&gt;3.21465922098897&lt;/D&gt;&lt;D xsi:type="xsd:double"&gt;3.08970783288023&lt;/D&gt;&lt;D xsi:type="xsd:double"&gt;3.06964682170452&lt;/D&gt;&lt;D xsi:type="xsd:double"&gt;3.02357625532379&lt;/D&gt;&lt;D xsi:type="xsd:double"&gt;3.08437433543814&lt;/D&gt;&lt;D xsi:type="xsd:double"&gt;3.16967804895126&lt;/D&gt;&lt;D xsi:type="xsd:double"&gt;3.29658704041375&lt;/D&gt;&lt;D xsi:type="xsd:double"&gt;3.36301143524639&lt;/D&gt;&lt;D xsi:type="xsd:double"&gt;3.49765419473409&lt;/D&gt;&lt;D xsi:type="xsd:double"&gt;3.46089505276092&lt;/D&gt;&lt;D xsi:type="xsd:double"&gt;3.32254664516206&lt;/D&gt;&lt;D xsi:type="xsd:double"&gt;3.29286346745808&lt;/D&gt;&lt;D xsi:type="xsd:double"&gt;3.22099516895155&lt;/D&gt;&lt;D xsi:type="xsd:double"&gt;3.27174218037938&lt;/D&gt;&lt;D xsi:type="xsd:double"&gt;3.34715542124579&lt;/D&gt;&lt;D xsi:type="xsd:double"&gt;3.2917819739968&lt;/D&gt;&lt;D xsi:type="xsd:double"&gt;3.39060779978917&lt;/D&gt;&lt;D xsi:type="xsd:double"&gt;3.35417838195371&lt;/D&gt;&lt;D xsi:type="xsd:double"&gt;3.3589893786423&lt;/D&gt;&lt;D xsi:type="xsd:double"&gt;3.24730872089119&lt;/D&gt;&lt;D xsi:type="xsd:double"&gt;3.25908424282869&lt;/D&gt;&lt;D xsi:type="xsd:double"&gt;3.22406403264517&lt;/D&gt;&lt;D xsi:type="xsd:double"&gt;3.19745739076246&lt;/D&gt;&lt;D xsi:type="xsd:double"&gt;3.88181946898813&lt;/D&gt;&lt;D xsi:type="xsd:double"&gt;4.04268867706469&lt;/D&gt;&lt;D xsi:type="xsd:double"&gt;3.72830652633023&lt;/D&gt;&lt;D xsi:type="xsd:double"&gt;3.48980812386288&lt;/D&gt;&lt;D xsi:type="xsd:double"&gt;3.4956179631902&lt;/D&gt;&lt;D xsi:type="xsd:double"&gt;3.3140288943547&lt;/D&gt;&lt;D xsi:type="xsd:double"&gt;3.40652487956793&lt;/D&gt;&lt;D xsi:type="xsd:double"&gt;3.34463738433563&lt;/D&gt;&lt;D xsi:type="xsd:double"&gt;3.31524182372516&lt;/D&gt;&lt;D xsi:type="xsd:double"&gt;3.0910503507162&lt;/D&gt;&lt;D xsi:type="xsd:double"&gt;3.00077173911449&lt;/D&gt;&lt;D xsi:type="xsd:double"&gt;2.92894085173843&lt;/D&gt;&lt;D xsi:type="xsd:double"&gt;2.85714025755682&lt;/D&gt;&lt;D xsi:type="xsd:double"&gt;2.75001157866635&lt;/D&gt;&lt;D xsi:type="xsd:double"&gt;2.72300715966256&lt;/D&gt;&lt;D xsi:type="xsd:double"&gt;2.57279361178683&lt;/D&gt;&lt;D xsi:type="xsd:double"&gt;2.69186035272091&lt;/D&gt;&lt;D xsi:type="xsd:double"&gt;2.663627579617&lt;/D&gt;&lt;D xsi:type="xsd:double"&gt;2.7326077534236&lt;/D&gt;&lt;D xsi:type="xsd:double"&gt;2.76926503884436&lt;/D&gt;&lt;D xsi:type="xsd:double"&gt;2.68214089632252&lt;/D&gt;&lt;D xsi:type="xsd:double"&gt;2.82636659525537&lt;/D&gt;&lt;D xsi:type="xsd:double"&gt;2.78940372518184&lt;/D&gt;&lt;D xsi:type="xsd:double"&gt;2.75260374402992&lt;/D&gt;&lt;D xsi:type="xsd:double"&gt;2.81993041454365&lt;/D&gt;&lt;D xsi:type="xsd:double"&gt;2.8333539020161&lt;/D&gt;&lt;D xsi:type="xsd:double"&gt;3.21120453361326&lt;/D&gt;&lt;D xsi:type="xsd:double"&gt;3.17291841368707&lt;/D&gt;&lt;D xsi:type="xsd:double"&gt;3.39053914851856&lt;/D&gt;&lt;D xsi:type="xsd:double"&gt;3.2772390495141&lt;/D&gt;&lt;D xsi:type="xsd:double"&gt;3.36405384350934&lt;/D&gt;&lt;D xsi:type="xsd:double"&gt;3.59865665470005&lt;/D&gt;&lt;D xsi:type="xsd:double"&gt;3.36696014723195&lt;/D&gt;&lt;D xsi:type="xsd:double"&gt;3.35369316470252&lt;/D&gt;&lt;D xsi:type="xsd:double"&gt;3.3625658320512&lt;/D&gt;&lt;D xsi:type="xsd:double"&gt;3.25304595791199&lt;/D&gt;&lt;D xsi:type="xsd:double"&gt;3.40237820223844&lt;/D&gt;&lt;D xsi:type="xsd:double"&gt;3.29461975637603&lt;/D&gt;&lt;D xsi:type="xsd:double"&gt;3.2347226242263&lt;/D&gt;&lt;D xsi:type="xsd:double"&gt;3.30509717513784&lt;/D&gt;&lt;D xsi:type="xsd:double"&gt;3.28136468958823&lt;/D&gt;&lt;D xsi:type="xsd:double"&gt;3.4158677096531&lt;/D&gt;&lt;D xsi:type="xsd:double"&gt;3.51368153478019&lt;/D&gt;&lt;D xsi:type="xsd:double"&gt;3.6349156612789&lt;/D&gt;&lt;D xsi:type="xsd:double"&gt;3.58373290880899&lt;/D&gt;&lt;D xsi:type="xsd:double"&gt;3.4530775259863&lt;/D&gt;&lt;D xsi:type="xsd:double"&gt;3.33238914256146&lt;/D&gt;&lt;D xsi:type="xsd:double"&gt;3.310952089909&lt;/D&gt;&lt;D xsi:type="xsd:double"&gt;3.18203021446102&lt;/D&gt;&lt;D xsi:type="xsd:double"&gt;3.07421746527063&lt;/D&gt;&lt;D xsi:type="xsd:double"&gt;3.05828426730743&lt;/D&gt;&lt;D xsi:type="xsd:double"&gt;3.30862180881688&lt;/D&gt;&lt;D xsi:type="xsd:double"&gt;3.28373366560053&lt;/D&gt;&lt;D xsi:type="xsd:double"&gt;3.29461985144327&lt;/D&gt;&lt;D xsi:type="xsd:double"&gt;3.18575434830863&lt;/D&gt;&lt;D xsi:type="xsd:double"&gt;3.04178556414175&lt;/D&gt;&lt;/FQL&gt;&lt;FQL&gt;&lt;Q&gt;EWJ^FMA_PE(LTMA,-10AY,0,AM,"PORTAGG","MEANR")&lt;/Q&gt;&lt;R&gt;121&lt;/R&gt;&lt;C&gt;1&lt;/C&gt;&lt;D xsi:type="xsd:double"&gt;14.6983497259631&lt;/D&gt;&lt;D xsi:type="xsd:double"&gt;15.573716325735&lt;/D&gt;&lt;D xsi:type="xsd:double"&gt;15.7756311700593&lt;/D&gt;&lt;D xsi:type="xsd:double"&gt;15.5625901440065&lt;/D&gt;&lt;D xsi:type="xsd:double"&gt;15.7797742780205&lt;/D&gt;&lt;D xsi:type="xsd:double"&gt;16.8815799195896&lt;/D&gt;&lt;D xsi:type="xsd:double"&gt;16.9086024667639&lt;/D&gt;&lt;D xsi:type="xsd:double"&gt;16.8777776509109&lt;/D&gt;&lt;D xsi:type="xsd:double"&gt;16.9198716175901&lt;/D&gt;&lt;D xsi:type="xsd:double"&gt;16.4777221502367&lt;/D&gt;&lt;D xsi:type="xsd:double"&gt;16.9741671900061&lt;/D&gt;&lt;D xsi:type="xsd:double"&gt;15.4762185986308&lt;/D&gt;&lt;D xsi:type="xsd:double"&gt;15.6083422029541&lt;/D&gt;&lt;D xsi:type="xsd:double"&gt;16.143891925367&lt;/D&gt;&lt;D xsi:type="xsd:double"&gt;15.6981773169069&lt;/D&gt;&lt;D xsi:type="xsd:double"&gt;14.6537577623645&lt;/D&gt;&lt;D xsi:type="xsd:double"&gt;13.0577527134387&lt;/D&gt;&lt;D xsi:type="xsd:double"&gt;13.8866797863329&lt;/D&gt;&lt;D xsi:type="xsd:double"&gt;13.6592564364196&lt;/D&gt;&lt;D xsi:type="xsd:double"&gt;13.8021037569469&lt;/D&gt;&lt;D xsi:type="xsd:double"&gt;14.0301570735055&lt;/D&gt;&lt;D xsi:type="xsd:double"&gt;13.4947671645532&lt;/D&gt;&lt;D xsi:type="xsd:double"&gt;14.087508674118&lt;/D&gt;&lt;D xsi:type="xsd:double"&gt;14.4021382193022&lt;/D&gt;&lt;D xsi:type="xsd:double"&gt;14.4025378268581&lt;/D&gt;&lt;D xsi:type="xsd:double"&gt;14.679718453244&lt;/D&gt;&lt;D xsi:type="xsd:double"&gt;16.4007547075462&lt;/D&gt;&lt;D xsi:type="xsd:double"&gt;16.5447843534361&lt;/D&gt;&lt;D xsi:type="xsd:double"&gt;16.3935407048128&lt;/D&gt;&lt;D xsi:type="xsd:double"&gt;15.9556360058039&lt;/D&gt;&lt;D xsi:type="xsd:double"&gt;15.6252086279238&lt;/D&gt;&lt;D xsi:type="xsd:double"&gt;15.7091419971373&lt;/D&gt;&lt;D xsi:type="xsd:double"&gt;15.6504208498473&lt;/D&gt;&lt;D xsi:type="xsd:double"&gt;15.488591276559&lt;/D&gt;&lt;D xsi:type="xsd:double"&gt;15.2972261395433&lt;/D&gt;&lt;D xsi:type="xsd:double"&gt;14.6839244666431&lt;/D&gt;&lt;D xsi:type="xsd:double"&gt;15.0548123884987&lt;/D&gt;&lt;D xsi:type="xsd:double"&gt;15.8660551661815&lt;/D&gt;&lt;D xsi:type="xsd:double"&gt;16.1865590581192&lt;/D&gt;&lt;D xsi:type="xsd:double"&gt;17.0872138283897&lt;/D&gt;&lt;D xsi:type="xsd:double"&gt;15.18742475902&lt;/D&gt;&lt;D xsi:type="xsd:double"&gt;14.3828924480937&lt;/D&gt;&lt;D xsi:type="xsd:double"&gt;14.2504158142024&lt;/D&gt;&lt;D xsi:type="xsd:double"&gt;14.2554139045951&lt;/D&gt;&lt;D xsi:type="xsd:double"&gt;14.168918215758&lt;/D&gt;&lt;D xsi:type="xsd:double"&gt;13.8285621298273&lt;/D&gt;&lt;D xsi:type="xsd:double"&gt;13.6898952277831&lt;/D&gt;&lt;D xsi:type="xsd:double"&gt;13.3387810091557&lt;/D&gt;&lt;D xsi:type="xsd:double"&gt;13.6365196819023&lt;/D&gt;&lt;D xsi:type="xsd:double"&gt;12.9243749325811&lt;/D&gt;&lt;D xsi:type="xsd:double"&gt;12.2713393270036&lt;/D&gt;&lt;D xsi:type="xsd:double"&gt;11.7032811427156&lt;/D&gt;&lt;D xsi:type="xsd:double"&gt;12.0513</t>
        </r>
      </text>
    </comment>
    <comment ref="A6" authorId="0" shapeId="0" xr:uid="{F14915F4-B906-4BD6-843B-4C25938940F6}">
      <text>
        <r>
          <rPr>
            <b/>
            <sz val="9"/>
            <color indexed="81"/>
            <rFont val="Tahoma"/>
            <charset val="1"/>
          </rPr>
          <t>059519051&lt;/D&gt;&lt;D xsi:type="xsd:double"&gt;12.6477990488159&lt;/D&gt;&lt;D xsi:type="xsd:double"&gt;12.7306716655947&lt;/D&gt;&lt;D xsi:type="xsd:double"&gt;12.6222250240842&lt;/D&gt;&lt;D xsi:type="xsd:double"&gt;12.7944091789593&lt;/D&gt;&lt;D xsi:type="xsd:double"&gt;12.9610678336578&lt;/D&gt;&lt;D xsi:type="xsd:double"&gt;12.7371439939319&lt;/D&gt;&lt;D xsi:type="xsd:double"&gt;13.1898056315086&lt;/D&gt;&lt;D xsi:type="xsd:double"&gt;13.4080620763652&lt;/D&gt;&lt;D xsi:type="xsd:double"&gt;14.4146996756518&lt;/D&gt;&lt;D xsi:type="xsd:double"&gt;15.0752535564782&lt;/D&gt;&lt;D xsi:type="xsd:double"&gt;15.4591423949724&lt;/D&gt;&lt;D xsi:type="xsd:double"&gt;15.3594286204686&lt;/D&gt;&lt;D xsi:type="xsd:double"&gt;13.8027025416831&lt;/D&gt;&lt;D xsi:type="xsd:double"&gt;13.8930906113895&lt;/D&gt;&lt;D xsi:type="xsd:double"&gt;14.3956035170666&lt;/D&gt;&lt;D xsi:type="xsd:double"&gt;16.4457693085801&lt;/D&gt;&lt;D xsi:type="xsd:double"&gt;17.1175843952416&lt;/D&gt;&lt;D xsi:type="xsd:double"&gt;17.9482189969373&lt;/D&gt;&lt;D xsi:type="xsd:double"&gt;19.3973237115158&lt;/D&gt;&lt;D xsi:type="xsd:double"&gt;20.4710412079357&lt;/D&gt;&lt;D xsi:type="xsd:double"&gt;21.5507391219508&lt;/D&gt;&lt;D xsi:type="xsd:double"&gt;22.6436461199212&lt;/D&gt;&lt;D xsi:type="xsd:double"&gt;24.0322751757928&lt;/D&gt;&lt;D xsi:type="xsd:double"&gt;23.8266434692762&lt;/D&gt;&lt;D xsi:type="xsd:double"&gt;21.5581982402072&lt;/D&gt;&lt;D xsi:type="xsd:double"&gt;21.2109837965324&lt;/D&gt;&lt;D xsi:type="xsd:double"&gt;20.7394233055445&lt;/D&gt;&lt;D xsi:type="xsd:double"&gt;20.1424153272251&lt;/D&gt;&lt;D xsi:type="xsd:double"&gt;19.4675766054029&lt;/D&gt;&lt;D xsi:type="xsd:double"&gt;18.9566326296473&lt;/D&gt;&lt;D xsi:type="xsd:double"&gt;18.8208432070054&lt;/D&gt;&lt;D xsi:type="xsd:double"&gt;17.5499934700316&lt;/D&gt;&lt;D xsi:type="xsd:double"&gt;17.3698942032737&lt;/D&gt;&lt;D xsi:type="xsd:double"&gt;16.408090716447&lt;/D&gt;&lt;D xsi:type="xsd:double"&gt;16.1156952633967&lt;/D&gt;&lt;D xsi:type="xsd:double"&gt;15.4324395997728&lt;/D&gt;&lt;D xsi:type="xsd:double"&gt;14.5680887340422&lt;/D&gt;&lt;D xsi:type="xsd:double"&gt;14.485396262694&lt;/D&gt;&lt;D xsi:type="xsd:double"&gt;14.192583026893&lt;/D&gt;&lt;D xsi:type="xsd:double"&gt;14.2245684471313&lt;/D&gt;&lt;D xsi:type="xsd:double"&gt;13.8634267769985&lt;/D&gt;&lt;D xsi:type="xsd:double"&gt;13.8848143542087&lt;/D&gt;&lt;D xsi:type="xsd:double"&gt;13.7644463307152&lt;/D&gt;&lt;D xsi:type="xsd:double"&gt;13.2374895872141&lt;/D&gt;&lt;D xsi:type="xsd:double"&gt;13.2959369321125&lt;/D&gt;&lt;D xsi:type="xsd:double"&gt;13.374605207699&lt;/D&gt;&lt;D xsi:type="xsd:double"&gt;12.7309763735806&lt;/D&gt;&lt;D xsi:type="xsd:double"&gt;13.5554155690174&lt;/D&gt;&lt;D xsi:type="xsd:double"&gt;13.6807165090179&lt;/D&gt;&lt;D xsi:type="xsd:double"&gt;13.6048792999279&lt;/D&gt;&lt;D xsi:type="xsd:double"&gt;13.8326011587372&lt;/D&gt;&lt;D xsi:type="xsd:double"&gt;14.3042003846586&lt;/D&gt;&lt;D xsi:type="xsd:double"&gt;14.4489801859969&lt;/D&gt;&lt;D xsi:type="xsd:double"&gt;14.6675154877836&lt;/D&gt;&lt;D xsi:type="xsd:double"&gt;14.9024290877388&lt;/D&gt;&lt;D xsi:type="xsd:double"&gt;14.7741032389494&lt;/D&gt;&lt;D xsi:type="xsd:double"&gt;14.9993642753889&lt;/D&gt;&lt;D xsi:type="xsd:double"&gt;14.8946680684479&lt;/D&gt;&lt;D xsi:type="xsd:double"&gt;15.7837932044178&lt;/D&gt;&lt;D xsi:type="xsd:double"&gt;16.4645878200899&lt;/D&gt;&lt;D xsi:type="xsd:double"&gt;17.0551181097032&lt;/D&gt;&lt;D xsi:type="xsd:double"&gt;16.9330525354871&lt;/D&gt;&lt;D xsi:type="xsd:double"&gt;16.7404783256137&lt;/D&gt;&lt;D xsi:type="xsd:double"&gt;16.8107709908759&lt;/D&gt;&lt;D xsi:type="xsd:double"&gt;17.1040876148498&lt;/D&gt;&lt;D xsi:type="xsd:double"&gt;15.3810049731724&lt;/D&gt;&lt;D xsi:type="xsd:double"&gt;15.4540894936661&lt;/D&gt;&lt;D xsi:type="xsd:double"&gt;15.9927810441859&lt;/D&gt;&lt;/FQL&gt;&lt;FQL&gt;&lt;Q&gt;BRENT-FDS^FG_PRICE(0)&lt;/Q&gt;&lt;R&gt;1&lt;/R&gt;&lt;C&gt;1&lt;/C&gt;&lt;D xsi:type="xsd:double"&gt;85.86&lt;/D&gt;&lt;/FQL&gt;&lt;FQL&gt;&lt;Q&gt;FC0000CH^FG_PRICE(0)&lt;/Q&gt;&lt;R&gt;1&lt;/R&gt;&lt;C&gt;1&lt;/C&gt;&lt;D xsi:type="xsd:double"&gt;348.0219&lt;/D&gt;&lt;/FQL&gt;&lt;FQL&gt;&lt;Q&gt;EWI^FG_PRICE_MAVG(0,,,,200)&lt;/Q&gt;&lt;R&gt;1&lt;/R&gt;&lt;C&gt;1&lt;/C&gt;&lt;D xsi:type="xsd:double"&gt;36.6478&lt;/D&gt;&lt;/FQL&gt;&lt;FQL&gt;&lt;Q&gt;QQQ^FG_PRICE(0)&lt;/Q&gt;&lt;R&gt;1&lt;/R&gt;&lt;C&gt;1&lt;/C&gt;&lt;D xsi:type="xsd:double"&gt;492.59&lt;/D&gt;&lt;/FQL&gt;&lt;FQL&gt;&lt;Q&gt;EWA^FG_PRICE_MAVG(0,,,,200)&lt;/Q&gt;&lt;R&gt;1&lt;/R&gt;&lt;C&gt;1&lt;/C&gt;&lt;D xsi:type="xsd:double"&gt;24.5879&lt;/D&gt;&lt;/FQL&gt;&lt;FQL&gt;&lt;Q&gt;FXI^FMA_PCT_ABOVE_MAVG(200,0,,,,"PORTAGG")&lt;/Q&gt;&lt;R&gt;1&lt;/R&gt;&lt;C&gt;1&lt;/C&gt;&lt;D xsi:type="xsd:double"&gt;94&lt;/D&gt;&lt;/FQL&gt;&lt;FQL&gt;&lt;Q&gt;URTH^FG_TOTAL_RETURNC(0,-6AM)&lt;/Q&gt;&lt;R&gt;1&lt;/R&gt;&lt;C&gt;1&lt;/C&gt;&lt;D xsi:type="xsd:double"&gt;11.020994&lt;/D&gt;&lt;/FQL&gt;&lt;FQL&gt;&lt;Q&gt;EWN^FMA_COS_DOWN("EPS","1M",+1,0,,,"PORTAGG","MEANR")&lt;/Q&gt;&lt;R&gt;1&lt;/R&gt;&lt;C&gt;1&lt;/C&gt;&lt;D xsi:type="xsd:double"&gt;24&lt;/D&gt;&lt;/FQL&gt;&lt;FQL&gt;&lt;Q&gt;EWN^FG_ROE(0)&lt;/Q&gt;&lt;R&gt;1&lt;/R&gt;&lt;C&gt;1&lt;/C&gt;&lt;D xsi:type="xsd:double"&gt;11.0123091640069&lt;/D&gt;&lt;/FQL&gt;&lt;FQL&gt;&lt;Q&gt;CC_US^IMF_IFS_RCPI_Q(0)&lt;/Q&gt;&lt;R&gt;0&lt;/R&gt;&lt;C&gt;0&lt;/C&gt;&lt;/FQL&gt;&lt;FQL&gt;&lt;Q&gt;EWN^FMA_EVAL_EBIT(LTMA,NOW,NOW,M,"PORTAGG","MEANR")&lt;/Q&gt;&lt;R&gt;1&lt;/R&gt;&lt;C&gt;1&lt;/C&gt;&lt;D xsi:type="xsd:double"&gt;20.9818303262915&lt;/D&gt;&lt;/FQL&gt;&lt;FQL&gt;&lt;Q&gt;SPY^FMA_PE(LTM,0,,,"PORTAGG","MEANR")&lt;/Q&gt;&lt;R&gt;1&lt;/R&gt;&lt;C&gt;1&lt;/C&gt;&lt;D xsi:type="xsd:double"&gt;26.9811170297105&lt;/D&gt;&lt;/FQL&gt;&lt;FQL&gt;&lt;Q&gt;EWC^FMA_EVAL_EBITDA(NTMA,0,,,"PORTAGG","MEANR")&lt;/Q&gt;&lt;R&gt;1&lt;/R&gt;&lt;C&gt;1&lt;/C&gt;&lt;D xsi:type="xsd:double"&gt;10.0413837356436&lt;/D&gt;&lt;/FQL&gt;&lt;FQL&gt;&lt;Q&gt;ENZL^JULIAN(FMA_DIV_YLD(NTMA,NOW,NOW,M,"PORTAGG","MEANR").DATES)&lt;/Q&gt;&lt;R&gt;1&lt;/R&gt;&lt;C&gt;1&lt;/C&gt;&lt;D xsi:type="xsd:long"&gt;45565&lt;/D&gt;&lt;/FQL&gt;&lt;FQL&gt;&lt;Q&gt;EWJ^FG_TOTAL_RETURNC(0,-3AM)&lt;/Q&gt;&lt;R&gt;1&lt;/R&gt;&lt;C&gt;1&lt;/C&gt;&lt;D xsi:type="xsd:double"&gt;-0.53310394&lt;/D&gt;&lt;/FQL&gt;&lt;FQL&gt;&lt;Q&gt;EWG^FMA_ROE(NTMA,-20AY,NOW,FY,"PORTAGG","MEANR")&lt;/Q&gt;&lt;R&gt;20&lt;/R&gt;&lt;C&gt;1&lt;/C&gt;&lt;D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xsi:type="xsd:double"&gt;10.447567210817&lt;/D&gt;&lt;D xsi:type="xsd:double"&gt;9.71471543630714&lt;/D&gt;&lt;D xsi:type="xsd:double"&gt;12.1997093940908&lt;/D&gt;&lt;D xsi:type="xsd:double"&gt;11.8187115519998&lt;/D&gt;&lt;D xsi:type="xsd:double"&gt;11.9387928650957&lt;/D&gt;&lt;/FQL&gt;&lt;FQL&gt;&lt;Q&gt;EWQ^FG_TOTAL_RETURNC(-10AY,0,AM)&lt;/Q&gt;&lt;R&gt;121&lt;/R&gt;&lt;C&gt;1&lt;/C&gt;&lt;D xsi:type="xsd:double"&gt;-11.119157&lt;/D&gt;&lt;D xsi:type="xsd:double"&gt;2.9747367&lt;/D&gt;&lt;D xsi:type="xsd:double"&gt;0.1582861&lt;/D&gt;&lt;D xsi:type="xsd:double"&gt;-4.931408&lt;/D&gt;&lt;D xsi:type="xsd:double"&gt;7.589102&lt;/D&gt;&lt;D xsi:type="xsd:double"&gt;-1.9095838&lt;/D&gt;&lt;D xsi:type="xsd:double"&gt;6.277311&lt;/D&gt;&lt;D xsi:type="xsd:double"&gt;2.953279&lt;/D&gt;&lt;D xsi:type="xsd:double"&gt;-1.0167062&lt;/D&gt;&lt;D xsi:type="xsd:double"&gt;-1.4790416&lt;/D&gt;&lt;D xsi:type="xsd:double"&gt;3.9000392&lt;/D&gt;&lt;D xsi:type="xsd:double"&gt;-8.782798&lt;/D&gt;&lt;D xsi:type="xsd:double"&gt;2.716732&lt;/D&gt;&lt;D xsi:type="xsd:double"&gt;-1.4002264&lt;/D&gt;&lt;D xsi:type="xsd:double"&gt;-3.431958&lt;/D&gt;&lt;D xsi:type="xsd:double"&gt;-6.89342&lt;/D&gt;&lt;D xsi:type="xsd:double"&gt;-2.7741075&lt;/D&gt;&lt;D xsi:type="xsd:double"&gt;6.8387747&lt;/D&gt;&lt;D xsi:type="xsd:double"&gt;0.6782532&lt;/D&gt;&lt;D xsi:type="xsd:double"&gt;3.0315757&lt;/D&gt;&lt;D xsi:type="xsd:double"&gt;-2.2067785&lt;/D&gt;&lt;D xsi:type="xsd:double"&gt;-4.194522&lt;/D&gt;&lt;D xsi:type="xsd:double"&gt;7.2930574&lt;/D&gt;&lt;D xsi:type="xsd:double"&gt;0.7089257&lt;/D&gt;&lt;D xsi:type="xsd:double"&gt;-0.041407347&lt;/D&gt;&lt;D xsi:type="xsd:double"&gt;-0.9941995&lt;/D&gt;&lt;D xsi:type="xsd:double"&gt;2.2594213&lt;/D&gt;&lt;D xsi:type="xsd:double"&gt;2.2893906&lt;/D&gt;&lt;D xsi:type="xsd:double"&gt;0.08028746&lt;/D&gt;&lt;D xsi:type="xsd:double"&gt;3.4897685&lt;/D&gt;&lt;D xsi:type="xsd:double"&gt;1.8604755&lt;/D&gt;&lt;D xsi:type="xsd:double"&gt;9.436834&lt;/D&gt;&lt;D xsi:type="xsd:double"&gt;2.1557689&lt;/D&gt;&lt;D xsi:type="xsd:double"&gt;-0.2793491&lt;/D&gt;&lt;D xsi:type="xsd:double"&gt;1.8402815&lt;/D&gt;&lt;D xsi:type="xsd:double"&gt;2.8298616&lt;/D&gt;&lt;D xsi:type="xsd:double"&gt;3.2824874&lt;/D&gt;&lt;D xsi:type="xsd:double"&gt;-1.2841105&lt;/D&gt;&lt;D xsi:type="xsd:double"&gt;1.6910553&lt;/D&gt;&lt;D xsi:type="xsd:double"&gt;3.06257&lt;/D&gt;&lt;D xsi:type="xsd:double"&gt;-4.4817924&lt;/D&gt;&lt;D xsi:type="xsd:double"&gt;4.2033195&lt;/D&gt;&lt;D xsi:type="xsd:double"&gt;0.93808174&lt;/D&gt;&lt;D xsi:type="xsd:double"&gt;1.6109109&lt;/D&gt;&lt;D xsi:type="xsd:double"&gt;-1.6768277&lt;/D&gt;&lt;D xsi:type="xsd:double"&gt;-0.34846067&lt;/D&gt;&lt;D xsi:type="xsd:double"&gt;-3.3672154&lt;/D&gt;&lt;D xsi:type="xsd:double"&gt;-0.32873154&lt;/D&gt;&lt;D xsi:type="xsd:double"&gt;-3.1662226&lt;/D&gt;&lt;D xsi:type="xsd:double"&gt;-2.2820175&lt;/D&gt;&lt;D xsi:type="xsd:double"&gt;-6.4482393&lt;/D&gt;&lt;D xsi:type="xsd:double"&gt;2.2939086&lt;/D&gt;&lt;D xsi:type="xsd:double"&gt;1.57336&lt;/D&gt;&lt;D xsi:type="xsd:double"&gt;4.5389056&lt;/D&gt;&lt;D xsi:type="xsd:double"&gt;3.9972425&lt;/D&gt;&lt;D xsi:type="xsd:double"&gt;-0.76209307&lt;/D&gt;&lt;D xsi:type="xsd:double"&gt;1.4357209&lt;/D&gt;&lt;D xsi:type="xsd:double"&gt;3.255427&lt;/D&gt;&lt;D xsi:type="xsd:double"&gt;-4.3123126&lt;/D&gt;&lt;D xsi:type="xsd:double"&gt;2.6288748&lt;/D&gt;&lt;D xsi:type="xsd:double"&gt;-0.7984042&lt;/D&gt;&lt;D xsi:type="xsd:double"&gt;6.2374234&lt;/D&gt;&lt;D xsi:type="xsd:double"&gt;-0.1578331&lt;/D&gt;&lt;D xsi:type="xsd:double"&gt;3.0644178&lt;/D&gt;&lt;D xsi:type="xsd:double"&gt;-0.8300066&lt;/D&gt;&lt;D xsi:type="xsd:double"&gt;-16.893982&lt;/D&gt;&lt;D xsi:type="xsd:double"&gt;-9.026485&lt;/D&gt;&lt;D xsi:type="xsd:double"&gt;0&lt;/D&gt;&lt;D xsi:type="xsd:double"&gt;16.441166&lt;/D&gt;&lt;D xsi:type="xsd:double"&gt;-1.0123789&lt;/D&gt;&lt;D xsi:type="xsd:double"&gt;3.0075192&lt;/D&gt;&lt;D xsi:type="xsd:double"&gt;1.2165427&lt;/D&gt;&lt;D xsi:type="xsd:double"&gt;-0.10302663&lt;/D&gt;&lt;D xsi:type="xsd:double"&gt;9.040904&lt;/D&gt;&lt;D xsi:type="xsd:double"&gt;4.918027&lt;/D&gt;&lt;D xsi:type="xsd:double"&gt;4.0884256&lt;/D&gt;&lt;D xsi:type="xsd:double"&gt;-1.7116308&lt;/D&gt;&lt;D xsi:type="xsd:double"&gt;3.5714269&lt;/D&gt;&lt;D xsi:type="xsd:double"&gt;2.9353023&lt;/D&gt;&lt;D xsi:type="xsd:double"&gt;5.121827&lt;/D&gt;&lt;D xsi:type="xsd:double"&gt;3.5936952&lt;/D&gt;&lt;D xsi:type="xsd:double"&gt;-2.5449932&lt;/D&gt;&lt;D xsi:type="xsd:double"&gt;2.8752327&lt;/D&gt;&lt;D xsi:type="xsd:double"&gt;-0.9487152&lt;/D&gt;&lt;D xsi:type="xsd:double"&gt;-2.8475344&lt;/D&gt;&lt;D xsi:type="xsd:double"&gt;6.075144&lt;/D&gt;&lt;D xsi:type="xsd:double"&gt;-2.0095527&lt;/D&gt;&lt;D xsi:type="xsd:double"&gt;2.6346564&lt;/D&gt;&lt;D xsi:type="xsd:double"&gt;-1.1036992&lt;/D&gt;&lt;D xsi:type="xsd:double"&gt;-14.74176&lt;/D&gt;&lt;D xsi:type="xsd:double"&gt;3.987825&lt;/D&gt;&lt;D xsi:type="xsd:double"&gt;-7.0257607&lt;/D&gt;&lt;D xsi:type="xsd:double"&gt;1.4585495&lt;/D&gt;&lt;D xsi:type="xsd:double"&gt;-5.623001&lt;/D&gt;&lt;D xsi:type="xsd:double"&gt;9.715641&lt;/D&gt;&lt;D xsi:type="xsd:double"&gt;-6.695467&lt;/D&gt;&lt;D xsi:type="xsd:double"&gt;-9.887564&lt;/D&gt;&lt;D xsi:type="xsd:double"&gt;18.238533&lt;/D&gt;&lt;D xsi:type="xsd:double"&gt;4.4071913&lt;/D&gt;&lt;D xsi:type="xsd:double"&gt;5.5517673&lt;/D&gt;&lt;D xsi:type="xsd:double"&gt;2.9112458&lt;/D&gt;&lt;D xsi:type="xsd:double"&gt;-0.8239448&lt;/D&gt;&lt;D xsi:type="xsd:double"&gt;5.760169&lt;/D&gt;&lt;D xsi:type="xsd:double"&gt;2.0162344&lt;/D&gt;&lt;D xsi:type="xsd:double"&gt;-3.248763&lt;/D&gt;&lt;D xsi:type="xsd:double"&gt;1.7358303&lt;/D&gt;&lt;D xsi:type="xsd:double"&gt;2.9858828&lt;/D&gt;&lt;D xsi:type="xsd:double"&gt;-4.8666897&lt;/D&gt;&lt;D xsi:type="xsd:double"&gt;-3.1292558&lt;/D&gt;&lt;D xsi:type="xsd:double"&gt;0.42135715&lt;/D&gt;&lt;D xsi:type="xsd:double"&gt;7.1608424&lt;/D&gt;&lt;D xsi:type="xsd:double"&gt;0.6250262&lt;/D&gt;&lt;D xsi:type="xsd:double"&gt;1.4360309&lt;/D&gt;&lt;D xsi:type="xsd:double"&gt;5.2767158&lt;/D&gt;&lt;D xsi:type="xsd:double"&gt;-1.4425457&lt;/D&gt;&lt;D xsi:type="xsd:double"&gt;4.1925073&lt;/D&gt;&lt;D xsi:type="xsd:double"&gt;-2.5714338&lt;/D&gt;&lt;D xsi:type="xsd:double"&gt;-3.4031928&lt;/D&gt;&lt;D xsi:type="xsd:double"&gt;-2.640438&lt;/D&gt;&lt;D xsi:type="xsd:double"&gt;2.8981686&lt;/D&gt;&lt;D xsi:type="xsd:double"&gt;1.2144685&lt;/D&gt;&lt;/FQL&gt;&lt;FQL&gt;&lt;Q&gt;PASP-FDS^MAX(FG_PRICE(0,-5AY))&lt;/Q&gt;&lt;R&gt;1&lt;/R&gt;&lt;C&gt;1&lt;/C&gt;&lt;D xsi:type="xsd:double"&gt;3158.12&lt;/D&gt;&lt;/FQL&gt;&lt;FQL&gt;&lt;Q&gt;CPALM-FDS^FG_PRICE_CHANGE(0,-1AY)&lt;/Q&gt;&lt;R&gt;1&lt;/R&gt;&lt;C&gt;1&lt;/C&gt;&lt;D xsi:type="xsd:double"&gt;22.8466534877153&lt;/D&gt;&lt;/FQL&gt;&lt;FQL&gt;&lt;Q&gt;VGK^PERCENT_CHANGE(FMA_EPS(+1,0,,,,"PORTAGG","MEAN"),FMA_EPS(+1,-1AM,,,,"PORTAGG","MEAN"))&lt;/Q&gt;&lt;R&gt;1&lt;/R&gt;&lt;C&gt;1&lt;/C&gt;&lt;D xsi:type="xsd:double"&gt;0&lt;/D&gt;&lt;/FQL&gt;&lt;FQL&gt;&lt;Q&gt;EWN^FG_TOTAL_RETURNC(0,-12AM)&lt;/Q&gt;&lt;R&gt;1&lt;/R&gt;&lt;C&gt;1&lt;/C&gt;&lt;D xsi:type="xsd:double"&gt;32.011856&lt;/D&gt;&lt;/FQL&gt;&lt;FQL&gt;&lt;Q&gt;SPY^FG_TOTAL_RETURNC(0,-3AM)&lt;/Q&gt;&lt;R&gt;1&lt;/R&gt;&lt;C&gt;1&lt;/C&gt;&lt;D xsi:type="xsd:double"&gt;2.9537082&lt;/D&gt;&lt;/FQL&gt;&lt;FQL&gt;&lt;Q&gt;EWU^PERCENT_CHANGE(FMA_EPS(+1,0,,,,"PORTAGG","MEAN"),FMA_EPS(+1,-1AM,,,,"PORTAGG","MEAN"))&lt;/Q&gt;&lt;R&gt;1&lt;/R&gt;&lt;C&gt;1&lt;/C&gt;&lt;D xsi:type="xsd:double"&gt;-1.24561232644616&lt;/D&gt;&lt;/FQL&gt;&lt;FQL&gt;&lt;Q&gt;EWG^P_PRICE(0)/P_PRICE_LOW_PR(0,,,,,,"PRICE","INTRA","52W")-1&lt;/Q&gt;&lt;R&gt;1&lt;/R&gt;&lt;C&gt;1&lt;/C&gt;&lt;D xsi:type="xsd:double"&gt;0.33454776&lt;/D&gt;&lt;/FQL&gt;&lt;FQL&gt;&lt;Q&gt;EWG^SIZE(FG_CONSTITUENTS)&lt;/Q&gt;&lt;R&gt;1&lt;/R&gt;&lt;C&gt;1&lt;/C&gt;&lt;D xsi:type="xsd:long"&gt;57&lt;/D&gt;&lt;/FQL&gt;&lt;FQL&gt;&lt;Q&gt;TRYDE10Y-FDS^FG_YIELD_NAME&lt;/Q&gt;&lt;R&gt;1&lt;/R&gt;&lt;C&gt;1&lt;/C&gt;&lt;D xsi:type="xsd:string"&gt;Germany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Rate&lt;/D&gt;&lt;/FQL&gt;&lt;FQL&gt;&lt;Q&gt;TRYSE10Y-FDS^PCTCHG(FG_YIELD(0,,,,"YTM"),FG_YIELD(-3AM,,,,"YTM"))&lt;/Q&gt;&lt;R&gt;1&lt;/R&gt;&lt;C&gt;1&lt;/C&gt;&lt;D xsi:type="xsd:double"&gt;-4.5617175&lt;/D&gt;&lt;/FQL&gt;&lt;FQL&gt;&lt;Q&gt;TRYGB10Y-FDS^FG_YIELD(0,,,,"YTM")&lt;/Q&gt;&lt;R&gt;1&lt;/R&gt;&lt;C&gt;1&lt;/C&gt;&lt;D xsi:type="xsd:double"&gt;4.219&lt;/D&gt;&lt;/FQL&gt;&lt;FQL&gt;&lt;Q&gt;VGK^FMA_DIV_YLD(NTMA,NOW,NOW,M,"PORTAGG","MEANR")&lt;/Q&gt;&lt;R&gt;1&lt;/R&gt;&lt;C&gt;1&lt;/C&gt;&lt;D xsi:type="xsd:double"&gt;3.48221003272562&lt;/D&gt;&lt;/FQL&gt;&lt;FQL&gt;&lt;Q&gt;EWL^FMA_PE(NTMA,0,,,"PORTAGG","MEANR")&lt;/Q&gt;&lt;R&gt;1&lt;/R&gt;&lt;C&gt;1&lt;/C&gt;&lt;D xsi:type="xsd:double"&gt;17.0969089519456&lt;/D&gt;&lt;/FQL&gt;&lt;FQL&gt;&lt;Q&gt;EWC^FG_FCF_YIELD_NTM(0)&lt;/Q&gt;&lt;R&gt;1&lt;/R&gt;&lt;C&gt;1&lt;/C&gt;&lt;D xsi:type="xsd:double"&gt;4.83495842277682&lt;/D&gt;&lt;/FQL&gt;&lt;FQL&gt;&lt;Q&gt;CAGDPY@CH^EE_ACTUAL_ANNUAL(MED,+1)&lt;/Q&gt;&lt;R&gt;1&lt;/R&gt;&lt;C&gt;1&lt;/C&gt;&lt;D xsi:type="xsd:double"&gt;8&lt;/D&gt;&lt;/FQL&gt;&lt;FQL&gt;&lt;Q&gt;USDITL^FG_PRICE_CHANGE(0,-1AY)&lt;/Q&gt;&lt;R&gt;1&lt;/R&gt;&lt;C&gt;1&lt;/C&gt;&lt;D xsi:type="xsd:double"&gt;-2.9799461&lt;/D&gt;&lt;/FQL&gt;&lt;FQL&gt;&lt;Q&gt;USDCHF^FG_PRICE_CHANGE(0,-3AM)&lt;/Q&gt;&lt;R&gt;1&lt;/R&gt;&lt;C&gt;1&lt;/C&gt;&lt;D xsi:type="xsd:double"&gt;-4.597253&lt;/D&gt;&lt;/FQL&gt;&lt;FQL&gt;&lt;Q&gt;USDGBP^FG_PRICE_CHANGE(0,-1AY)&lt;/Q&gt;&lt;R&gt;1&lt;/R&gt;&lt;C&gt;1&lt;/C&gt;&lt;D xsi:type="xsd:double"&gt;-6.0687304&lt;/D&gt;&lt;/FQL&gt;&lt;FQL&gt;&lt;Q&gt;USDEUR^FG_PRICE_CHANGE(0,-1AM)&lt;/Q&gt;&lt;R&gt;1&lt;/R&gt;&lt;C&gt;1&lt;/C&gt;&lt;D xsi:type="xsd:double"&gt;0.86972713&lt;/D&gt;&lt;/FQL&gt;&lt;FQL&gt;&lt;Q&gt;USDNZD^FG_PRICE(0)&lt;/Q&gt;&lt;R&gt;1&lt;/R&gt;&lt;C&gt;1&lt;/C&gt;&lt;D xsi:type="xsd:double"&gt;1.6456842&lt;/D&gt;&lt;/FQL&gt;&lt;FQL&gt;&lt;Q&gt;EWG^P_PRICE_RETURNS_PR('52W',2,-10AY,0,AM)&lt;/Q&gt;&lt;R&gt;121&lt;/R&gt;&lt;C&gt;1&lt;/C&gt;&lt;D xsi:type="xsd:double"&gt;-6.987423&lt;/D&gt;&lt;D xsi:type="xsd:double"&gt;-5.2796783&lt;/D&gt;&lt;D xsi:type="xsd:double"&gt;-4.5348883&lt;/D&gt;&lt;D xsi:type="xsd:double"&gt;-11.25325&lt;/D&gt;&lt;D xsi:type="xsd:double"&gt;-4.3062267&lt;/D&gt;&lt;D xsi:type="xsd:double"&gt;-4.978365&lt;/D&gt;&lt;D xsi:type="xsd:double"&gt;1.0252237&lt;/D&gt;&lt;D xsi:type="xsd:double"&gt;-1.328069&lt;/D&gt;&lt;D xsi:type="xsd:double"&gt;-6.3177586&lt;/D&gt;&lt;D xsi:type="xsd:double"&gt;-3.9497554&lt;/D&gt;&lt;D xsi:type="xsd:double"&gt;4.459882&lt;/D&gt;&lt;D xsi:type="xsd:double"&gt;-7.519567&lt;/D&gt;&lt;D xsi:type="xsd:double"&gt;1.7742157&lt;/D&gt;&lt;D xsi:type="xsd:double"&gt;-0.48764944&lt;/D&gt;&lt;D xsi:type="xsd:double"&gt;-4.4511676&lt;/D&gt;&lt;D xsi:type="xsd:double"&gt;-8.271927&lt;/D&gt;&lt;D xsi:type="xsd:double"&gt;-17.61037&lt;/D&gt;&lt;D xsi:type="xsd:double"&gt;-13.918877&lt;/D&gt;&lt;D xsi:type="xsd:double"&gt;-15.909445&lt;/D&gt;&lt;D xsi:type="xsd:double"&gt;-12.630737&lt;/D&gt;&lt;D xsi:type="xsd:double"&gt;-13.44226&lt;/D&gt;&lt;D xsi:type="xsd:double"&gt;-10.312152&lt;/D&gt;&lt;D xsi:type="xsd:double"&gt;-7.271701&lt;/D&gt;&lt;D xsi:type="xsd:double"&gt;2.2338867&lt;/D&gt;&lt;D xsi:type="xsd:double"&gt;2.3909569&lt;/D&gt;&lt;D xsi:type="xsd:double"&gt;-0.8279383&lt;/D&gt;&lt;D xsi:type="xsd:double"&gt;1.2271881&lt;/D&gt;&lt;D xsi:type="xsd:double"&gt;13.137733&lt;/D&gt;&lt;D xsi:type="xsd:double"&gt;21.455013&lt;/D&gt;&lt;D xsi:type="xsd:double"&gt;18.521559&lt;/D&gt;&lt;D xsi:type="xsd:double"&gt;16.020702&lt;/D&gt;&lt;D xsi:type="xsd:double"&gt;19.117224&lt;/D&gt;&lt;D xsi:type="xsd:double"&gt;23.226082&lt;/D&gt;&lt;D xsi:type="xsd:double"&gt;31.046463&lt;/D&gt;&lt;D xsi:type="xsd:double"&gt;16.750288&lt;/D&gt;&lt;D xsi:type="xsd:double"&gt;20.886612&lt;/D&gt;&lt;D xsi:type="xsd:double"&gt;27.00224&lt;/D&gt;&lt;D xsi:type="xsd:double"&gt;30.579138&lt;/D&gt;&lt;D xsi:type="xsd:double"&gt;29.639471&lt;/D&gt;&lt;D xsi:type="xsd:double"&gt;29.261267&lt;/D&gt;&lt;D xsi:type="xsd:double"&gt;20.144033&lt;/D&gt;&lt;D xsi:type="xsd:double"&gt;20.593607&lt;/D&gt;&lt;D xsi:type="xsd:double"&gt;18.186724&lt;/D&gt;&lt;D xsi:type="xsd:double"&gt;11.876035&lt;/D&gt;&lt;D xsi:type="xsd:double"&gt;5.4806113&lt;/D&gt;&lt;D xsi:type="xsd:double"&gt;4.497361&lt;/D&gt;&lt;D xsi:type="xsd:double"&gt;1.0410666&lt;/D&gt;&lt;D xsi:type="xsd:double"&gt;-4.574937&lt;/D&gt;&lt;D xsi:type="xsd:double"&gt;-11.80616&lt;/D&gt;&lt;D xsi:type="xsd:double"&gt;-14.032518&lt;/D&gt;&lt;D xsi:type="xsd:double"&gt;-21.027946&lt;/D&gt;&lt;D xsi:type="xsd:double"&gt;-20.320827&lt;/D&gt;&lt;D xsi:type="xsd:double"&gt;-16.685766&lt;/D&gt;&lt;D xsi:type="xsd:double"&gt;-15.73059&lt;/D&gt;&lt;D xsi:type="xsd:double"&gt;-12.935209&lt;/D&gt;&lt;D xsi:type="xsd:double"&gt;-12.577545&lt;/D&gt;&lt;D xsi:type="xsd:double"&gt;-11.2302065&lt;/D&gt;&lt;D xsi:type="xsd:double"&gt;-7.888776&lt;/D&gt;&lt;D xsi:type="xsd:double"&gt;-11.941314&lt;/D&gt;&lt;D xsi:type="xsd:double"&gt;-4.957843&lt;/D&gt;&lt;D xsi:type="xsd:double"&gt;-2.7841568&lt;/D&gt;&lt;D xsi:type="xsd:double"&gt;8.458924&lt;/D&gt;&lt;D xsi:type="xsd:double"&gt;16.203033&lt;/D&gt;&lt;D xsi:type="xsd:double"&gt;15.860701&lt;/D&gt;&lt;D xsi:type="xsd:double"&gt;15.945137&lt;/D&gt;&lt;D xsi:type="xsd:double"&gt;-6.238097&lt;/D&gt;&lt;D xsi:type="xsd:double"&gt;-14.388919&lt;/D&gt;&lt;D xsi:type="xsd:double"&gt;-14.485491&lt;/D&gt;&lt;D xsi:type="xsd:double"&gt;3.4769416&lt;/D&gt;&lt;D xsi:type="xsd:double"&gt;2.245319&lt;/D&gt;&lt;D xsi:type="xsd:double"&gt;12.312592&lt;/D&gt;&lt;D xsi:type="xsd:double"&gt;12.017703&lt;/D&gt;&lt;D xsi:type="xsd:double"&gt;15.543151&lt;/D&gt;&lt;D xsi:type="xsd:double"&gt;3.5149574&lt;/D&gt;&lt;D xsi:type="xsd:double"&gt;9.454334&lt;/D&gt;&lt;D xsi:type="xsd:double"&gt;13.9072895&lt;/D&gt;&lt;D xsi:type="xsd:double"&gt;13.933134&lt;/D&gt;&lt;D xsi:type="xsd:double"&gt;37.880432&lt;/D&gt;&lt;D xsi:type="xsd:double"&gt;53.65143&lt;/D&gt;&lt;D xsi:type="xsd:double"&gt;52.345657&lt;/D&gt;&lt;D xsi:type="xsd:double"&gt;31.446802&lt;/D&gt;&lt;D xsi:type="xsd:double"&gt;29.494976&lt;/D&gt;&lt;D xsi:type="xsd:double"&gt;22.483194&lt;/D&gt;&lt;D xsi:type="xsd:double"&gt;17.926407&lt;/D&gt;&lt;D xsi:type="xsd:double"&gt;12.202013&lt;/D&gt;&lt;D xsi:type="xsd:double"&gt;17.736423&lt;/D&gt;&lt;D xsi:type="xsd:double"&gt;7.7617526&lt;/D&gt;&lt;D xsi:type="xsd:double"&gt;2.236247&lt;/D&gt;&lt;D xsi:type="xsd:double"&gt;1.6023517&lt;/D&gt;&lt;D xsi:type="xsd:double"&gt;-16.838747&lt;/D&gt;&lt;D xsi:type="xsd:double"&gt;-17.716902&lt;/D&gt;&lt;D xsi:type="xsd:double"&gt;-26.199223&lt;/D&gt;&lt;D xsi:type="xsd:double"&gt;-27.29029&lt;/D&gt;&lt;D xsi:type="xsd:double"&gt;-31.294144&lt;/D&gt;&lt;D xsi:type="xsd:double"&gt;-28.052557&lt;/D&gt;&lt;D xsi:type="xsd:double"&gt;-32.4842&lt;/D&gt;&lt;D xsi:type="xsd:double"&gt;-36.364227&lt;/D&gt;&lt;D xsi:type="xsd:double"&gt;-26.210857&lt;/D&gt;&lt;D xsi:type="xsd:double"&gt;-19.230175&lt;/D&gt;&lt;D xsi:type="xsd:double"&gt;-15.197879&lt;/D&gt;&lt;D xsi:type="xsd:double"&gt;-11.199135&lt;/D&gt;&lt;D xsi:type="xsd:double"&gt;5.011487&lt;/D&gt;&lt;D xsi:type="xsd:double"&gt;6.478572&lt;/D&gt;&lt;D xsi:type="xsd:double"&gt;19.25298&lt;/D&gt;&lt;D xsi:type="xsd:double"&gt;11.408985&lt;/D&gt;&lt;D xsi:type="xsd:double"&gt;26.558292&lt;/D&gt;&lt;D xsi:type="xsd:double"&gt;21.300566&lt;/D&gt;&lt;D xsi:type="xsd:double"&gt;27.932823&lt;/D&gt;&lt;D xsi:type="xsd:double"&gt;35.056423&lt;/D&gt;&lt;D xsi:type="xsd:double"&gt;12.240291&lt;/D&gt;&lt;D xsi:type="xsd:double"&gt;18.044817&lt;/D&gt;&lt;D xsi:type="xsd:double"&gt;11.586809&lt;/D&gt;&lt;D xsi:type="xsd:double"&gt;6.9153666&lt;/D&gt;&lt;D xsi:type="xsd:double"&gt;14.86361&lt;/D&gt;&lt;D xsi:type="xsd:double"&gt;11.304867&lt;/D&gt;&lt;D xsi:type="xsd:double"&gt;13.198757&lt;/D&gt;&lt;D xsi:type="xsd:double"&gt;14.559305&lt;/D&gt;&lt;D xsi:type="xsd:double"&gt;14.633381&lt;/D&gt;&lt;D xsi:type="xsd:double"&gt;9.67189&lt;/D&gt;&lt;D xsi:type="xsd:double"&gt;19.4813&lt;/D&gt;&lt;D xsi:type="xsd:double"&gt;28.362476&lt;/D&gt;&lt;/FQL&gt;&lt;FQL&gt;&lt;Q&gt;SPY^FMA_DIV_YLD(NTMA,-10AY,0,AM,"PORTAGG","MEANR")&lt;/Q&gt;&lt;R&gt;121&lt;/R&gt;&lt;C&gt;1&lt;/C&gt;&lt;D xsi:type="xsd:double"&gt;2.21104821185827&lt;/D&gt;&lt;D xsi:type="xsd:double"&gt;2.09079127852752&lt;/D&gt;&lt;D xsi:type="xsd:double"&gt;2.12313310007536&lt;/D&gt;&lt;D xsi:type="xsd:double"&gt;2.12001625623554&lt;/D&gt;&lt;D xsi:type="xsd:double"&gt;2.13005493265467&lt;/D&gt;&lt;D xsi:type="xsd:double"&gt;2.20128187751827&lt;/D&gt;&lt;D xsi:type="xsd:double"&gt;2.14719230192098&lt;/D&gt;&lt;D xsi:type="xsd:double"&gt;2.14514835657354&lt;/D&gt;&lt;D xsi:type="xsd:double"&gt;2.16580950447355&lt;/D&gt;&lt;D xsi:type="xsd:double"&gt;2.19483531868702&lt;/D&gt;&lt;D xsi:type="xsd:double"&gt;2.1961428597924&lt;/D&gt;&lt;D xsi:type="xsd:double"&gt;2.37819380733091&lt;/D&gt;&lt;D xsi:type="xsd:double"&gt;2.30970880384733&lt;/D&gt;&lt;D xsi:type="xsd:double"&gt;2.26633570891689&lt;/D&gt;&lt;D xsi:type="xsd:double"&gt;2.2948819424456&lt;/D&gt;&lt;D xsi:type="xsd:double"&gt;2.4661001995163&lt;/D&gt;&lt;D xsi:type="xsd:double"&gt;2.45182025901469&lt;/D&gt;&lt;D xsi:type="xsd:double"&gt;2.47519773454617&lt;/D&gt;&lt;D xsi:type="xsd:double"&gt;2.29179874134034&lt;/D&gt;&lt;D xsi:type="xsd:double"&gt;2.29270141173246&lt;/D&gt;&lt;D xsi:type="xsd:double"&gt;2.27710953304458&lt;/D&gt;&lt;D xsi:type="xsd:double"&gt;2.24878536754114&lt;/D&gt;&lt;D xsi:type="xsd:double"&gt;2.21101802325359&lt;/D&gt;&lt;D xsi:type="xsd:double"&gt;2.26317548959492&lt;/D&gt;&lt;D xsi:type="xsd:double"&gt;2.22682610860386&lt;/D&gt;&lt;D xsi:type="xsd:double"&gt;2.23654420929821&lt;/D&gt;&lt;D xsi:type="xsd:double"&gt;2.16289050591605&lt;/D&gt;&lt;D xsi:type="xsd:double"&gt;2.16371757435953&lt;/D&gt;&lt;D xsi:type="xsd:double"&gt;2.14117898857405&lt;/D&gt;&lt;D xsi:type="xsd:double"&gt;2.10103240225839&lt;/D&gt;&lt;D xsi:type="xsd:double"&gt;2.12354947062754&lt;/D&gt;&lt;D xsi:type="xsd:double"&gt;2.1008668567109&lt;/D&gt;&lt;D xsi:type="xsd:double"&gt;2.08510706554299&lt;/D&gt;&lt;D xsi:type="xsd:double"&gt;2.11420810894922&lt;/D&gt;&lt;D xsi:type="xsd:double"&gt;2.11791364212056&lt;/D&gt;&lt;D xsi:type="xsd:double"&gt;2.10693943410082&lt;/D&gt;&lt;D xsi:type="xsd:double"&gt;2.03924431061151&lt;/D&gt;&lt;D xsi:type="xsd:double"&gt;2.03271670486126&lt;/D&gt;&lt;D xsi:type="xsd:double"&gt;1.97191508709743&lt;/D&gt;&lt;D xsi:type="xsd:double"&gt;1.91434369753955&lt;/D&gt;&lt;D xsi:type="xsd:double"&gt;2.0390592771745&lt;/D&gt;&lt;D xsi:type="xsd:double"&gt;1.94003063748878&lt;/D&gt;&lt;D xsi:type="xsd:double"&gt;2.053374742463&lt;/D&gt;&lt;D xsi:type="xsd:double"&gt;2.02347832945027&lt;/D&gt;&lt;D xsi:type="xsd:double"&gt;1.99224838793558&lt;/D&gt;&lt;D xsi:type="xsd:double"&gt;2.00601993282709&lt;/D&gt;&lt;D xsi:type="xsd:double"&gt;1.99644665563204&lt;/D&gt;&lt;D xsi:type="xsd:double"&gt;1.97602446673339&lt;/D&gt;&lt;D xsi:type="xsd:double"&gt;2.05320575860491&lt;/D&gt;&lt;D xsi:type="xsd:double"&gt;2.06010003386089&lt;/D&gt;&lt;D xsi:type="xsd:double"&gt;2.19163510899924&lt;/D&gt;&lt;D xsi:type="xsd:double"&gt;2.24341770708218&lt;/D&gt;&lt;D xsi:type="xsd:double"&gt;2.16467488035224&lt;/D&gt;&lt;D xsi:type="xsd:double"&gt;2.14331927862373&lt;/D&gt;&lt;D xsi:type="xsd:double"&gt;2.05377837720632&lt;/D&gt;&lt;D xsi:type="xsd:double"&gt;2.07114797213146&lt;/D&gt;&lt;D xsi:type="xsd:double"&gt;2.08132500344487&lt;/D&gt;&lt;D xsi:type="xsd:double"&gt;2.01911759652023&lt;/D&gt;&lt;D xsi:type="xsd:double"&gt;2.07891802890822&lt;/D&gt;&lt;D xsi:type="xsd:double"&gt;2.04753068648026&lt;/D&gt;&lt;D xsi:type="xsd:double"&gt;2.08680681189318&lt;/D&gt;&lt;D xsi:type="xsd:double"&gt;1.99545314017903&lt;/D&gt;&lt;D xsi:type="xsd:double"&gt;1.98267270253531&lt;/D&gt;&lt;D xsi:type="xsd:double"&gt;1.91795072431875&lt;/D&gt;&lt;D xsi:type="xsd:double"&gt;1.8837595070544&lt;/D&gt;&lt;D xsi:type="xsd:double"&gt;2.20247613305754&lt;/D&gt;&lt;D xsi:type="xsd:double"&gt;2.22380563444685&lt;/D&gt;&lt;D xsi:type="xsd:double"&gt;2.06936120779924&lt;/D&gt;&lt;D xsi:type="xsd:double"&gt;1.88956848059068&lt;/D&gt;&lt;D xsi:type="xsd:double"&gt;1.87128167249452&lt;/D&gt;&lt;D xsi:type="xsd:double"&gt;1.77223883466253&lt;/D&gt;&lt;D xsi:type="xsd:double"&gt;1.78765208633167&lt;/D&gt;&lt;D xsi:type="xsd:double"&gt;1.71950351777053&lt;/D&gt;&lt;D xsi:type="xsd:double"&gt;1.69125749800731&lt;/D&gt;&lt;D xsi:type="xsd:double"&gt;1.63805907556735&lt;/D&gt;&lt;D xsi:type="xsd:double"&gt;1.55186866534433&lt;/D&gt;&lt;D xsi:type="xsd:double"&gt;1.53531653597693&lt;/D&gt;&lt;D xsi:type="xsd:double"&gt;1.54683368243085&lt;/D&gt;&lt;D xsi:type="xsd:double"&gt;1.46924650885387&lt;/D&gt;&lt;D xsi:type="xsd:double"&gt;1.45853030948102&lt;/D&gt;&lt;D xsi:type="xsd:double"&gt;1.45277843176525&lt;/D&gt;&lt;D xsi:type="xsd:double"&gt;1.42719595586763&lt;/D&gt;&lt;D xsi:type="xsd:double"&gt;1.41903082903887&lt;/D&gt;&lt;D xsi:type="xsd:double"&gt;1.42267114743918&lt;/D&gt;&lt;D xsi:type="xsd:double"&gt;1.4512169083604&lt;/D&gt;&lt;D xsi:type="xsd:double"&gt;1.38402649881819&lt;/D&gt;&lt;D xsi:type="xsd:double"&gt;1.37014221573707&lt;/D&gt;&lt;D xsi:type="xsd:double"&gt;1.38501752494538&lt;/D&gt;&lt;D xsi:type="xsd:double"&gt;1.45938263293174&lt;/D&gt;&lt;D xsi:type="xsd:double"&gt;1.5551906214505&lt;/D&gt;&lt;D xsi:type="xsd:double"&gt;1.47035958646825&lt;/D&gt;&lt;D xsi:type="xsd:double"&gt;1.65515184149661&lt;/D&gt;&lt;D xsi:type="xsd:double"&gt;1.71228908978932&lt;/D&gt;&lt;D xsi:type="xsd:double"&gt;1.72443049016468&lt;/D&gt;&lt;D xsi:type="xsd:double"&gt;1.61201624742671&lt;/D&gt;&lt;D xsi:type="xsd:double"&gt;1.68234629889463&lt;/D&gt;&lt;D xsi:type="xsd:double"&gt;1.89818104871423&lt;/D&gt;&lt;D xsi:type="xsd:double"&gt;1.74709971229639&lt;/D&gt;&lt;D xsi:type="xsd:double"&gt;1.7627742378175&lt;/D&gt;&lt;D xsi:type="xsd:double"&gt;1.77419985587075&lt;/D&gt;&lt;D xsi:type="xsd:double"&gt;1.71166533403682&lt;/D&gt;&lt;D xsi:type="xsd:double"&gt;1.82223431492589&lt;/D&gt;&lt;D xsi:type="xsd:double"&gt;1.71749361323769&lt;/D&gt;&lt;D xsi:type="xsd:double"&gt;1.70441118995623&lt;/D&gt;&lt;D xsi:type="xsd:double"&gt;1.65136605068747&lt;/D&gt;&lt;D xsi:type="xsd:double"&gt;1.61322855875168&lt;/D&gt;&lt;D xsi:type="xsd:double"&gt;1.60414699626462&lt;/D&gt;&lt;D xsi:type="xsd:double"&gt;1.61481720183842&lt;/D&gt;&lt;D xsi:type="xsd:double"&gt;1.66428279052136&lt;/D&gt;&lt;D xsi:type="xsd:double"&gt;1.64750707103226&lt;/D&gt;&lt;D xsi:type="xsd:double"&gt;1.58719571738998&lt;/D&gt;&lt;D xsi:type="xsd:double"&gt;1.53996077080565&lt;/D&gt;&lt;D xsi:type="xsd:double"&gt;1.48820222062877&lt;/D&gt;&lt;D xsi:type="xsd:double"&gt;1.46758391279619&lt;/D&gt;&lt;D xsi:type="xsd:double"&gt;1.45966048296737&lt;/D&gt;&lt;D xsi:type="xsd:double"&gt;1.46260857589067&lt;/D&gt;&lt;D xsi:type="xsd:double"&gt;1.43491705350784&lt;/D&gt;&lt;D xsi:type="xsd:double"&gt;1.36786885532676&lt;/D&gt;&lt;D xsi:type="xsd:double"&gt;1.44822037565643&lt;/D&gt;&lt;D xsi:type="xsd:double"&gt;1.41403998312591&lt;/D&gt;&lt;D xsi:type="xsd:double"&gt;1.34989472888965&lt;/D&gt;&lt;/FQL&gt;&lt;FQL&gt;&lt;Q&gt;NI-FDS^FG_PRICE_MAVG(0,,,,30)&lt;/Q&gt;&lt;R&gt;1&lt;/R&gt;&lt;C&gt;1&lt;/C&gt;&lt;D xsi:type="xsd:double"&gt;16529.166&lt;/D&gt;&lt;/FQL&gt;&lt;FQL&gt;&lt;Q&gt;BRENT-FDS^MAX(FG_PRICE(0,-5AY))&lt;/Q&gt;&lt;R&gt;1&lt;/R&gt;&lt;C&gt;1&lt;/C&gt;&lt;D xsi:type="xsd:double"&gt;140.85&lt;/D&gt;&lt;/FQL&gt;&lt;FQL&gt;&lt;Q&gt;FC0000AU^FG_PRICE(0)&lt;/Q&gt;&lt;R&gt;1&lt;/R&gt;&lt;C&gt;1&lt;/C&gt;&lt;D xsi:type="xsd:double"&gt;387.10303&lt;/D&gt;&lt;/FQL&gt;&lt;FQL&gt;&lt;Q&gt;EWQ^FG_PRICE(0)&lt;/Q&gt;&lt;R&gt;1&lt;/R&gt;&lt;C&gt;1&lt;/C&gt;&lt;D xsi:type="xsd:double"&gt;39.17&lt;/D&gt;&lt;/FQL&gt;&lt;FQL&gt;&lt;Q&gt;EWG^FG_PRICE_MAVG(0,,,,60)&lt;/Q&gt;&lt;R&gt;1&lt;/R&gt;&lt;C&gt;1&lt;/C&gt;&lt;D xsi:type="xsd:double"&gt;31.879333&lt;/D&gt;&lt;/FQL&gt;&lt;FQL&gt;&lt;Q&gt;EWN^FG_COMPANY_NAME&lt;/Q&gt;&lt;R&gt;1&lt;/R&gt;&lt;C&gt;1&lt;/C&gt;&lt;D xsi:type="xsd:string"&gt;iShares MSCI Netherlands ETF&lt;/D&gt;&lt;/FQL&gt;&lt;FQL&gt;&lt;Q&gt;ENZL^PERCENT_CHANGE(FMA_EPS(+1,0,,,,"PORTAGG","MEAN"),FMA_EPS(+1,-3AM,,,,"PORTAGG","MEAN"))&lt;/Q&gt;&lt;R&gt;1&lt;/R&gt;&lt;C&gt;1&lt;/C&gt;&lt;D xsi:type="xsd:double"&gt;8.30400514278604&lt;/D&gt;&lt;/FQL&gt;&lt;FQL&gt;&lt;Q&gt;EWA^JULIAN(FMA_ROE(NTMA,-20AY,NOW,FY,"PORTAGG","MEANR").DATES)&lt;/Q&gt;&lt;R&gt;20&lt;/R&gt;&lt;C&gt;1&lt;/C&gt;&lt;D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xsi:type="xsd:long"&gt;45289&lt;/D&gt;&lt;/FQL&gt;&lt;FQL&gt;&lt;Q&gt;USDITL^STD(FG_PRICE_CHANGE(0,-3AY,M))&lt;/Q&gt;&lt;R&gt;1&lt;/R&gt;&lt;C&gt;1&lt;/C&gt;&lt;D xsi:type="xsd:double"&gt;2.17172777170536&lt;/D&gt;&lt;/FQL&gt;&lt;FQL&gt;&lt;Q&gt;USDCAD^STD(FG_PRICE_CHANGE(0,-3AY,M))&lt;/Q&gt;&lt;R&gt;1&lt;/R&gt;&lt;C&gt;1&lt;/C&gt;&lt;D xsi:type="xsd:double"&gt;1.83419096764442&lt;/D&gt;&lt;/FQL&gt;&lt;FQL&gt;&lt;Q&gt;EWA^FMA_PE(LTMA,-10AY,0,AM,"PORTAGG","MEANR")&lt;/Q&gt;&lt;R&gt;121&lt;/R&gt;&lt;C&gt;1&lt;/C&gt;&lt;D xsi:type="xsd:double"&gt;14.5620837773082&lt;/D&gt;&lt;D xsi:type="xsd:double"&gt;15.2644850649474&lt;/D&gt;&lt;D xsi:type="xsd:double"&gt;14.2747695731991&lt;/D&gt;&lt;D xsi:type="xsd:double"&gt;14.9696334262436&lt;/D&gt;&lt;D xsi:type="xsd:double"&gt;15.8080126634055&lt;/D&gt;&lt;D xsi:type="xsd:double"&gt;16.1584198131118&lt;/D&gt;&lt;D xsi:type="xsd:double"&gt;16.3754703964034&lt;/D&gt;&lt;D xsi:type="xsd:double"&gt;16.171792662089&lt;/D&gt;&lt;D xsi:type="xsd:double"&gt;15.8979764963618&lt;/D&gt;&lt;D xsi:type="xsd:double"&gt;15.8603446039008&lt;/D&gt;&lt;D xsi:type="xsd:double"&gt;15.9455276565607&lt;/D&gt;&lt;D xsi:type="xsd:double"&gt;15.2955156862659&lt;/D&gt;&lt;D xsi:type="xsd:double"&gt;15.7686341041972&lt;/D&gt;&lt;D xsi:type="xsd:double"&gt;15.2086266545544&lt;/D&gt;&lt;D xsi:type="xsd:double"&gt;15.1676879722796&lt;/D&gt;&lt;D xsi:type="xsd:double"&gt;14.9852778490439&lt;/D&gt;&lt;D xsi:type="xsd:double"&gt;14.6077208414141&lt;/D&gt;&lt;D xsi:type="xsd:double"&gt;15.1352185038975&lt;/D&gt;&lt;D xsi:type="xsd:double"&gt;15.0440316161878&lt;/D&gt;&lt;D xsi:type="xsd:double"&gt;15.6374879586558&lt;/D&gt;&lt;D xsi:type="xsd:double"&gt;15.7523770220437&lt;/D&gt;&lt;D xsi:type="xsd:double"&gt;15.7579605937236&lt;/D&gt;&lt;D xsi:type="xsd:double"&gt;16.6173196049001&lt;/D&gt;&lt;D xsi:type="xsd:double"&gt;16.3410469681811&lt;/D&gt;&lt;D xsi:type="xsd:double"&gt;16.9088260910631&lt;/D&gt;&lt;D xsi:type="xsd:double"&gt;16.8326856184371&lt;/D&gt;&lt;D xsi:type="xsd:double"&gt;17.4724396473507&lt;/D&gt;&lt;D xsi:type="xsd:double"&gt;18.0154035312931&lt;/D&gt;&lt;D xsi:type="xsd:double"&gt;17.7663985794786&lt;/D&gt;&lt;D xsi:type="xsd:double"&gt;17.486200019872&lt;/D&gt;&lt;D xsi:type="xsd:double"&gt;17.3445372485045&lt;/D&gt;&lt;D xsi:type="xsd:double"&gt;17.1652127268185&lt;/D&gt;&lt;D xsi:type="xsd:double"&gt;16.7711077057384&lt;/D&gt;&lt;D xsi:type="xsd:double"&gt;16.7370000620707&lt;/D&gt;&lt;D xsi:type="xsd:double"&gt;16.7924216281726&lt;/D&gt;&lt;D xsi:type="xsd:double"&gt;16.4942940675246&lt;/D&gt;&lt;D xsi:type="xsd:double"&gt;16.390090446611&lt;/D&gt;&lt;D xsi:type="xsd:double"&gt;16.8909540358367&lt;/D&gt;&lt;D xsi:type="xsd:double"&gt;16.579253036847&lt;/D&gt;&lt;D xsi:type="xsd:double"&gt;16.844807942161&lt;/D&gt;&lt;D xsi:type="xsd:double"&gt;16.1209237484529&lt;/D&gt;&lt;D xsi:type="xsd:double"&gt;16.502246099838&lt;/D&gt;&lt;D xsi:type="xsd:double"&gt;16.3088876892402&lt;/D&gt;&lt;D xsi:type="xsd:double"&gt;16.3714390671943&lt;/D&gt;&lt;D xsi:type="xsd:double"&gt;16.1680603143844&lt;/D&gt;&lt;D xsi:type="xsd:double"&gt;16.3290413348526&lt;/D&gt;&lt;D xsi:type="xsd:double"&gt;16.3409066884196&lt;/D&gt;&lt;D xsi:type="xsd:double"&gt;15.9800259592153&lt;/D&gt;&lt;D xsi:type="xsd:double"&gt;15.7307771440575&lt;/D&gt;&lt;D xsi:type="xsd:double"&gt;15.4997242575337&lt;/D&gt;&lt;D xsi:type="xsd:double"&gt;14.5046646678403&lt;/D&gt;&lt;D xsi:type="xsd:double"&gt;15.0418256737628&lt;/D&gt;&lt;D xsi:type="xsd:double"&gt;15.7276475991797&lt;/D&gt;&lt;D xsi:type="xsd:double"&gt;15.9024796837006&lt;/D&gt;&lt;D xsi:type="xsd:double"&gt;15.8496689491003&lt;/D&gt;&lt;D xsi:type="xsd:double"&gt;15.8579948762101&lt;/D&gt;&lt;D xsi:type="xsd:double"&gt;16.0081192770267&lt;/D&gt;&lt;D xsi:type="xsd:double"&gt;16.290893907665&lt;/D&gt;&lt;D xsi:type="xsd:double"&gt;16.2636799741993&lt;/D&gt;&lt;D xsi:type="xsd:double"&gt;16.5706971680391&lt;/D&gt;&lt;D xsi:type="xsd:double"&gt;16.6637154334411&lt;/D&gt;&lt;D xsi:type="xsd:double"&gt;17.467570943009&lt;/D&gt;&lt;D xsi:type="xsd:double"&gt;17.5282871198111&lt;/D&gt;&lt;D xsi:type="xsd:double"&gt;18.3003286942208&lt;/D&gt;&lt;D xsi:type="xsd:double"&gt;18.4164117406629&lt;/D&gt;&lt;D xsi:type="xsd:double"&gt;16.7238547494824&lt;/D&gt;&lt;D xsi:type="xsd:double"&gt;16.7400888471021&lt;/D&gt;&lt;D xsi:type="xsd:double"&gt;17.3381584770993&lt;/D&gt;&lt;D xsi:type="xsd:double"&gt;18.8247917065048&lt;/D&gt;&lt;D xsi:type="xsd:double"&gt;18.5377595060374&lt;/D&gt;&lt;D xsi:type="xsd:double"&gt;19.417771952827&lt;/D&gt;&lt;D xsi:type="xsd:double"&gt;19.4308756087066&lt;/D&gt;&lt;D xsi:type="xsd:double"&gt;19.9101753459322&lt;/D&gt;&lt;D xsi:type="xsd:double"&gt;21.0641351018813&lt;/D&gt;&lt;D xsi:type="xsd:double"&gt;22.7146228161728&lt;/D&gt;&lt;D xsi:type="xsd:double"&gt;23.6619447046614&lt;/D&gt;&lt;D xsi:type="xsd:double"&gt;23.0200938421769&lt;/D&gt;&lt;D xsi:type="xsd:double"&gt;21.663507646003&lt;/D&gt;&lt;D xsi:type="xsd:double"&gt;21.3121881867965&lt;/D&gt;&lt;D xsi:type="xsd:double"&gt;21.0307063494818&lt;/D&gt;&lt;D xsi:type="xsd:double"&gt;20.5957927509283&lt;/D&gt;&lt;D xsi:type="xsd:double"&gt;19.6245206928943&lt;/D&gt;&lt;D xsi:type="xsd:double"&gt;19.2937259001608&lt;/D&gt;&lt;D xsi:type="xsd:double"&gt;18.7883007690196&lt;/D&gt;&lt;D xsi:type="xsd:double"&gt;18.5511302414868&lt;/D&gt;&lt;D xsi:type="xsd:double"&gt;18.4450228919933&lt;/D&gt;&lt;D xsi:type="xsd:double"&gt;17.8301644748902&lt;/D&gt;&lt;D xsi:type="xsd:double"&gt;17.7995435845418&lt;/D&gt;&lt;D xsi:type="xsd:double"&gt;16.3343984377434&lt;/D&gt;&lt;D xsi:type="xsd:double"&gt;15.7040421106737&lt;/D&gt;&lt;D xsi:type="xsd:double"&gt;15.7042078463781&lt;/D&gt;&lt;D xsi:type="xsd:double"&gt;15.077079535894&lt;/D&gt;&lt;D xsi:type="xsd:double"&gt;14.6351382967239&lt;/D&gt;&lt;D xsi:type="xsd:double"&gt;14.1187706241211&lt;/D&gt;&lt;D xsi:type="xsd:double"&gt;14.5324030444698&lt;/D&gt;&lt;D xsi:type="xsd:double"&gt;14.1354768263421&lt;/D&gt;&lt;D xsi:type="xsd:double"&gt;13.3606605461917&lt;/D&gt;&lt;D xsi:type="xsd:double"&gt;13.7864805201064&lt;/D&gt;&lt;D xsi:type="xsd:double"&gt;14.2912873801873&lt;/D&gt;&lt;D xsi:type="xsd:double"&gt;14.0632412119178&lt;/D&gt;&lt;D xsi:type="xsd:double"&gt;14.6603986014135&lt;/D&gt;&lt;D xsi:type="xsd:double"&gt;14.2048637400215&lt;/D&gt;&lt;D xsi:type="xsd:double"&gt;14.2655138649059&lt;/D&gt;&lt;D xsi:type="xsd:double"&gt;14.3837675934217&lt;/D&gt;&lt;D xsi:type="xsd:double"&gt;14.3828880541592&lt;/D&gt;&lt;D xsi:type="xsd:double"&gt;14.4215868297611&lt;/D&gt;&lt;D xsi:type="xsd:double"&gt;15.0596690783062&lt;/D&gt;&lt;D xsi:type="xsd:double"&gt;14.937382748301&lt;/D&gt;&lt;D xsi:type="xsd:double"&gt;14.7259231778248&lt;/D&gt;&lt;D xsi:type="xsd:double"&gt;14.8443256761663&lt;/D&gt;&lt;D xsi:type="xsd:double"&gt;15.3966710507424&lt;/D&gt;&lt;D xsi:type="xsd:double"&gt;16.1967791016468&lt;/D&gt;&lt;D xsi:type="xsd:double"&gt;16.5065933757993&lt;/D&gt;&lt;D xsi:type="xsd:double"&gt;16.6807587569704&lt;/D&gt;&lt;D xsi:type="xsd:double"&gt;16.6805970853786&lt;/D&gt;&lt;D xsi:type="xsd:double"&gt;16.6778123438373&lt;/D&gt;&lt;D xsi:type="xsd:double"&gt;16.846567641368&lt;/D&gt;&lt;D xsi:type="xsd:double"&gt;16.9511544073365&lt;/D&gt;&lt;D xsi:type="xsd:double"&gt;16.9882288153171&lt;/D&gt;&lt;D xsi:type="xsd:double"&gt;17.5437131938389&lt;/D&gt;&lt;D xsi:type="xsd:double"&gt;18.0143894427783&lt;/D&gt;&lt;/FQL&gt;&lt;FQL&gt;&lt;Q&gt;TIOS-FDS^FG_PRICE_CHANGE(0,-6AM)&lt;/Q&gt;&lt;R&gt;1&lt;/R&gt;&lt;C&gt;1&lt;/C&gt;&lt;D xsi:type="xsd:double"&gt;1.72082291866948&lt;/D&gt;&lt;/FQL&gt;&lt;FQL&gt;&lt;Q&gt;SPY^FG_PRICE_MAVG(0,,,,30)&lt;/Q&gt;&lt;R&gt;1&lt;/R&gt;&lt;C&gt;1&lt;/C&gt;&lt;D xsi:type="xsd:double"&gt;563.7783&lt;/D&gt;&lt;/FQL&gt;&lt;FQL&gt;&lt;Q&gt;EWC^FG_PRICE_MAVG(0,,,,30)&lt;/Q&gt;&lt;R&gt;1&lt;/R&gt;&lt;C&gt;1&lt;/C&gt;&lt;D xsi:type="xsd:double"&gt;40.824333&lt;/D&gt;&lt;/FQL&gt;&lt;FQL&gt;&lt;Q&gt;EWQ^P_PRICE(0)/P_PRICE_LOW_PR(0,,,,,,"PRICE","INTRA","52W")-1&lt;/Q&gt;&lt;R&gt;1&lt;/R&gt;&lt;C&gt;1&lt;/C&gt;&lt;D xsi:type="xsd:double"&gt;0.1636957&lt;/D&gt;&lt;/FQL&gt;&lt;FQL&gt;&lt;Q&gt;EWC^PERCENT_CHANGE(FMA_EPS(+1,0,,,,"PORTAGG","MEAN"),FMA_EPS(+1,-3AM,,,,"PORTAGG","MEAN"))&lt;/Q&gt;&lt;R&gt;1&lt;/R&gt;&lt;C&gt;1&lt;/C&gt;&lt;D xsi:type="xsd:double"&gt;-1.31059675956031&lt;/D&gt;&lt;/FQL&gt;&lt;FQL&gt;&lt;Q&gt;EWD^FMA_COS_UP("EPS","1M",+1,0,,,"PORTAGG","MEANR")&lt;/Q&gt;&lt;R&gt;1&lt;/R&gt;&lt;C&gt;1&lt;/C&gt;&lt;D xsi:type="xsd:double"&gt;8&lt;/D&gt;&lt;/FQL&gt;&lt;FQL&gt;&lt;Q&gt;REFEUREFI-FDS^(SUBARRAY(NOT_NA(NO_REPEAT_F(FG_YIELD(NOW,-10AY,D))),0,1)-SUBARRAY(NOT_NA(NO_REPEAT_F(FG_YIELD(NOW,-10AY,D))),1,1))*100&lt;/Q&gt;&lt;R&gt;1&lt;/R&gt;&lt;C&gt;1&lt;/C&gt;&lt;D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xsi:type="xsd:double"&gt;-60&lt;/D&gt;&lt;/FQL&gt;&lt;FQL&gt;&lt;Q&gt;TRYIT10Y-FDS^FG_YIELD(0,,,,"YTM")&lt;/Q&gt;&lt;R&gt;1&lt;/R&gt;&lt;C&gt;1&lt;/C&gt;&lt;D xsi:type="xsd:double"&gt;3.553&lt;/D&gt;&lt;/FQL&gt;&lt;FQL&gt;&lt;Q&gt;EWD^FMA_EVAL_EBITDA(NTMA,0,,,"PORTAGG","MEANR")&lt;/Q&gt;&lt;R&gt;1&lt;/R&gt;&lt;C&gt;1&lt;/C&gt;&lt;D xsi:type="xsd:double"&gt;11.1896314234224&lt;/D&gt;&lt;/FQL&gt;&lt;FQL&gt;&lt;Q&gt;EWJ^FG_TOTAL_RETURNC(0,-1AM)&lt;/Q&gt;&lt;R&gt;1&lt;/R&gt;&lt;C&gt;1&lt;/C&gt;&lt;D xsi:type="xsd:double"&gt;2.5455594&lt;/D&gt;&lt;/FQL&gt;&lt;FQL&gt;&lt;Q&gt;QQQ^FG_TOTAL_RETURNC(0,-1AM)&lt;/Q&gt;&lt;R&gt;1&lt;/R&gt;&lt;C&gt;1&lt;/C&gt;&lt;D xsi:type="xsd:double"&gt;7.5481296&lt;/D&gt;&lt;/FQL&gt;&lt;FQL&gt;&lt;Q&gt;TRYGR10Y-FDS^FG_YIELD(-10AY,0,Y,,"YTM")&lt;/Q&gt;&lt;R&gt;10&lt;/R&gt;&lt;C&gt;1&lt;/C&gt;&lt;D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xsi:type="xsd:double"&gt;3.099&lt;/D&gt;&lt;/FQL&gt;&lt;FQL&gt;&lt;Q&gt;USDCHF^FG_PRICE_CHANGE(0,-6AM)&lt;/Q&gt;&lt;R&gt;1&lt;/R&gt;&lt;C&gt;1&lt;/C&gt;&lt;D xsi:type="xsd:double"&gt;-5.899769&lt;/D&gt;&lt;/FQL&gt;&lt;FQL&gt;&lt;Q&gt;USDGBP^FG_COMPANY_NAME&lt;/Q&gt;&lt;R&gt;1&lt;/R&gt;&lt;C&gt;1&lt;/C&gt;&lt;D xsi:type="xsd:string"&gt;British Pounds per U.S. Dollar&lt;/D&gt;&lt;/FQL&gt;&lt;FQL&gt;&lt;Q&gt;EWQ^FMA_EPS(NTMA,-20AY,0,CY,,"PORTAGG","MEANR")&lt;/Q&gt;&lt;R&gt;20&lt;/R&gt;&lt;C&gt;1&lt;/C&gt;&lt;D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</t>
        </r>
      </text>
    </comment>
    <comment ref="A7" authorId="0" shapeId="0" xr:uid="{E8E2DCF6-D22E-475D-AA6A-DDEB7C1542FA}">
      <text>
        <r>
          <rPr>
            <b/>
            <sz val="9"/>
            <color indexed="81"/>
            <rFont val="Tahoma"/>
            <charset val="1"/>
          </rPr>
          <t>d:double"&gt;1.69319582409989&lt;/D&gt;&lt;D xsi:type="xsd:double"&gt;2.10907755629154&lt;/D&gt;&lt;D xsi:type="xsd:double"&gt;2.23155948612122&lt;/D&gt;&lt;D xsi:type="xsd:double"&gt;2.19705970678672&lt;/D&gt;&lt;D xsi:type="xsd:double"&gt;1.85109750448731&lt;/D&gt;&lt;D xsi:type="xsd:double"&gt;2.46081748725315&lt;/D&gt;&lt;D xsi:type="xsd:double"&gt;2.80266519059803&lt;/D&gt;&lt;D xsi:type="xsd:double"&gt;2.92070467941154&lt;/D&gt;&lt;/FQL&gt;&lt;FQL&gt;&lt;Q&gt;EWN^FG_TOTAL_RETURNC(-10AY,0,AM)&lt;/Q&gt;&lt;R&gt;121&lt;/R&gt;&lt;C&gt;1&lt;/C&gt;&lt;D xsi:type="xsd:double"&gt;-7.6954184&lt;/D&gt;&lt;D xsi:type="xsd:double"&gt;4.870546&lt;/D&gt;&lt;D xsi:type="xsd:double"&gt;2.3430943&lt;/D&gt;&lt;D xsi:type="xsd:double"&gt;-5.442148&lt;/D&gt;&lt;D xsi:type="xsd:double"&gt;4.5119405&lt;/D&gt;&lt;D xsi:type="xsd:double"&gt;3.0303001&lt;/D&gt;&lt;D xsi:type="xsd:double"&gt;4.8750997&lt;/D&gt;&lt;D xsi:type="xsd:double"&gt;1.8824458&lt;/D&gt;&lt;D xsi:type="xsd:double"&gt;0.5279064&lt;/D&gt;&lt;D xsi:type="xsd:double"&gt;-0.30215383&lt;/D&gt;&lt;D xsi:type="xsd:double"&gt;2.3601055&lt;/D&gt;&lt;D xsi:type="xsd:double"&gt;-9.669018&lt;/D&gt;&lt;D xsi:type="xsd:double"&gt;0.7410407&lt;/D&gt;&lt;D xsi:type="xsd:double"&gt;1.0625243&lt;/D&gt;&lt;D xsi:type="xsd:double"&gt;-3.0731916&lt;/D&gt;&lt;D xsi:type="xsd:double"&gt;-6.0171127&lt;/D&gt;&lt;D xsi:type="xsd:double"&gt;-2.6797593&lt;/D&gt;&lt;D xsi:type="xsd:double"&gt;8.857262&lt;/D&gt;&lt;D xsi:type="xsd:double"&gt;2.445197&lt;/D&gt;&lt;D xsi:type="xsd:double"&gt;1.3168812&lt;/D&gt;&lt;D xsi:type="xsd:double"&gt;-2.0308673&lt;/D&gt;&lt;D xsi:type="xsd:double"&gt;-4.1899977&lt;/D&gt;&lt;D xsi:type="xsd:double"&gt;7.5724244&lt;/D&gt;&lt;D xsi:type="xsd:double"&gt;0.14283657&lt;/D&gt;&lt;D xsi:type="xsd:double"&gt;1.4669895&lt;/D&gt;&lt;D xsi:type="xsd:double"&gt;-3.5742939&lt;/D&gt;&lt;D xsi:type="xsd:double"&gt;0.08330345&lt;/D&gt;&lt;D xsi:type="xsd:double"&gt;2.595234&lt;/D&gt;&lt;D xsi:type="xsd:double"&gt;2.7937531&lt;/D&gt;&lt;D xsi:type="xsd:double"&gt;6.5547585&lt;/D&gt;&lt;D xsi:type="xsd:double"&gt;0.3563404&lt;/D&gt;&lt;D xsi:type="xsd:double"&gt;7.7555656&lt;/D&gt;&lt;D xsi:type="xsd:double"&gt;2.428031&lt;/D&gt;&lt;D xsi:type="xsd:double"&gt;-0.11090636&lt;/D&gt;&lt;D xsi:type="xsd:double"&gt;4.392588&lt;/D&gt;&lt;D xsi:type="xsd:double"&gt;1.8080235&lt;/D&gt;&lt;D xsi:type="xsd:double"&gt;2.2602558&lt;/D&gt;&lt;D xsi:type="xsd:double"&gt;-1.2630224&lt;/D&gt;&lt;D xsi:type="xsd:double"&gt;0.9274006&lt;/D&gt;&lt;D xsi:type="xsd:double"&gt;2.9558182&lt;/D&gt;&lt;D xsi:type="xsd:double"&gt;-3.5592735&lt;/D&gt;&lt;D xsi:type="xsd:double"&gt;4.589224&lt;/D&gt;&lt;D xsi:type="xsd:double"&gt;0.061368942&lt;/D&gt;&lt;D xsi:type="xsd:double"&gt;-1.4106095&lt;/D&gt;&lt;D xsi:type="xsd:double"&gt;0.031101704&lt;/D&gt;&lt;D xsi:type="xsd:double"&gt;-1.3441086&lt;/D&gt;&lt;D xsi:type="xsd:double"&gt;-1.6655922&lt;/D&gt;&lt;D xsi:type="xsd:double"&gt;-1.7589629&lt;/D&gt;&lt;D xsi:type="xsd:double"&gt;-5.537134&lt;/D&gt;&lt;D xsi:type="xsd:double"&gt;1.1934042&lt;/D&gt;&lt;D xsi:type="xsd:double"&gt;-5.931318&lt;/D&gt;&lt;D xsi:type="xsd:double"&gt;0.9261966&lt;/D&gt;&lt;D xsi:type="xsd:double"&gt;4.69898&lt;/D&gt;&lt;D xsi:type="xsd:double"&gt;1.6129017&lt;/D&gt;&lt;D xsi:type="xsd:double"&gt;5.7971&lt;/D&gt;&lt;D xsi:type="xsd:double"&gt;0.65231323&lt;/D&gt;&lt;D xsi:type="xsd:double"&gt;0.097215176&lt;/D&gt;&lt;D xsi:type="xsd:double"&gt;2.0960808&lt;/D&gt;&lt;D xsi:type="xsd:double"&gt;-1.8843412&lt;/D&gt;&lt;D xsi:type="xsd:double"&gt;3.8410544&lt;/D&gt;&lt;D xsi:type="xsd:double"&gt;-0.8609712&lt;/D&gt;&lt;D xsi:type="xsd:double"&gt;5.210674&lt;/D&gt;&lt;D xsi:type="xsd:double"&gt;0.73372126&lt;/D&gt;&lt;D xsi:type="xsd:double"&gt;2.8182626&lt;/D&gt;&lt;D xsi:type="xsd:double"&gt;0.9484291&lt;/D&gt;&lt;D xsi:type="xsd:double"&gt;-14.122141&lt;/D&gt;&lt;D xsi:type="xsd:double"&gt;-5.7777824&lt;/D&gt;&lt;D xsi:type="xsd:double"&gt;4.753268&lt;/D&gt;&lt;D xsi:type="xsd:double"&gt;12.919974&lt;/D&gt;&lt;D xsi:type="xsd:double"&gt;5.01343&lt;/D&gt;&lt;D xsi:type="xsd:double"&gt;2.439034&lt;/D&gt;&lt;D xsi:type="xsd:double"&gt;-0.028693676&lt;/D&gt;&lt;D xsi:type="xsd:double"&gt;5.308473&lt;/D&gt;&lt;D xsi:type="xsd:double"&gt;2.3978233&lt;/D&gt;&lt;D xsi:type="xsd:double"&gt;7.2378874&lt;/D&gt;&lt;D xsi:type="xsd:double"&gt;6.998801&lt;/D&gt;&lt;D xsi:type="xsd:double"&gt;3.3038616&lt;/D&gt;&lt;D xsi:type="xsd:double"&gt;0.47297478&lt;/D&gt;&lt;D xsi:type="xsd:double"&gt;7.5543523&lt;/D&gt;&lt;D xsi:type="xsd:double"&gt;0.2292633&lt;/D&gt;&lt;D xsi:type="xsd:double"&gt;3.9904475&lt;/D&gt;&lt;D xsi:type="xsd:double"&gt;-2.9991984&lt;/D&gt;&lt;D xsi:type="xsd:double"&gt;5.4160595&lt;/D&gt;&lt;D xsi:type="xsd:double"&gt;3.9763808&lt;/D&gt;&lt;D xsi:type="xsd:double"&gt;-6.5884113&lt;/D&gt;&lt;D xsi:type="xsd:double"&gt;5.9586525&lt;/D&gt;&lt;D xsi:type="xsd:double"&gt;-5.6809425&lt;/D&gt;&lt;D xsi:type="xsd:double"&gt;-1.6225457&lt;/D&gt;&lt;D xsi:type="xsd:double"&gt;-3.8485408&lt;/D&gt;&lt;D xsi:type="xsd:double"&gt;-15.687543&lt;/D&gt;&lt;D xsi:type="xsd:double"&gt;4.594183&lt;/D&gt;&lt;D xsi:type="xsd:double"&gt;-11.810642&lt;/D&gt;&lt;D xsi:type="xsd:double"&gt;2.3743749&lt;/D&gt;&lt;D xsi:type="xsd:double"&gt;-5.175245&lt;/D&gt;&lt;D xsi:type="xsd:double"&gt;9.962463&lt;/D&gt;&lt;D xsi:type="xsd:double"&gt;-8.245808&lt;/D&gt;&lt;D xsi:type="xsd:double"&gt;-12.049228&lt;/D&gt;&lt;D xsi:type="xsd:double"&gt;19.134403&lt;/D&gt;&lt;D xsi:type="xsd:double"&gt;6.255126&lt;/D&gt;&lt;D xsi:type="xsd:double"&gt;5.40632&lt;/D&gt;&lt;D xsi:type="xsd:double"&gt;2.061355&lt;/D&gt;&lt;D xsi:type="xsd:double"&gt;-4.376054&lt;/D&gt;&lt;D xsi:type="xsd:double"&gt;5.6323767&lt;/D&gt;&lt;D xsi:type="xsd:double"&gt;-0.19042492&lt;/D&gt;&lt;D xsi:type="xsd:double"&gt;1.1324167&lt;/D&gt;&lt;D xsi:type="xsd:double"&gt;2.062714&lt;/D&gt;&lt;D xsi:type="xsd:double"&gt;1.6355157&lt;/D&gt;&lt;D xsi:type="xsd:double"&gt;-8.827585&lt;/D&gt;&lt;D xsi:type="xsd:double"&gt;-3.0635417&lt;/D&gt;&lt;D xsi:type="xsd:double"&gt;4.3308616&lt;/D&gt;&lt;D xsi:type="xsd:double"&gt;6.955874&lt;/D&gt;&lt;D xsi:type="xsd:double"&gt;1.7408729&lt;/D&gt;&lt;D xsi:type="xsd:double"&gt;9.325945&lt;/D&gt;&lt;D xsi:type="xsd:double"&gt;3.2094598&lt;/D&gt;&lt;D xsi:type="xsd:double"&gt;1.1047363&lt;/D&gt;&lt;D xsi:type="xsd:double"&gt;2.4888754&lt;/D&gt;&lt;D xsi:type="xsd:double"&gt;2.685082&lt;/D&gt;&lt;D xsi:type="xsd:double"&gt;1.6142249&lt;/D&gt;&lt;D xsi:type="xsd:double"&gt;-8.49598&lt;/D&gt;&lt;D xsi:type="xsd:double"&gt;-0.2300322&lt;/D&gt;&lt;D xsi:type="xsd:double"&gt;4.4016004&lt;/D&gt;&lt;/FQL&gt;&lt;FQL&gt;&lt;Q&gt;EWD^FMA_PE(NTMA,-10AY,0,AM,"PORTAGG","MEANR")&lt;/Q&gt;&lt;R&gt;121&lt;/R&gt;&lt;C&gt;1&lt;/C&gt;&lt;D xsi:type="xsd:double"&gt;13.5743584972697&lt;/D&gt;&lt;D xsi:type="xsd:double"&gt;15.3326609374659&lt;/D&gt;&lt;D xsi:type="xsd:double"&gt;15.5825459920662&lt;/D&gt;&lt;D xsi:type="xsd:double"&gt;15.4187242794354&lt;/D&gt;&lt;D xsi:type="xsd:double"&gt;16.4150500646503&lt;/D&gt;&lt;D xsi:type="xsd:double"&gt;16.8463429755199&lt;/D&gt;&lt;D xsi:type="xsd:double"&gt;17.1031650844149&lt;/D&gt;&lt;D xsi:type="xsd:double"&gt;15.7315857377599&lt;/D&gt;&lt;D xsi:type="xsd:double"&gt;16.0484940083623&lt;/D&gt;&lt;D xsi:type="xsd:double"&gt;15.9021586170153&lt;/D&gt;&lt;D xsi:type="xsd:double"&gt;16.3612502910431&lt;/D&gt;&lt;D xsi:type="xsd:double"&gt;14.8600467358236&lt;/D&gt;&lt;D xsi:type="xsd:double"&gt;15.0764009710019&lt;/D&gt;&lt;D xsi:type="xsd:double"&gt;15.4091374432706&lt;/D&gt;&lt;D xsi:type="xsd:double"&gt;14.7910334882814&lt;/D&gt;&lt;D xsi:type="xsd:double"&gt;13.9946447295889&lt;/D&gt;&lt;D xsi:type="xsd:double"&gt;14.3157263791125&lt;/D&gt;&lt;D xsi:type="xsd:double"&gt;15.307622548251&lt;/D&gt;&lt;D xsi:type="xsd:double"&gt;15.0505028049902&lt;/D&gt;&lt;D xsi:type="xsd:double"&gt;14.9799980427486&lt;/D&gt;&lt;D xsi:type="xsd:double"&gt;14.415651769368&lt;/D&gt;&lt;D xsi:type="xsd:double"&gt;14.555124475279&lt;/D&gt;&lt;D xsi:type="xsd:double"&gt;15.4638654511279&lt;/D&gt;&lt;D xsi:type="xsd:double"&gt;15.4947158805012&lt;/D&gt;&lt;D xsi:type="xsd:double"&gt;16.0481674804589&lt;/D&gt;&lt;D xsi:type="xsd:double"&gt;16.0902197827882&lt;/D&gt;&lt;D xsi:type="xsd:double"&gt;16.6507371174598&lt;/D&gt;&lt;D xsi:type="xsd:double"&gt;16.3776024338321&lt;/D&gt;&lt;D xsi:type="xsd:double"&gt;16.0535738459264&lt;/D&gt;&lt;D xsi:type="xsd:double"&gt;16.8527444954059&lt;/D&gt;&lt;D xsi:type="xsd:double"&gt;16.9774374608413&lt;/D&gt;&lt;D xsi:type="xsd:double"&gt;17.1978219189896&lt;/D&gt;&lt;D xsi:type="xsd:double"&gt;16.9129138384542&lt;/D&gt;&lt;D xsi:type="xsd:double"&gt;16.6226246505484&lt;/D&gt;&lt;D xsi:type="xsd:double"&gt;15.9093125938891&lt;/D&gt;&lt;D xsi:type="xsd:double"&gt;15.9137116015378&lt;/D&gt;&lt;D xsi:type="xsd:double"&gt;16.7308592219096&lt;/D&gt;&lt;D xsi:type="xsd:double"&gt;16.8997188487636&lt;/D&gt;&lt;D xsi:type="xsd:double"&gt;16.4656506946612&lt;/D&gt;&lt;D xsi:type="xsd:double"&gt;16.6220069049444&lt;/D&gt;&lt;D xsi:type="xsd:double"&gt;15.5817227402787&lt;/D&gt;&lt;D xsi:type="xsd:double"&gt;16.3812019920089&lt;/D&gt;&lt;D xsi:type="xsd:double"&gt;15.6670676913372&lt;/D&gt;&lt;D xsi:type="xsd:double"&gt;16.1376618859661&lt;/D&gt;&lt;D xsi:type="xsd:double"&gt;15.3909449207469&lt;/D&gt;&lt;D xsi:type="xsd:double"&gt;15.3898815442771&lt;/D&gt;&lt;D xsi:type="xsd:double"&gt;15.5691015985699&lt;/D&gt;&lt;D xsi:type="xsd:double"&gt;15.5182720487869&lt;/D&gt;&lt;D xsi:type="xsd:double"&gt;15.0707492940296&lt;/D&gt;&lt;D xsi:type="xsd:double"&gt;14.3961772472307&lt;/D&gt;&lt;D xsi:type="xsd:double"&gt;13.4268563149364&lt;/D&gt;&lt;D xsi:type="xsd:double"&gt;13.9894634231653&lt;/D&gt;&lt;D xsi:type="xsd:double"&gt;14.4528062223253&lt;/D&gt;&lt;D xsi:type="xsd:double"&gt;14.6442200593129&lt;/D&gt;&lt;D xsi:type="xsd:double"&gt;15.1549494805461&lt;/D&gt;&lt;D xsi:type="xsd:double"&gt;14.9813018503785&lt;/D&gt;&lt;D xsi:type="xsd:double"&gt;14.6304142432857&lt;/D&gt;&lt;D xsi:type="xsd:double"&gt;15.0577500212067&lt;/D&gt;&lt;D xsi:type="xsd:double"&gt;13.6686927913931&lt;/D&gt;&lt;D xsi:type="xsd:double"&gt;14.4038805197776&lt;/D&gt;&lt;D xsi:type="xsd:double"&gt;14.8590606991842&lt;/D&gt;&lt;D xsi:type="xsd:double"&gt;15.9927925048547&lt;/D&gt;&lt;D xsi:type="xsd:double"&gt;15.6944899163298&lt;/D&gt;&lt;D xsi:type="xsd:double"&gt;16.2701914172908&lt;/D&gt;&lt;D xsi:type="xsd:double"&gt;16.7273907692423&lt;/D&gt;&lt;D xsi:type="xsd:double"&gt;13.6755857482328&lt;/D&gt;&lt;D xsi:type="xsd:double"&gt;15.6842281394485&lt;/D&gt;&lt;D xsi:type="xsd:double"&gt;18.130961846091&lt;/D&gt;&lt;D xsi:type="xsd:double"&gt;19.39007571432&lt;/D&gt;&lt;D xsi:type="xsd:double"&gt;19.5199342534149&lt;/D&gt;&lt;D xsi:type="xsd:double"&gt;18.5704410556483&lt;/D&gt;&lt;D xsi:type="xsd:double"&gt;18.2876502520924&lt;/D&gt;&lt;D xsi:type="xsd:double"&gt;18.3378146547211&lt;/D&gt;&lt;D xsi:type="xsd:double"&gt;17.0926505649599&lt;/D&gt;&lt;D xsi:type="xsd:double"&gt;17.3091396976705&lt;/D&gt;&lt;D xsi:type="xsd:double"&gt;18.7644461856475&lt;/D&gt;&lt;D xsi:type="xsd:double"&gt;18.6365341320849&lt;/D&gt;&lt;D xsi:type="xsd:double"&gt;19.8067761223185&lt;/D&gt;&lt;D xsi:type="xsd:double"&gt;20.6106303205753&lt;/D&gt;&lt;D xsi:type="xsd:double"&gt;18.2804873750155&lt;/D&gt;&lt;D xsi:type="xsd:double"&gt;18.6591719351714&lt;/D&gt;&lt;D xsi:type="xsd:double"&gt;18.8861156616608&lt;/D&gt;&lt;D xsi:type="xsd:double"&gt;18.6207755186925&lt;/D&gt;&lt;D xsi:type="xsd:double"&gt;18.4758436647682&lt;/D&gt;&lt;D xsi:type="xsd:double"&gt;17.639819676489&lt;/D&gt;&lt;D xsi:type="xsd:double"&gt;18.6120492121414&lt;/D&gt;&lt;D xsi:type="xsd:double"&gt;18.999171537292&lt;/D&gt;&lt;D xsi:type="xsd:double"&gt;17.8265553853745&lt;/D&gt;&lt;D xsi:type="xsd:double"&gt;16.5939060528621&lt;/D&gt;&lt;D xsi:type="xsd:double"&gt;14.4850271446508&lt;/D&gt;&lt;D xsi:type="xsd:double"&gt;15.2781394116473&lt;/D&gt;&lt;D xsi:type="xsd:double"&gt;15.2591400029365&lt;/D&gt;&lt;D xsi:type="xsd:double"&gt;15.1929871014415&lt;/D&gt;&lt;D xsi:type="xsd:double"&gt;14.8292195315039&lt;/D&gt;&lt;D xsi:type="xsd:double"&gt;15.067287244511&lt;/D&gt;&lt;D xsi:type="xsd:double"&gt;14.1004127978362&lt;/D&gt;&lt;D xsi:type="xsd:double"&gt;12.9771523598712&lt;/D&gt;&lt;D xsi:type="xsd:double"&gt;13.1214247710445&lt;/D&gt;&lt;D xsi:type="xsd:double"&gt;13.2761821999965&lt;/D&gt;&lt;D xsi:type="xsd:double"&gt;13.4499386346611&lt;/D&gt;&lt;D xsi:type="xsd:double"&gt;13.9522418566358&lt;/D&gt;&lt;D xsi:type="xsd:double"&gt;13.7023566875891&lt;/D&gt;&lt;D xsi:type="xsd:double"&gt;13.4420181768294&lt;/D&gt;&lt;D xsi:type="xsd:double"&gt;13.3692678160838&lt;/D&gt;&lt;D xsi:type="xsd:double"&gt;13.7103782183028&lt;/D&gt;&lt;D xsi:type="xsd:double"&gt;13.1997510358161&lt;/D&gt;&lt;D xsi:type="xsd:double"&gt;13.2587708096914&lt;/D&gt;&lt;D xsi:type="xsd:double"&gt;12.9363772360661&lt;/D&gt;&lt;D xsi:type="xsd:double"&gt;13.1356181881994&lt;/D&gt;&lt;D xsi:type="xsd:double"&gt;12.7984855615799&lt;/D&gt;&lt;D xsi:type="xsd:double"&gt;15.1141086951576&lt;/D&gt;&lt;D xsi:type="xsd:double"&gt;15.2593178238203&lt;/D&gt;&lt;D xsi:type="xsd:double"&gt;15.6974883778289&lt;/D&gt;&lt;D xsi:type="xsd:double"&gt;16.5498012490015&lt;/D&gt;&lt;D xsi:type="xsd:double"&gt;16.3139449006091&lt;/D&gt;&lt;D xsi:type="xsd:double"&gt;16.4648553842574&lt;/D&gt;&lt;D xsi:type="xsd:double"&gt;16.1245573231807&lt;/D&gt;&lt;D xsi:type="xsd:double"&gt;15.8982773654117&lt;/D&gt;&lt;D xsi:type="xsd:double"&gt;15.3878653896494&lt;/D&gt;&lt;D xsi:type="xsd:double"&gt;15.5969102809326&lt;/D&gt;&lt;D xsi:type="xsd:double"&gt;16.3768621477604&lt;/D&gt;&lt;/FQL&gt;&lt;FQL&gt;&lt;Q&gt;NI-FDS^FG_PRICE(0)/MAX(FG_PRICE(0,-1AY))&lt;/Q&gt;&lt;R&gt;1&lt;/R&gt;&lt;C&gt;1&lt;/C&gt;&lt;D xsi:type="xsd:double"&gt;0.806110458284371&lt;/D&gt;&lt;/FQL&gt;&lt;FQL&gt;&lt;Q&gt;W-FDS^MAX(FG_PRICE(0,-5AY))&lt;/Q&gt;&lt;R&gt;1&lt;/R&gt;&lt;C&gt;1&lt;/C&gt;&lt;D xsi:type="xsd:double"&gt;14.2525&lt;/D&gt;&lt;/FQL&gt;&lt;FQL&gt;&lt;Q&gt;URTH^FMA_PCT_ABOVE_MAVG(200,0,,,,"PORTAGG")&lt;/Q&gt;&lt;R&gt;1&lt;/R&gt;&lt;C&gt;1&lt;/C&gt;&lt;D xsi:type="xsd:double"&gt;67.0931058990761&lt;/D&gt;&lt;/FQL&gt;&lt;FQL&gt;&lt;Q&gt;EWI^FG_TOTAL_RETURNC(0,-3AM)&lt;/Q&gt;&lt;R&gt;1&lt;/R&gt;&lt;C&gt;1&lt;/C&gt;&lt;D xsi:type="xsd:double"&gt;1.902461&lt;/D&gt;&lt;/FQL&gt;&lt;FQL&gt;&lt;Q&gt;EWJ^P_PRICE(0)/P_PRICE_LOW_PR(0,,,,,,"PRICE","INTRA","52W")-1&lt;/Q&gt;&lt;R&gt;1&lt;/R&gt;&lt;C&gt;1&lt;/C&gt;&lt;D xsi:type="xsd:double"&gt;0.23951054&lt;/D&gt;&lt;/FQL&gt;&lt;FQL&gt;&lt;Q&gt;FXI^FMA_COS_UP("EPS","1M",+1,0,,,"PORTAGG","MEANR")&lt;/Q&gt;&lt;R&gt;1&lt;/R&gt;&lt;C&gt;1&lt;/C&gt;&lt;D xsi:type="xsd:double"&gt;26&lt;/D&gt;&lt;/FQL&gt;&lt;FQL&gt;&lt;Q&gt;EWJ^FMA_COS_UP("EPS","1M",+1,0,,,"PORTAGG","MEANR")&lt;/Q&gt;&lt;R&gt;1&lt;/R&gt;&lt;C&gt;1&lt;/C&gt;&lt;D xsi:type="xsd:double"&gt;80&lt;/D&gt;&lt;/FQL&gt;&lt;FQL&gt;&lt;Q&gt;QQQ^FG_ROE(0)&lt;/Q&gt;&lt;R&gt;1&lt;/R&gt;&lt;C&gt;1&lt;/C&gt;&lt;D xsi:type="xsd:double"&gt;22.2707859793069&lt;/D&gt;&lt;/FQL&gt;&lt;FQL&gt;&lt;Q&gt;TRYIT10Y-FDS^FG_YIELD_NAME&lt;/Q&gt;&lt;R&gt;1&lt;/R&gt;&lt;C&gt;1&lt;/C&gt;&lt;D xsi:type="xsd:string"&gt;Italy Benchmark Bond - 10 Year&lt;/D&gt;&lt;/FQL&gt;&lt;FQL&gt;&lt;Q&gt;TRYCA10Y-FDS^FG_YIELD_NAME&lt;/Q&gt;&lt;R&gt;1&lt;/R&gt;&lt;C&gt;1&lt;/C&gt;&lt;D xsi:type="xsd:string"&gt;Canada Benchmark Bond - 10 Year&lt;/D&gt;&lt;/FQL&gt;&lt;FQL&gt;&lt;Q&gt;SPY^FMA_EVAL_EBIT(LTMA,NOW,NOW,M,"PORTAGG","MEANR")&lt;/Q&gt;&lt;R&gt;1&lt;/R&gt;&lt;C&gt;1&lt;/C&gt;&lt;D xsi:type="xsd:double"&gt;21.5261618255531&lt;/D&gt;&lt;/FQL&gt;&lt;FQL&gt;&lt;Q&gt;EWU^JULIAN(FMA_DIV_YLD(NTMA,NOW,NOW,M,"PORTAGG","MEANR").DATES)&lt;/Q&gt;&lt;R&gt;1&lt;/R&gt;&lt;C&gt;1&lt;/C&gt;&lt;D xsi:type="xsd:long"&gt;45565&lt;/D&gt;&lt;/FQL&gt;&lt;FQL&gt;&lt;Q&gt;ENZL^FMA_PE(NTMA,0,,,"PORTAGG","MEANR")&lt;/Q&gt;&lt;R&gt;1&lt;/R&gt;&lt;C&gt;1&lt;/C&gt;&lt;D xsi:type="xsd:double"&gt;24.3092518302041&lt;/D&gt;&lt;/FQL&gt;&lt;FQL&gt;&lt;Q&gt;USDITL^STD(FG_PRICE_CHANGE(0,-1AY,AM))&lt;/Q&gt;&lt;R&gt;1&lt;/R&gt;&lt;C&gt;1&lt;/C&gt;&lt;D xsi:type="xsd:double"&gt;1.21308057096045&lt;/D&gt;&lt;/FQL&gt;&lt;FQL&gt;&lt;Q&gt;USDCAD^STD(FG_PRICE_CHANGE(0,-1AY,AM))&lt;/Q&gt;&lt;R&gt;1&lt;/R&gt;&lt;C&gt;1&lt;/C&gt;&lt;D xsi:type="xsd:double"&gt;1.16591727610545&lt;/D&gt;&lt;/FQL&gt;&lt;FQL&gt;&lt;Q&gt;ENZL^JULIAN(FMA_DIV_YLD(LTMA,-10AY,0,AM,"PORTAGG","MEANR").DATES)&lt;/Q&gt;&lt;R&gt;121&lt;/R&gt;&lt;C&gt;1&lt;/C&gt;&lt;D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xsi:type="xsd:long"&gt;45573&lt;/D&gt;&lt;/FQL&gt;&lt;FQL&gt;&lt;Q&gt;TIOS-FDS^FG_PRICE_CHANGE(0,-3AM)&lt;/Q&gt;&lt;R&gt;1&lt;/R&gt;&lt;C&gt;1&lt;/C&gt;&lt;D xsi:type="xsd:double"&gt;-2.69450064373735&lt;/D&gt;&lt;/FQL&gt;&lt;FQL&gt;&lt;Q&gt;EWC^FG_PRICE(0)&lt;/Q&gt;&lt;R&gt;1&lt;/R&gt;&lt;C&gt;1&lt;/C&gt;&lt;D xsi:type="xsd:double"&gt;41.4&lt;/D&gt;&lt;/FQL&gt;&lt;FQL&gt;&lt;Q&gt;EWQ^P_PRICE(0)/P_PRICE_HIGH_PR(0,,,,,,"PRICE","INTRA","52W")&lt;/Q&gt;&lt;R&gt;1&lt;/R&gt;&lt;C&gt;1&lt;/C&gt;&lt;D xsi:type="xsd:double"&gt;0.91948354&lt;/D&gt;&lt;/FQL&gt;&lt;FQL&gt;&lt;Q&gt;EWC^PERCENT_CHANGE(FMA_EPS(+1,0,,,,"PORTAGG","MEAN"),FMA_EPS(+1,-1AM,,,,"PORTAGG","MEAN"))&lt;/Q&gt;&lt;R&gt;1&lt;/R&gt;&lt;C&gt;1&lt;/C&gt;&lt;D xsi:type="xsd:double"&gt;-1.78325435656252&lt;/D&gt;&lt;/FQL&gt;&lt;FQL&gt;&lt;Q&gt;EWN^SIZE(FG_CONSTITUENTS)&lt;/Q&gt;&lt;R&gt;1&lt;/R&gt;&lt;C&gt;1&lt;/C&gt;&lt;D xsi:type="xsd:long"&gt;54&lt;/D&gt;&lt;/FQL&gt;&lt;FQL&gt;&lt;Q&gt;VWO^FMA_DIV_YLD(NTMA,NOW,NOW,M,"PORTAGG","MEANR")&lt;/Q&gt;&lt;R&gt;1&lt;/R&gt;&lt;C&gt;1&lt;/C&gt;&lt;D xsi:type="xsd:double"&gt;2.98151369325415&lt;/D&gt;&lt;/FQL&gt;&lt;FQL&gt;&lt;Q&gt;EWD^FG_FCF_YIELD_NTM(0)&lt;/Q&gt;&lt;R&gt;1&lt;/R&gt;&lt;C&gt;1&lt;/C&gt;&lt;D xsi:type="xsd:double"&gt;4.9445315159499&lt;/D&gt;&lt;/FQL&gt;&lt;FQL&gt;&lt;Q&gt;EWQ^FMA_ROE(NTMA,-20AY,NOW,FY,"PORTAGG","MEANR")&lt;/Q&gt;&lt;R&gt;20&lt;/R&gt;&lt;C&gt;1&lt;/C&gt;&lt;D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xsi:type="xsd:double"&gt;10.9140096450728&lt;/D&gt;&lt;D xsi:type="xsd:double"&gt;8.94223448409827&lt;/D&gt;&lt;D xsi:type="xsd:double"&gt;12.253955548111&lt;/D&gt;&lt;D xsi:type="xsd:double"&gt;13.1534194530092&lt;/D&gt;&lt;D xsi:type="xsd:double"&gt;13.2312741384504&lt;/D&gt;&lt;/FQL&gt;&lt;FQL&gt;&lt;Q&gt;CC_US^FG_COMPANY_NAME&lt;/Q&gt;&lt;R&gt;1&lt;/R&gt;&lt;C&gt;1&lt;/C&gt;&lt;D xsi:type="xsd:string"&gt;United States&lt;/D&gt;&lt;/FQL&gt;&lt;FQL&gt;&lt;Q&gt;USDNZD^STD(FG_PRICE_CHANGE(0,-1AY,AM))&lt;/Q&gt;&lt;R&gt;1&lt;/R&gt;&lt;C&gt;1&lt;/C&gt;&lt;D xsi:type="xsd:double"&gt;2.0704493249158&lt;/D&gt;&lt;/FQL&gt;&lt;FQL&gt;&lt;Q&gt;WL-FDS^FG_PRICE_CHANGE(0,-1AM)&lt;/Q&gt;&lt;R&gt;1&lt;/R&gt;&lt;C&gt;1&lt;/C&gt;&lt;D xsi:type="xsd:double"&gt;9.27497107597377&lt;/D&gt;&lt;/FQL&gt;&lt;FQL&gt;&lt;Q&gt;EWN^FG_PRICE_MAVG(0,,,,60)&lt;/Q&gt;&lt;R&gt;1&lt;/R&gt;&lt;C&gt;1&lt;/C&gt;&lt;D xsi:type="xsd:double"&gt;49.321335&lt;/D&gt;&lt;/FQL&gt;&lt;FQL&gt;&lt;Q&gt;EWJ^FG_PRICE_MAVG(0,,,,30)&lt;/Q&gt;&lt;R&gt;1&lt;/R&gt;&lt;C&gt;1&lt;/C&gt;&lt;D xsi:type="xsd:double"&gt;70.755&lt;/D&gt;&lt;/FQL&gt;&lt;FQL&gt;&lt;Q&gt;FXI^P_PRICE(0)/P_PRICE_HIGH_PR(0,,,,,,"PRICE","INTRA","52W")&lt;/Q&gt;&lt;R&gt;1&lt;/R&gt;&lt;C&gt;1&lt;/C&gt;&lt;D xsi:type="xsd:double"&gt;0.8858667&lt;/D&gt;&lt;/FQL&gt;&lt;FQL&gt;&lt;Q&gt;EWJ^PERCENT_CHANGE(FMA_EPS(+1,0,,,,"PORTAGG","MEAN"),FMA_EPS(+1,-1AM,,,,"PORTAGG","MEAN"))&lt;/Q&gt;&lt;R&gt;1&lt;/R&gt;&lt;C&gt;1&lt;/C&gt;&lt;D xsi:type="xsd:double"&gt;-3.56054516221228&lt;/D&gt;&lt;/FQL&gt;&lt;FQL&gt;&lt;Q&gt;EWD^FMA_PCT_ABOVE_MAVG(200,0,,,,"PORTAGG")&lt;/Q&gt;&lt;R&gt;1&lt;/R&gt;&lt;C&gt;1&lt;/C&gt;&lt;D xsi:type="xsd:double"&gt;71.1111111111111&lt;/D&gt;&lt;/FQL&gt;&lt;FQL&gt;&lt;Q&gt;SPY^PERCENT_CHANGE(FMA_EPS(+1,0,,,,"PORTAGG","MEAN"),FMA_EPS(+1,-3AM,,,,"PORTAGG","MEAN"))&lt;/Q&gt;&lt;R&gt;1&lt;/R&gt;&lt;C&gt;1&lt;/C&gt;&lt;D xsi:type="xsd:double"&gt;-1.39572403423461&lt;/D&gt;&lt;/FQL&gt;&lt;FQL&gt;&lt;Q&gt;EWL^P_PRICE(0)/P_PRICE_HIGH_PR(0,,,,,,"PRICE","INTRA","52W")&lt;/Q&gt;&lt;R&gt;1&lt;/R&gt;&lt;C&gt;1&lt;/C&gt;&lt;D xsi:type="xsd:double"&gt;0.9620969&lt;/D&gt;&lt;/FQL&gt;&lt;FQL&gt;&lt;Q&gt;EWU^SIZE(FG_CONSTITUENTS)&lt;/Q&gt;&lt;R&gt;1&lt;/R&gt;&lt;C&gt;1&lt;/C&gt;&lt;D xsi:type="xsd:long"&gt;79&lt;/D&gt;&lt;/FQL&gt;&lt;FQL&gt;&lt;Q&gt;EWJ^FMA_RBICS_REV_CURRENT(30, LOC, "PORTAGG")&lt;/Q&gt;&lt;R&gt;1&lt;/R&gt;&lt;C&gt;1&lt;/C&gt;&lt;D xsi:type="xsd:double"&gt;18.3724552738071&lt;/D&gt;&lt;/FQL&gt;&lt;FQL&gt;&lt;Q&gt;TRYAU10Y-FDS^PCTCHG(FG_YIELD(0,,,,"YTM"),FG_YIELD(-3AM,,,,"YTM"))&lt;/Q&gt;&lt;R&gt;1&lt;/R&gt;&lt;C&gt;1&lt;/C&gt;&lt;D xsi:type="xsd:double"&gt;-3.3141446&lt;/D&gt;&lt;/FQL&gt;&lt;FQL&gt;&lt;Q&gt;CC_CH^IMF_IFS_RCPI_Q(0)&lt;/Q&gt;&lt;R&gt;0&lt;/R&gt;&lt;C&gt;0&lt;/C&gt;&lt;/FQL&gt;&lt;FQL&gt;&lt;Q&gt;EWI^FMA_EVAL_EBIT(LTMA,NOW,NOW,M,"PORTAGG","MEANR")&lt;/Q&gt;&lt;R&gt;1&lt;/R&gt;&lt;C&gt;1&lt;/C&gt;&lt;D xsi:type="xsd:double"&gt;12.0294286641653&lt;/D&gt;&lt;/FQL&gt;&lt;FQL&gt;&lt;Q&gt;EWQ^FMA_EVAL_EBIT(LTMA,NOW,NOW,M,"PORTAGG","MEANR")&lt;/Q&gt;&lt;R&gt;1&lt;/R&gt;&lt;C&gt;1&lt;/C&gt;&lt;D xsi:type="xsd:double"&gt;13.5836279614691&lt;/D&gt;&lt;/FQL&gt;&lt;FQL&gt;&lt;Q&gt;USO^FG_TOTAL_RETURNC(0,-3AM)&lt;/Q&gt;&lt;R&gt;1&lt;/R&gt;&lt;C&gt;1&lt;/C&gt;&lt;D xsi:type="xsd:double"&gt;-3.3673048&lt;/D&gt;&lt;/FQL&gt;&lt;FQL&gt;&lt;Q&gt;EWI^FMA_EVAL_EBITDA(NTMA,0,,,"PORTAGG","MEANR")&lt;/Q&gt;&lt;R&gt;1&lt;/R&gt;&lt;C&gt;1&lt;/C&gt;&lt;D xsi:type="xsd:double"&gt;7.78769881701908&lt;/D&gt;&lt;/FQL&gt;&lt;FQL&gt;&lt;Q&gt;QQQ^JULIAN(FMA_DIV_YLD(NTMA,NOW,NOW,M,"PORTAGG","MEANR").DATES)&lt;/Q&gt;&lt;R&gt;1&lt;/R&gt;&lt;C&gt;1&lt;/C&gt;&lt;D xsi:type="xsd:long"&gt;45565&lt;/D&gt;&lt;/FQL&gt;&lt;FQL&gt;&lt;Q&gt;EWJ^FMA_PE(LTM,0,,,"PORTAGG","MEANR")&lt;/Q&gt;&lt;R&gt;1&lt;/R&gt;&lt;C&gt;1&lt;/C&gt;&lt;D xsi:type="xsd:double"&gt;17.5052357773996&lt;/D&gt;&lt;/FQL&gt;&lt;FQL&gt;&lt;Q&gt;EWA^FMA_PE(NTMA,0,,,"PORTAGG","MEANR")&lt;/Q&gt;&lt;R&gt;1&lt;/R&gt;&lt;C&gt;1&lt;/C&gt;&lt;D xsi:type="xsd:double"&gt;18.1969661506315&lt;/D&gt;&lt;/FQL&gt;&lt;FQL&gt;&lt;Q&gt;SPY^FG_TOTAL_RETURNC(0,-1AM)&lt;/Q&gt;&lt;R&gt;1&lt;/R&gt;&lt;C&gt;1&lt;/C&gt;&lt;D xsi:type="xsd:double"&gt;5.3043485&lt;/D&gt;&lt;/FQL&gt;&lt;FQL&gt;&lt;Q&gt;EWJ^FMA_PCT_ABOVE_MAVG(200,0,,,,"PORTAGG")&lt;/Q&gt;&lt;R&gt;1&lt;/R&gt;&lt;C&gt;1&lt;/C&gt;&lt;D xsi:type="xsd:double"&gt;54.2713567839196&lt;/D&gt;&lt;/FQL&gt;&lt;FQL&gt;&lt;Q&gt;EWG^FMA_RBICS_REV_CURRENT(30, LOC, "PORTAGG")&lt;/Q&gt;&lt;R&gt;1&lt;/R&gt;&lt;C&gt;1&lt;/C&gt;&lt;D xsi:type="xsd:double"&gt;23.5276247083657&lt;/D&gt;&lt;/FQL&gt;&lt;FQL&gt;&lt;Q&gt;TRYAU10Y-FDS^PCTCHG(FG_YIELD(0,,,,"YTM"),FG_YIELD(-1AM,,,,"YTM"))&lt;/Q&gt;&lt;R&gt;1&lt;/R&gt;&lt;C&gt;1&lt;/C&gt;&lt;D xsi:type="xsd:double"&gt;7.469949&lt;/D&gt;&lt;/FQL&gt;&lt;FQL&gt;&lt;Q&gt;CPALM-FDS^FG_PRICE_CHANGE(0,-6AM)&lt;/Q&gt;&lt;R&gt;1&lt;/R&gt;&lt;C&gt;1&lt;/C&gt;&lt;D xsi:type="xsd:double"&gt;-3.697144122205&lt;/D&gt;&lt;/FQL&gt;&lt;FQL&gt;&lt;Q&gt;EWG^FG_PRICE_MAVG(0,,,,200)&lt;/Q&gt;&lt;R&gt;1&lt;/R&gt;&lt;C&gt;1&lt;/C&gt;&lt;D xsi:type="xsd:double"&gt;31.016&lt;/D&gt;&lt;/FQL&gt;&lt;FQL&gt;&lt;Q&gt;VGK^PERCENT_CHANGE(FMA_EPS(+1,0,,,,"PORTAGG","MEAN"),FMA_EPS(+1,-3AM,,,,"PORTAGG","MEAN"))&lt;/Q&gt;&lt;R&gt;1&lt;/R&gt;&lt;C&gt;1&lt;/C&gt;&lt;D xsi:type="xsd:double"&gt;-0.12778129280666&lt;/D&gt;&lt;/FQL&gt;&lt;FQL&gt;&lt;Q&gt;EWG^FMA_PCT_ABOVE_MAVG(200,0,,,,"PORTAGG")&lt;/Q&gt;&lt;R&gt;1&lt;/R&gt;&lt;C&gt;1&lt;/C&gt;&lt;D xsi:type="xsd:double"&gt;61.4035087719298&lt;/D&gt;&lt;/FQL&gt;&lt;FQL&gt;&lt;Q&gt;EWL^SIZE(FG_CONSTITUENTS)&lt;/Q&gt;&lt;R&gt;1&lt;/R&gt;&lt;C&gt;1&lt;/C&gt;&lt;D xsi:type="xsd:long"&gt;47&lt;/D&gt;&lt;/FQL&gt;&lt;FQL&gt;&lt;Q&gt;TRYSE10Y-FDS^PCTCHG(FG_YIELD(0,,,,"YTM"),FG_YIELD(-1AM,,,,"YTM"))&lt;/Q&gt;&lt;R&gt;1&lt;/R&gt;&lt;C&gt;1&lt;/C&gt;&lt;D xsi:type="xsd:double"&gt;9.604523&lt;/D&gt;&lt;/FQL&gt;&lt;FQL&gt;&lt;Q&gt;EWU^FMA_EVAL_EBIT(LTMA,NOW,NOW,M,"PORTAGG","MEANR")&lt;/Q&gt;&lt;R&gt;1&lt;/R&gt;&lt;C&gt;1&lt;/C&gt;&lt;D xsi:type="xsd:double"&gt;10.9552698594165&lt;/D&gt;&lt;/FQL&gt;&lt;FQL&gt;&lt;Q&gt;EWJ^JULIAN(FMA_DIV_YLD(NTMA,NOW,NOW,M,"PORTAGG","MEANR").DATES)&lt;/Q&gt;&lt;R&gt;1&lt;/R&gt;&lt;C&gt;1&lt;/C&gt;&lt;D xsi:type="xsd:long"&gt;45565&lt;/D&gt;&lt;/FQL&gt;&lt;FQL&gt;&lt;Q&gt;QQQ^FMA_ROE(NTMA,-20AY,NOW,FY,"PORTAGG","MEANR")&lt;/Q&gt;&lt;R&gt;20&lt;/R&gt;&lt;C&gt;1&lt;/C&gt;&lt;D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xsi:type="xsd:double"&gt;25.0117290637019&lt;/D&gt;&lt;D xsi:type="xsd:double"&gt;24.5344428355254&lt;/D&gt;&lt;D xsi:type="xsd:double"&gt;26.6372020899856&lt;/D&gt;&lt;D xsi:type="xsd:double"&gt;24.0483215664206&lt;/D&gt;&lt;D xsi:type="xsd:double"&gt;25.30628712435&lt;/D&gt;&lt;/FQL&gt;&lt;FQL&gt;&lt;Q&gt;CC_GB^FG_COMPANY_NAME&lt;/Q&gt;&lt;R&gt;1&lt;/R&gt;&lt;C&gt;1&lt;/C&gt;&lt;D xsi:type="xsd:string"&gt;United Kingdom&lt;/D&gt;&lt;/FQL&gt;&lt;FQL&gt;&lt;Q&gt;USDANG^STD(FG_PRICE_CHANGE(0,-1AY,AM))&lt;/Q&gt;&lt;R&gt;1&lt;/R&gt;&lt;C&gt;1&lt;/C&gt;&lt;D xsi:type="xsd:double"&gt;0&lt;/D&gt;&lt;/FQL&gt;&lt;FQL&gt;&lt;Q&gt;USDJPY^FG_COMPANY_NAME&lt;/Q&gt;&lt;R&gt;1&lt;/R&gt;&lt;C&gt;1&lt;/C&gt;&lt;D xsi:type="xsd:string"&gt;Japanese Yen per U.S. Dollar&lt;/D&gt;&lt;/FQL&gt;&lt;FQL&gt;&lt;Q&gt;QQQ^P_PRICE_RETURNS_PR('52W',2,-10AY,0,AM)&lt;/Q&gt;&lt;R&gt;121&lt;/R&gt;&lt;C&gt;1&lt;/C&gt;&lt;D xsi:type="xsd:double"&gt;21.90807&lt;/D&gt;&lt;D xsi:type="xsd:double"&gt;25.34864&lt;/D&gt;&lt;D xsi:type="xsd:double"&gt;21.488785&lt;/D&gt;&lt;D xsi:type="xsd:double"&gt;19.731676&lt;/D&gt;&lt;D xsi:type="xsd:double"&gt;20.726347&lt;/D&gt;&lt;D xsi:type="xsd:double"&gt;17.974735&lt;/D&gt;&lt;D xsi:type="xsd:double"&gt;28.021503&lt;/D&gt;&lt;D xsi:type="xsd:double"&gt;27.077627&lt;/D&gt;&lt;D xsi:type="xsd:double"&gt;19.153595&lt;/D&gt;&lt;D xsi:type="xsd:double"&gt;14.942705&lt;/D&gt;&lt;D xsi:type="xsd:double"&gt;18.82701&lt;/D&gt;&lt;D xsi:type="xsd:double"&gt;6.0420156&lt;/D&gt;&lt;D xsi:type="xsd:double"&gt;11.173237&lt;/D&gt;&lt;D xsi:type="xsd:double"&gt;12.304258&lt;/D&gt;&lt;D xsi:type="xsd:double"&gt;10.954142&lt;/D&gt;&lt;D xsi:type="xsd:double"&gt;1.7165661&lt;/D&gt;&lt;D xsi:type="xsd:double"&gt;-6.438321&lt;/D&gt;&lt;D xsi:type="xsd:double"&gt;0.009334087&lt;/D&gt;&lt;D xsi:type="xsd:double"&gt;3.3273578&lt;/D&gt;&lt;D xsi:type="xsd:double"&gt;-0.1747191&lt;/D&gt;&lt;D xsi:type="xsd:double"&gt;0.58237314&lt;/D&gt;&lt;D xsi:type="xsd:double"&gt;5.1415205&lt;/D&gt;&lt;D xsi:type="xsd:double"&gt;5.7057858&lt;/D&gt;&lt;D xsi:type="xsd:double"&gt;11.274349&lt;/D&gt;&lt;D xsi:type="xsd:double"&gt;13.179183&lt;/D&gt;&lt;D xsi:type="xsd:double"&gt;3.3372998&lt;/D&gt;&lt;D xsi:type="xsd:double"&gt;7.053733&lt;/D&gt;&lt;D xsi:type="xsd:double"&gt;19.190098&lt;/D&gt;&lt;D xsi:type="xsd:double"&gt;33.212326&lt;/D&gt;&lt;D xsi:type="xsd:double"&gt;26.94229&lt;/D&gt;&lt;D xsi:type="xsd:double"&gt;22.365116&lt;/D&gt;&lt;D xsi:type="xsd:double"&gt;30.274464&lt;/D&gt;&lt;D xsi:type="xsd:double"&gt;28.341818&lt;/D&gt;&lt;D xsi:type="xsd:double"&gt;27.010775&lt;/D&gt;&lt;D xsi:type="xsd:double"&gt;22.180916&lt;/D&gt;&lt;D xsi:type="xsd:double"&gt;24.285793&lt;/D&gt;&lt;D xsi:type="xsd:double"&gt;25.045288&lt;/D&gt;&lt;D xsi:type="xsd:double"&gt;34.09926&lt;/D&gt;&lt;D xsi:type="xsd:double"&gt;31.77879&lt;/D&gt;&lt;D xsi:type="xsd:double"&gt;33.490635&lt;/D&gt;&lt;D xsi:type="xsd:double"&gt;24.073769&lt;/D&gt;&lt;D xsi:type="xsd:double"&gt;33.552193&lt;/D&gt;&lt;D xsi:type="xsd:double"&gt;23.17177&lt;/D&gt;&lt;D xsi:type="xsd:double"&gt;23.623169&lt;/D&gt;&lt;D xsi:type="xsd:double"&gt;22.55789&lt;/D&gt;&lt;D xsi:type="xsd:double"&gt;28.916191&lt;/D&gt;&lt;D xsi:type="xsd:double"&gt;29.037142&lt;/D&gt;&lt;D xsi:type="xsd:double"&gt;27.030586&lt;/D&gt;&lt;D xsi:type="xsd:double"&gt;17.242981&lt;/D&gt;&lt;D xsi:type="xsd:double"&gt;12.459528&lt;/D&gt;&lt;D xsi:type="xsd:double"&gt;6.2211156&lt;/D&gt;&lt;D xsi:type="xsd:double"&gt;0.29529333&lt;/D&gt;&lt;D xsi:type="xsd:double"&gt;10.786009&lt;/D&gt;&lt;D xsi:type="xsd:double"&gt;1.6327977&lt;/D&gt;&lt;D xsi:type="xsd:double"&gt;16.051079&lt;/D&gt;&lt;D xsi:type="xsd:double"&gt;10.01761&lt;/D&gt;&lt;D xsi:type="xsd:double"&gt;5.907893&lt;/D&gt;&lt;D xsi:type="xsd:double"&gt;9.547877&lt;/D&gt;&lt;D xsi:type="xsd:double"&gt;3.417647&lt;/D&gt;&lt;D xsi:type="xsd:double"&gt;5.829549&lt;/D&gt;&lt;D xsi:type="xsd:double"&gt;10.859299&lt;/D&gt;&lt;D xsi:type="xsd:double"&gt;16.382921&lt;/D&gt;&lt;D xsi:type="xsd:double"&gt;26.164043&lt;/D&gt;&lt;D xsi:type="xsd:double"&gt;36.549603&lt;/D&gt;&lt;D xsi:type="xsd:double"&gt;38.75097&lt;/D&gt;&lt;D xsi:type="xsd:double"&gt;20.225143&lt;/D&gt;&lt;D xsi:type="xsd:double"&gt;9.808922&lt;/D&gt;&lt;D xsi:type="xsd:double"&gt;22.07594&lt;/D&gt;&lt;D xsi:type="xsd:double"&gt;35.58445&lt;/D&gt;&lt;D xsi:type="xsd:double"&gt;38.187862&lt;/D&gt;&lt;D xsi:type="xsd:double"&gt;46.112705&lt;/D&gt;&lt;D xsi:type="xsd:double"&gt;44.005405&lt;/D&gt;&lt;D xsi:type="xsd:double"&gt;53.739834&lt;/D&gt;&lt;D xsi:type="xsd:double"&gt;41.89732&lt;/D&gt;&lt;D xsi:type="xsd:double"&gt;49.476624&lt;/D&gt;&lt;D xsi:type="xsd:double"&gt;47.96505&lt;/D&gt;&lt;D xsi:type="xsd:double"&gt;44.468666&lt;/D&gt;&lt;D xsi:type="xsd:double"&gt;53.39668&lt;/D&gt;&lt;D xsi:type="xsd:double"&gt;68.880775&lt;/D&gt;&lt;D xsi:type="xsd:double"&gt;45.776535&lt;/D&gt;&lt;D xsi:type="xsd:double"&gt;39.092743&lt;/D&gt;&lt;D xsi:type="xsd:double"&gt;38.476406&lt;/D&gt;&lt;D xsi:type="xsd:double"&gt;36.48051&lt;/D&gt;&lt;D xsi:type="xsd:double"&gt;39.063583&lt;/D&gt;&lt;D xsi:type="xsd:double"&gt;29.026115&lt;/D&gt;&lt;D xsi:type="xsd:double"&gt;38.167416&lt;/D&gt;&lt;D xsi:type="xsd:double"&gt;32.26881&lt;/D&gt;&lt;D xsi:type="xsd:double"&gt;19.7201&lt;/D&gt;&lt;D xsi:type="xsd:double"&gt;8.236957&lt;/D&gt;&lt;D xsi:type="xsd:double"&gt;7.0726633&lt;/D&gt;&lt;D xsi:type="xsd:double"&gt;4.701495&lt;/D&gt;&lt;D xsi:type="xsd:double"&gt;-7.2291193&lt;/D&gt;&lt;D xsi:type="xsd:double"&gt;-14.725161&lt;/D&gt;&lt;D xsi:type="xsd:double"&gt;-17.220234&lt;/D&gt;&lt;D xsi:type="xsd:double"&gt;-10.658968&lt;/D&gt;&lt;D xsi:type="xsd:double"&gt;-18.6249&lt;/D&gt;&lt;D xsi:type="xsd:double"&gt;-25.777424&lt;/D&gt;&lt;D xsi:type="xsd:double"&gt;-26.958597&lt;/D&gt;&lt;D xsi:type="xsd:double"&gt;-27.922894&lt;/D&gt;&lt;D xsi:type="xsd:double"&gt;-27.69611&lt;/D&gt;&lt;D xsi:type="xsd:double"&gt;-15.771079&lt;/D&gt;&lt;D xsi:type="xsd:double"&gt;-12.2559185&lt;/D&gt;&lt;D xsi:type="xsd:double"&gt;-8.262187&lt;/D&gt;&lt;D xsi:type="xsd:double"&gt;8.933449&lt;/D&gt;&lt;D xsi:type="xsd:double"&gt;19.309593&lt;/D&gt;&lt;D xsi:type="xsd:double"&gt;24.92919&lt;/D&gt;&lt;D xsi:type="xsd:double"&gt;13.896942&lt;/D&gt;&lt;D xsi:type="xsd:double"&gt;24.864506&lt;/D&gt;&lt;D xsi:type="xsd:double"&gt;39.296375&lt;/D&gt;&lt;D xsi:type="xsd:double"&gt;34.736073&lt;/D&gt;&lt;D xsi:type="xsd:double"&gt;39.10166&lt;/D&gt;&lt;D xsi:type="xsd:double"&gt;50.758564&lt;/D&gt;&lt;D xsi:type="xsd:double"&gt;45.87022&lt;/D&gt;&lt;D xsi:type="xsd:double"&gt;48.42684&lt;/D&gt;&lt;D xsi:type="xsd:double"&gt;38.826538&lt;/D&gt;&lt;D xsi:type="xsd:double"&gt;36.864864&lt;/D&gt;&lt;D xsi:type="xsd:double"&gt;31.995487&lt;/D&gt;&lt;D xsi:type="xsd:double"&gt;38.231705&lt;/D&gt;&lt;D xsi:type="xsd:double"&gt;23.267544&lt;/D&gt;&lt;D xsi:type="xsd:double"&gt;23.95203&lt;/D&gt;&lt;D xsi:type="xsd:double"&gt;34.556747&lt;/D&gt;&lt;/FQL&gt;&lt;FQL&gt;&lt;Q&gt;QQQ^FMA_DIV_YLD(NTMA,-10AY,0,AM,"PORTAGG","MEANR")&lt;/Q&gt;&lt;R&gt;121&lt;/R&gt;&lt;C&gt;1&lt;/C&gt;&lt;D xsi:type="xsd:double"&gt;1.29897661037713&lt;/D&gt;&lt;D xsi:type="xsd:double"&gt;1.22366838138129&lt;/D&gt;&lt;D xsi:type="xsd:double"&gt;1.22623807986593&lt;/D&gt;&lt;D xsi:type="xsd:double"&gt;1.21236066567382&lt;/D&gt;&lt;D xsi:type="xsd:double"&gt;1.24803456590193&lt;/D&gt;&lt;D xsi:type="xsd:double"&gt;1.27183132099998&lt;/D&gt;&lt;D xsi:type="xsd:double"&gt;1.25309261202606&lt;/D&gt;&lt;D xsi:type="xsd:double"&gt;1.24649478998341&lt;/D&gt;&lt;D xsi:type="xsd:double"&gt;1.24725496558472&lt;/D&gt;&lt;D xsi:type="xsd:double"&gt;1.26815330981798&lt;/D&gt;&lt;D xsi:type="xsd:double"&gt;1.26882441009771&lt;/D&gt;&lt;D xsi:type="xsd:double"&gt;1.35772959145788&lt;/D&gt;&lt;D xsi:type="xsd:double"&gt;1.3388914690956&lt;/D&gt;&lt;D xsi:type="xsd:double"&gt;1.27576661099773&lt;/D&gt;&lt;D xsi:type="xsd:double"&gt;1.28096173572442&lt;/D&gt;&lt;D xsi:type="xsd:double"&gt;1.35726598599402&lt;/D&gt;&lt;D xsi:type="xsd:double"&gt;1.48366894263127&lt;/D&gt;&lt;D xsi:type="xsd:double"&gt;1.39105833653301&lt;/D&gt;&lt;D xsi:type="xsd:double"&gt;1.33783201423562&lt;/D&gt;&lt;D xsi:type="xsd:double"&gt;1.37458797037491&lt;/D&gt;&lt;D xsi:type="xsd:double"&gt;1.3621594770997&lt;/D&gt;&lt;D xsi:type="xsd:double"&gt;1.33413857509111&lt;/D&gt;&lt;D xsi:type="xsd:double"&gt;1.28134829597656&lt;/D&gt;&lt;D xsi:type="xsd:double"&gt;1.31642251813892&lt;/D&gt;&lt;D xsi:type="xsd:double"&gt;1.25672448131047&lt;/D&gt;&lt;D xsi:type="xsd:double"&gt;1.31061534444846&lt;/D&gt;&lt;D xsi:type="xsd:double"&gt;1.28681401466482&lt;/D&gt;&lt;D xsi:type="xsd:double"&gt;1.25955369690347&lt;/D&gt;&lt;D xsi:type="xsd:double"&gt;1.24020759724841&lt;/D&gt;&lt;D xsi:type="xsd:double"&gt;1.21495280909675&lt;/D&gt;&lt;D xsi:type="xsd:double"&gt;1.21386416120544&lt;/D&gt;&lt;D xsi:type="xsd:double"&gt;1.17366575974008&lt;/D&gt;&lt;D xsi:type="xsd:double"&gt;1.17124959059601&lt;/D&gt;&lt;D xsi:type="xsd:double"&gt;1.20700512561027&lt;/D&gt;&lt;D xsi:type="xsd:double"&gt;1.19740964383957&lt;/D&gt;&lt;D xsi:type="xsd:double"&gt;1.17483955877134&lt;/D&gt;&lt;D xsi:type="xsd:double"&gt;1.14767088770192&lt;/D&gt;&lt;D xsi:type="xsd:double"&gt;1.11365373427376&lt;/D&gt;&lt;D xsi:type="xsd:double"&gt;1.11532720407803&lt;/D&gt;&lt;D xsi:type="xsd:double"&gt;1.06017185155135&lt;/D&gt;&lt;D xsi:type="xsd:double"&gt;1.12646340323705&lt;/D&gt;&lt;D xsi:type="xsd:double"&gt;1.03102296146111&lt;/D&gt;&lt;D xsi:type="xsd:double"&gt;1.12064091178921&lt;/D&gt;&lt;D xsi:type="xsd:double"&gt;1.0814173316236&lt;/D&gt;&lt;D xsi:type="xsd:double"&gt;1.05790094265532&lt;/D&gt;&lt;D xsi:type="xsd:double"&gt;1.04319997506312&lt;/D&gt;&lt;D xsi:type="xsd:double"&gt;1.07776980813142&lt;/D&gt;&lt;D xsi:type="xsd:double"&gt;1.08325414081924&lt;/D&gt;&lt;D xsi:type="xsd:double"&gt;1.15284102560343&lt;/D&gt;&lt;D xsi:type="xsd:double"&gt;1.16992239306012&lt;/D&gt;&lt;D xsi:type="xsd:double"&gt;1.25022938341034&lt;/D&gt;&lt;D xsi:type="xsd:double"&gt;1.26493093914656&lt;/D&gt;&lt;D xsi:type="xsd:double"&gt;1.22173269993305&lt;/D&gt;&lt;D xsi:type="xsd:double"&gt;1.19387034799096&lt;/D&gt;&lt;D xsi:type="xsd:double"&gt;1.10667217226569&lt;/D&gt;&lt;D xsi:type="xsd:double"&gt;1.11979029855516&lt;/D&gt;&lt;D xsi:type="xsd:double"&gt;1.14275821385244&lt;/D&gt;&lt;D xsi:type="xsd:double"&gt;1.08340815620794&lt;/D&gt;&lt;D xsi:type="xsd:double"&gt;1.12608320729144&lt;/D&gt;&lt;D xsi:type="xsd:double"&gt;1.1021226205753&lt;/D&gt;&lt;D xsi:type="xsd:double"&gt;1.11922436167052&lt;/D&gt;&lt;D xsi:type="xsd:double"&gt;1.06422596897747&lt;/D&gt;&lt;D xsi:type="xsd:double"&gt;1.08020808385588&lt;/D&gt;&lt;D xsi:type="xsd:double"&gt;1.02233115765905&lt;/D&gt;&lt;D xsi:type="xsd:double"&gt;0.969676780934846&lt;/D&gt;&lt;D xsi:type="xsd:double"&gt;1.10816612742478&lt;/D&gt;&lt;D xsi:type="xsd:double"&gt;1.12674411862397&lt;/D&gt;&lt;D xsi:type="xsd:double"&gt;0.988679043930705&lt;/D&gt;&lt;D xsi:type="xsd:double"&gt;0.900017578116796&lt;/D&gt;&lt;D xsi:type="xsd:double"&gt;0.840603776384703&lt;/D&gt;&lt;D xsi:type="xsd:double"&gt;0.823945521786598&lt;/D&gt;&lt;D xsi:type="xsd:double"&gt;0.820143735149547&lt;/D&gt;&lt;D xsi:type="xsd:double"&gt;0.78390557005588&lt;/D&gt;&lt;D xsi:type="xsd:double"&gt;0.797293475947841&lt;/D&gt;&lt;D xsi:type="xsd:double"&gt;0.750196587585636&lt;/D&gt;&lt;D xsi:type="xsd:double"&gt;0.751119558033648&lt;/D&gt;&lt;D xsi:type="xsd:double"&gt;0.730183834992441&lt;/D&gt;&lt;D xsi:type="xsd:double"&gt;0.786317331539021&lt;/D&gt;&lt;D xsi:type="xsd:double"&gt;0.726699135667858&lt;/D&gt;&lt;D xsi:type="xsd:double"&gt;0.757241303483347&lt;/D&gt;&lt;D xsi:type="xsd:double"&gt;0.730726514783542&lt;/D&gt;&lt;D xsi:type="xsd:double"&gt;0.692488929625651&lt;/D&gt;&lt;D xsi:type="xsd:double"&gt;0.70223933482524&lt;/D&gt;&lt;D xsi:type="xsd:double"&gt;0.687638193721029&lt;/D&gt;&lt;D xsi:type="xsd:double"&gt;0.718435713681039&lt;/D&gt;&lt;D xsi:type="xsd:double"&gt;0.673999779893564&lt;/D&gt;&lt;D xsi:type="xsd:double"&gt;0.665819303542866&lt;/D&gt;&lt;D xsi:type="xsd:double"&gt;0.701629118000674&lt;/D&gt;&lt;D xsi:type="xsd:double"&gt;0.754602226634831&lt;/D&gt;&lt;D xsi:type="xsd:double"&gt;0.82729229866048&lt;/D&gt;&lt;D xsi:type="xsd:double"&gt;0.787046742194073&lt;/D&gt;&lt;D xsi:type="xsd:double"&gt;0.917504247574146&lt;/D&gt;&lt;D xsi:type="xsd:double"&gt;0.965087856425396&lt;/D&gt;&lt;D xsi:type="xsd:double"&gt;0.949874643631306&lt;/D&gt;&lt;D xsi:type="xsd:double"&gt;0.864890644552667&lt;/D&gt;&lt;D xsi:type="xsd:double"&gt;0.926391440784431&lt;/D&gt;&lt;D xsi:type="xsd:double"&gt;1.0768808235862&lt;/D&gt;&lt;D xsi:type="xsd:double"&gt;1.02180970290287&lt;/D&gt;&lt;D xsi:type="xsd:double"&gt;1.02385475162122&lt;/D&gt;&lt;D xsi:type="xsd:double"&gt;1.01633989359965&lt;/D&gt;&lt;D xsi:type="xsd:double"&gt;0.937086733766827&lt;/D&gt;&lt;D xsi:type="xsd:double"&gt;0.980801381965047&lt;/D&gt;&lt;D xsi:type="xsd:double"&gt;0.89314777881118&lt;/D&gt;&lt;D xsi:type="xsd:double"&gt;0.858842116564423&lt;/D&gt;&lt;D xsi:t</t>
        </r>
      </text>
    </comment>
    <comment ref="A8" authorId="0" shapeId="0" xr:uid="{D5952CA7-3021-4ECD-AA72-665BC7E45614}">
      <text>
        <r>
          <rPr>
            <b/>
            <sz val="9"/>
            <color indexed="81"/>
            <rFont val="Tahoma"/>
            <charset val="1"/>
          </rPr>
          <t>ype="xsd:double"&gt;0.795897268478469&lt;/D&gt;&lt;D xsi:type="xsd:double"&gt;0.771831642711692&lt;/D&gt;&lt;D xsi:type="xsd:double"&gt;0.892255359947336&lt;/D&gt;&lt;D xsi:type="xsd:double"&gt;0.887115397243058&lt;/D&gt;&lt;D xsi:type="xsd:double"&gt;0.921509819960739&lt;/D&gt;&lt;D xsi:type="xsd:double"&gt;0.904436821819121&lt;/D&gt;&lt;D xsi:type="xsd:double"&gt;0.886190241505206&lt;/D&gt;&lt;D xsi:type="xsd:double"&gt;0.917684361573455&lt;/D&gt;&lt;D xsi:type="xsd:double"&gt;0.880326777208827&lt;/D&gt;&lt;D xsi:type="xsd:double"&gt;0.887054134205284&lt;/D&gt;&lt;D xsi:type="xsd:double"&gt;0.898363272116911&lt;/D&gt;&lt;D xsi:type="xsd:double"&gt;0.912491973075561&lt;/D&gt;&lt;D xsi:type="xsd:double"&gt;0.872374808716635&lt;/D&gt;&lt;D xsi:type="xsd:double"&gt;0.804206734186383&lt;/D&gt;&lt;D xsi:type="xsd:double"&gt;0.881568331891127&lt;/D&gt;&lt;D xsi:type="xsd:double"&gt;0.86855006636682&lt;/D&gt;&lt;D xsi:type="xsd:double"&gt;0.8167341522645&lt;/D&gt;&lt;/FQL&gt;&lt;FQL&gt;&lt;Q&gt;EWN^FMA_PE(LTMA,-10AY,0,AM,"PORTAGG","MEANR")&lt;/Q&gt;&lt;R&gt;121&lt;/R&gt;&lt;C&gt;1&lt;/C&gt;&lt;D xsi:type="xsd:double"&gt;16.0456651431926&lt;/D&gt;&lt;D xsi:type="xsd:double"&gt;17.2393588249783&lt;/D&gt;&lt;D xsi:type="xsd:double"&gt;17.5260692426506&lt;/D&gt;&lt;D xsi:type="xsd:double"&gt;17.3169343985986&lt;/D&gt;&lt;D xsi:type="xsd:double"&gt;18.6415627926536&lt;/D&gt;&lt;D xsi:type="xsd:double"&gt;20.0689001227807&lt;/D&gt;&lt;D xsi:type="xsd:double"&gt;20.0273441554243&lt;/D&gt;&lt;D xsi:type="xsd:double"&gt;19.5978864355122&lt;/D&gt;&lt;D xsi:type="xsd:double"&gt;19.1655113019184&lt;/D&gt;&lt;D xsi:type="xsd:double"&gt;18.9438543334915&lt;/D&gt;&lt;D xsi:type="xsd:double"&gt;18.9504638728631&lt;/D&gt;&lt;D xsi:type="xsd:double"&gt;17.2485386317809&lt;/D&gt;&lt;D xsi:type="xsd:double"&gt;16.9663780479726&lt;/D&gt;&lt;D xsi:type="xsd:double"&gt;18.032020457143&lt;/D&gt;&lt;D xsi:type="xsd:double"&gt;17.156359877153&lt;/D&gt;&lt;D xsi:type="xsd:double"&gt;15.679078893842&lt;/D&gt;&lt;D xsi:type="xsd:double"&gt;14.9526258633836&lt;/D&gt;&lt;D xsi:type="xsd:double"&gt;16.353746166365&lt;/D&gt;&lt;D xsi:type="xsd:double"&gt;16.2752520365653&lt;/D&gt;&lt;D xsi:type="xsd:double"&gt;16.1993357630623&lt;/D&gt;&lt;D xsi:type="xsd:double"&gt;16.0153692848959&lt;/D&gt;&lt;D xsi:type="xsd:double"&gt;15.7503795083664&lt;/D&gt;&lt;D xsi:type="xsd:double"&gt;16.1348593844562&lt;/D&gt;&lt;D xsi:type="xsd:double"&gt;16.0420037505566&lt;/D&gt;&lt;D xsi:type="xsd:double"&gt;15.9455035121194&lt;/D&gt;&lt;D xsi:type="xsd:double"&gt;15.5741221798986&lt;/D&gt;&lt;D xsi:type="xsd:double"&gt;15.9210527944989&lt;/D&gt;&lt;D xsi:type="xsd:double"&gt;16.3611741980118&lt;/D&gt;&lt;D xsi:type="xsd:double"&gt;16.2040904439717&lt;/D&gt;&lt;D xsi:type="xsd:double"&gt;16.5042094847727&lt;/D&gt;&lt;D xsi:type="xsd:double"&gt;16.5283914901119&lt;/D&gt;&lt;D xsi:type="xsd:double"&gt;16.7595074488762&lt;/D&gt;&lt;D xsi:type="xsd:double"&gt;16.7603890824502&lt;/D&gt;&lt;D xsi:type="xsd:double"&gt;16.5539479542947&lt;/D&gt;&lt;D xsi:type="xsd:double"&gt;16.6547386300588&lt;/D&gt;&lt;D xsi:type="xsd:double"&gt;16.6293228876062&lt;/D&gt;&lt;D xsi:type="xsd:double"&gt;17.1538650108744&lt;/D&gt;&lt;D xsi:type="xsd:double"&gt;17.3375302328991&lt;/D&gt;&lt;D xsi:type="xsd:double"&gt;17.2449527384291&lt;/D&gt;&lt;D xsi:type="xsd:double"&gt;17.5515719914488&lt;/D&gt;&lt;D xsi:type="xsd:double"&gt;16.3813455423913&lt;/D&gt;&lt;D xsi:type="xsd:double"&gt;16.6808924860941&lt;/D&gt;&lt;D xsi:type="xsd:double"&gt;16.6024074231736&lt;/D&gt;&lt;D xsi:type="xsd:double"&gt;16.5789131963147&lt;/D&gt;&lt;D xsi:type="xsd:double"&gt;16.6498226664626&lt;/D&gt;&lt;D xsi:type="xsd:double"&gt;16.6265555465687&lt;/D&gt;&lt;D xsi:type="xsd:double"&gt;16.6306357218737&lt;/D&gt;&lt;D xsi:type="xsd:double"&gt;16.2951592263149&lt;/D&gt;&lt;D xsi:type="xsd:double"&gt;15.7162778047976&lt;/D&gt;&lt;D xsi:type="xsd:double"&gt;15.7089007227689&lt;/D&gt;&lt;D xsi:type="xsd:double"&gt;14.6232811006829&lt;/D&gt;&lt;D xsi:type="xsd:double"&gt;14.641800807678&lt;/D&gt;&lt;D xsi:type="xsd:double"&gt;15.4171253643713&lt;/D&gt;&lt;D xsi:type="xsd:double"&gt;16.0929839464726&lt;/D&gt;&lt;D xsi:type="xsd:double"&gt;16.2317889875452&lt;/D&gt;&lt;D xsi:type="xsd:double"&gt;16.1789465118486&lt;/D&gt;&lt;D xsi:type="xsd:double"&gt;16.2338894685554&lt;/D&gt;&lt;D xsi:type="xsd:double"&gt;16.4008697109093&lt;/D&gt;&lt;D xsi:type="xsd:double"&gt;16.1992289625717&lt;/D&gt;&lt;D xsi:type="xsd:double"&gt;16.8741864316647&lt;/D&gt;&lt;D xsi:type="xsd:double"&gt;16.9750923844681&lt;/D&gt;&lt;D xsi:type="xsd:double"&gt;17.8455861116162&lt;/D&gt;&lt;D xsi:type="xsd:double"&gt;18.2814301324308&lt;/D&gt;&lt;D xsi:type="xsd:double"&gt;18.7244527003207&lt;/D&gt;&lt;D xsi:type="xsd:double"&gt;19.6589932687401&lt;/D&gt;&lt;D xsi:type="xsd:double"&gt;17.0457980468986&lt;/D&gt;&lt;D xsi:type="xsd:double"&gt;17.2963780635682&lt;/D&gt;&lt;D xsi:type="xsd:double"&gt;17.9881101634764&lt;/D&gt;&lt;D xsi:type="xsd:double"&gt;19.22512214849&lt;/D&gt;&lt;D xsi:type="xsd:double"&gt;20.0651374562863&lt;/D&gt;&lt;D xsi:type="xsd:double"&gt;20.5891084641935&lt;/D&gt;&lt;D xsi:type="xsd:double"&gt;21.4666924276128&lt;/D&gt;&lt;D xsi:type="xsd:double"&gt;22.6340516466748&lt;/D&gt;&lt;D xsi:type="xsd:double"&gt;24.3459108725529&lt;/D&gt;&lt;D xsi:type="xsd:double"&gt;26.1802342740013&lt;/D&gt;&lt;D xsi:type="xsd:double"&gt;27.9165974287837&lt;/D&gt;&lt;D xsi:type="xsd:double"&gt;28.6858974634139&lt;/D&gt;&lt;D xsi:type="xsd:double"&gt;28.7907995036728&lt;/D&gt;&lt;D xsi:type="xsd:double"&gt;28.5639937360145&lt;/D&gt;&lt;D xsi:type="xsd:double"&gt;27.571399607591&lt;/D&gt;&lt;D xsi:type="xsd:double"&gt;26.9651047068585&lt;/D&gt;&lt;D xsi:type="xsd:double"&gt;26.364370449469&lt;/D&gt;&lt;D xsi:type="xsd:double"&gt;26.3616682285419&lt;/D&gt;&lt;D xsi:type="xsd:double"&gt;25.6665756104468&lt;/D&gt;&lt;D xsi:type="xsd:double"&gt;23.9698847894874&lt;/D&gt;&lt;D xsi:type="xsd:double"&gt;24.4228056653672&lt;/D&gt;&lt;D xsi:type="xsd:double"&gt;22.6955153336399&lt;/D&gt;&lt;D xsi:type="xsd:double"&gt;21.7052781279067&lt;/D&gt;&lt;D xsi:type="xsd:double"&gt;20.3326005798915&lt;/D&gt;&lt;D xsi:type="xsd:double"&gt;18.1515621304194&lt;/D&gt;&lt;D xsi:type="xsd:double"&gt;18.4442875259389&lt;/D&gt;&lt;D xsi:type="xsd:double"&gt;17.746306115016&lt;/D&gt;&lt;D xsi:type="xsd:double"&gt;18.2945889099334&lt;/D&gt;&lt;D xsi:type="xsd:double"&gt;18.2782894731762&lt;/D&gt;&lt;D xsi:type="xsd:double"&gt;19.6645871374359&lt;/D&gt;&lt;D xsi:type="xsd:double"&gt;18.7326434900248&lt;/D&gt;&lt;D xsi:type="xsd:double"&gt;17.0198088183221&lt;/D&gt;&lt;D xsi:type="xsd:double"&gt;18.262024722045&lt;/D&gt;&lt;D xsi:type="xsd:double"&gt;18.6015609825886&lt;/D&gt;&lt;D xsi:type="xsd:double"&gt;19.0522175639435&lt;/D&gt;&lt;D xsi:type="xsd:double"&gt;20.7077625373196&lt;/D&gt;&lt;D xsi:type="xsd:double"&gt;20.4921738468403&lt;/D&gt;&lt;D xsi:type="xsd:double"&gt;20.1744483864517&lt;/D&gt;&lt;D xsi:type="xsd:double"&gt;19.6826861526864&lt;/D&gt;&lt;D xsi:type="xsd:double"&gt;19.3305978661543&lt;/D&gt;&lt;D xsi:type="xsd:double"&gt;19.0035647064266&lt;/D&gt;&lt;D xsi:type="xsd:double"&gt;18.5242712965923&lt;/D&gt;&lt;D xsi:type="xsd:double"&gt;17.4369019843667&lt;/D&gt;&lt;D xsi:type="xsd:double"&gt;16.6558578573406&lt;/D&gt;&lt;D xsi:type="xsd:double"&gt;16.1277450085766&lt;/D&gt;&lt;D xsi:type="xsd:double"&gt;16.6234999261078&lt;/D&gt;&lt;D xsi:type="xsd:double"&gt;16.2777566068935&lt;/D&gt;&lt;D xsi:type="xsd:double"&gt;17.9718963683771&lt;/D&gt;&lt;D xsi:type="xsd:double"&gt;18.4980337955734&lt;/D&gt;&lt;D xsi:type="xsd:double"&gt;18.3908095632694&lt;/D&gt;&lt;D xsi:type="xsd:double"&gt;18.280058296497&lt;/D&gt;&lt;D xsi:type="xsd:double"&gt;18.5269343565263&lt;/D&gt;&lt;D xsi:type="xsd:double"&gt;18.5330336838309&lt;/D&gt;&lt;D xsi:type="xsd:double"&gt;17.3605635637173&lt;/D&gt;&lt;D xsi:type="xsd:double"&gt;17.179916594578&lt;/D&gt;&lt;D xsi:type="xsd:double"&gt;17.7860965902195&lt;/D&gt;&lt;/FQL&gt;&lt;FQL&gt;&lt;Q&gt;CPALM-FDS^MAX(FG_PRICE(0,-5AY))&lt;/Q&gt;&lt;R&gt;1&lt;/R&gt;&lt;C&gt;1&lt;/C&gt;&lt;D xsi:type="xsd:double"&gt;8163&lt;/D&gt;&lt;/FQL&gt;&lt;FQL&gt;&lt;Q&gt;COPP-FDS^FG_PRICE_CHANGE(0,-6AM)&lt;/Q&gt;&lt;R&gt;1&lt;/R&gt;&lt;C&gt;1&lt;/C&gt;&lt;D xsi:type="xsd:double"&gt;2.40541802895842&lt;/D&gt;&lt;/FQL&gt;&lt;FQL&gt;&lt;Q&gt;VGK^FG_TOTAL_RETURNC(0,-1AM)&lt;/Q&gt;&lt;R&gt;1&lt;/R&gt;&lt;C&gt;1&lt;/C&gt;&lt;D xsi:type="xsd:double"&gt;1.3719916&lt;/D&gt;&lt;/FQL&gt;&lt;FQL&gt;&lt;Q&gt;EWG^PERCENT_CHANGE(FMA_EPS(+1,0,,,,"PORTAGG","MEAN"),FMA_EPS(+1,-1AM,,,,"PORTAGG","MEAN"))&lt;/Q&gt;&lt;R&gt;1&lt;/R&gt;&lt;C&gt;1&lt;/C&gt;&lt;D xsi:type="xsd:double"&gt;-3.96766179973559&lt;/D&gt;&lt;/FQL&gt;&lt;FQL&gt;&lt;Q&gt;ENZL^P_PRICE(0)/P_PRICE_HIGH_PR(0,,,,,,"PRICE","INTRA","52W")&lt;/Q&gt;&lt;R&gt;1&lt;/R&gt;&lt;C&gt;1&lt;/C&gt;&lt;D xsi:type="xsd:double"&gt;0.96786356&lt;/D&gt;&lt;/FQL&gt;&lt;FQL&gt;&lt;Q&gt;VGK^SIZE(FG_CONSTITUENTS)&lt;/Q&gt;&lt;R&gt;1&lt;/R&gt;&lt;C&gt;1&lt;/C&gt;&lt;D xsi:type="xsd:long"&gt;1284&lt;/D&gt;&lt;/FQL&gt;&lt;FQL&gt;&lt;Q&gt;REFGBBANK-FDS^FG_YIELD(NOW,,,0)&lt;/Q&gt;&lt;R&gt;1&lt;/R&gt;&lt;C&gt;1&lt;/C&gt;&lt;D xsi:type="xsd:double"&gt;5&lt;/D&gt;&lt;/FQL&gt;&lt;FQL&gt;&lt;Q&gt;TRYIT10Y-FDS^PCTCHG(FG_YIELD(0,,,,"YTM"),FG_YIELD(-1AM,,,,"YTM"))&lt;/Q&gt;&lt;R&gt;1&lt;/R&gt;&lt;C&gt;1&lt;/C&gt;&lt;D xsi:type="xsd:double"&gt;0.5376359&lt;/D&gt;&lt;/FQL&gt;&lt;FQL&gt;&lt;Q&gt;TRYCH10Y-FDS^FG_YIELD(0,,,,"YTM")&lt;/Q&gt;&lt;R&gt;1&lt;/R&gt;&lt;C&gt;1&lt;/C&gt;&lt;D xsi:type="xsd:double"&gt;0.536&lt;/D&gt;&lt;/FQL&gt;&lt;FQL&gt;&lt;Q&gt;SPY^FMA_ROE(NTMA,-20AY,NOW,FY,"PORTAGG","MEANR")&lt;/Q&gt;&lt;R&gt;20&lt;/R&gt;&lt;C&gt;1&lt;/C&gt;&lt;D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xsi:type="xsd:double"&gt;18.2929292989718&lt;/D&gt;&lt;D xsi:type="xsd:double"&gt;17.2298191699104&lt;/D&gt;&lt;D xsi:type="xsd:double"&gt;20.6862842146994&lt;/D&gt;&lt;D xsi:type="xsd:double"&gt;20.5983105975852&lt;/D&gt;&lt;D xsi:type="xsd:double"&gt;20.344268503591&lt;/D&gt;&lt;/FQL&gt;&lt;FQL&gt;&lt;Q&gt;USDUSD^FG_PRICE_CHANGE(0,-1AM)&lt;/Q&gt;&lt;R&gt;1&lt;/R&gt;&lt;C&gt;1&lt;/C&gt;&lt;D xsi:type="xsd:double"&gt;0&lt;/D&gt;&lt;/FQL&gt;&lt;FQL&gt;&lt;Q&gt;USDNZD^FG_PRICE_CHANGE(0,-1AM)&lt;/Q&gt;&lt;R&gt;1&lt;/R&gt;&lt;C&gt;1&lt;/C&gt;&lt;D xsi:type="xsd:double"&gt;1.2013555&lt;/D&gt;&lt;/FQL&gt;&lt;FQL&gt;&lt;Q&gt;WL-FDS^FG_PRICE_MAVG(0,,,,30)&lt;/Q&gt;&lt;R&gt;1&lt;/R&gt;&lt;C&gt;1&lt;/C&gt;&lt;D xsi:type="xsd:double"&gt;560.11&lt;/D&gt;&lt;/FQL&gt;&lt;FQL&gt;&lt;Q&gt;EWN^FG_PRICE_MAVG(0,,,,30)&lt;/Q&gt;&lt;R&gt;1&lt;/R&gt;&lt;C&gt;1&lt;/C&gt;&lt;D xsi:type="xsd:double"&gt;49.66734&lt;/D&gt;&lt;/FQL&gt;&lt;FQL&gt;&lt;Q&gt;FXI^FG_TOTAL_RETURNC(0,-6AM)&lt;/Q&gt;&lt;R&gt;1&lt;/R&gt;&lt;C&gt;1&lt;/C&gt;&lt;D xsi:type="xsd:double"&gt;36.193&lt;/D&gt;&lt;/FQL&gt;&lt;FQL&gt;&lt;Q&gt;EWN^P_PRICE(0)/P_PRICE_HIGH_PR(0,,,,,,"PRICE","INTRA","52W")&lt;/Q&gt;&lt;R&gt;1&lt;/R&gt;&lt;C&gt;1&lt;/C&gt;&lt;D xsi:type="xsd:double"&gt;0.9392797&lt;/D&gt;&lt;/FQL&gt;&lt;FQL&gt;&lt;Q&gt;EWL^FG_TOTAL_RETURNC(0,-6AM)&lt;/Q&gt;&lt;R&gt;1&lt;/R&gt;&lt;C&gt;1&lt;/C&gt;&lt;D xsi:type="xsd:double"&gt;13.116741&lt;/D&gt;&lt;/FQL&gt;&lt;FQL&gt;&lt;Q&gt;CC_JP^IMF_IFS_RCPI_Q(0)&lt;/Q&gt;&lt;R&gt;0&lt;/R&gt;&lt;C&gt;0&lt;/C&gt;&lt;/FQL&gt;&lt;FQL&gt;&lt;Q&gt;EWQ^FMA_EVAL_EBITDA(NTMA,0,,,"PORTAGG","MEANR")&lt;/Q&gt;&lt;R&gt;1&lt;/R&gt;&lt;C&gt;1&lt;/C&gt;&lt;D xsi:type="xsd:double"&gt;9.2479198333334&lt;/D&gt;&lt;/FQL&gt;&lt;FQL&gt;&lt;Q&gt;DBA^P_PRICE(0)/P_PRICE_HIGH_PR(0,,,USD,,,"PRICE","INTRA","52W")&lt;/Q&gt;&lt;R&gt;1&lt;/R&gt;&lt;C&gt;1&lt;/C&gt;&lt;D xsi:type="xsd:double"&gt;0.9505535&lt;/D&gt;&lt;/FQL&gt;&lt;FQL&gt;&lt;Q&gt;TRYZA10Y-FDS^JULIAN(FG_YIELD(-10AY,0,CY,,"YTM").DATES)&lt;/Q&gt;&lt;R&gt;10&lt;/R&gt;&lt;C&gt;1&lt;/C&gt;&lt;D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xsi:type="xsd:long"&gt;45289&lt;/D&gt;&lt;/FQL&gt;&lt;FQL&gt;&lt;Q&gt;USDANG^FG_PRICE_CHANGE(0,-1AY)&lt;/Q&gt;&lt;R&gt;1&lt;/R&gt;&lt;C&gt;1&lt;/C&gt;&lt;D xsi:type="xsd:double"&gt;0&lt;/D&gt;&lt;/FQL&gt;&lt;FQL&gt;&lt;Q&gt;USDEUR^STD(FG_PRICE_CHANGE(0,-3AY,M))&lt;/Q&gt;&lt;R&gt;1&lt;/R&gt;&lt;C&gt;1&lt;/C&gt;&lt;D xsi:type="xsd:double"&gt;2.17172756290048&lt;/D&gt;&lt;/FQL&gt;&lt;FQL&gt;&lt;Q&gt;EWU^FMA_DIV_YLD(NTMA,-10AY,0,AM,"PORTAGG","MEANR")&lt;/Q&gt;&lt;R&gt;121&lt;/R&gt;&lt;C&gt;1&lt;/C&gt;&lt;D xsi:type="xsd:double"&gt;4.24200475035231&lt;/D&gt;&lt;D xsi:type="xsd:double"&gt;4.07147983248859&lt;/D&gt;&lt;D xsi:type="xsd:double"&gt;4.159228871541&lt;/D&gt;&lt;D xsi:type="xsd:double"&gt;4.22313167959041&lt;/D&gt;&lt;D xsi:type="xsd:double"&gt;4.01131564021935&lt;/D&gt;&lt;D xsi:type="xsd:double"&gt;4.04914124942475&lt;/D&gt;&lt;D xsi:type="xsd:double"&gt;3.89618276633237&lt;/D&gt;&lt;D xsi:type="xsd:double"&gt;3.86174263255781&lt;/D&gt;&lt;D xsi:type="xsd:double"&gt;3.98370147657785&lt;/D&gt;&lt;D xsi:type="xsd:double"&gt;4.1361340750538&lt;/D&gt;&lt;D xsi:type="xsd:double"&gt;4.05236755884572&lt;/D&gt;&lt;D xsi:type="xsd:double"&gt;4.45584698646085&lt;/D&gt;&lt;D xsi:type="xsd:double"&gt;4.21592468068719&lt;/D&gt;&lt;D xsi:type="xsd:double"&gt;4.29327102100837&lt;/D&gt;&lt;D xsi:type="xsd:double"&gt;4.37545159618937&lt;/D&gt;&lt;D xsi:type="xsd:double"&gt;4.56809558026564&lt;/D&gt;&lt;D xsi:type="xsd:double"&gt;4.72725493974712&lt;/D&gt;&lt;D xsi:type="xsd:double"&gt;4.45899209947492&lt;/D&gt;&lt;D xsi:type="xsd:double"&gt;4.36324498751506&lt;/D&gt;&lt;D xsi:type="xsd:double"&gt;4.35579812175895&lt;/D&gt;&lt;D xsi:type="xsd:double"&gt;4.38729510758901&lt;/D&gt;&lt;D xsi:type="xsd:double"&gt;4.24241830931427&lt;/D&gt;&lt;D xsi:type="xsd:double"&gt;4.07774007490573&lt;/D&gt;&lt;D xsi:type="xsd:double"&gt;4.16058799419207&lt;/D&gt;&lt;D xsi:type="xsd:double"&gt;4.17874907491409&lt;/D&gt;&lt;D xsi:type="xsd:double"&gt;4.39234313344354&lt;/D&gt;&lt;D xsi:type="xsd:double"&gt;4.32940806620778&lt;/D&gt;&lt;D xsi:type="xsd:double"&gt;4.23595776070842&lt;/D&gt;&lt;D xsi:type="xsd:double"&gt;4.2569869973864&lt;/D&gt;&lt;D xsi:type="xsd:double"&gt;4.3278016601037&lt;/D&gt;&lt;D xsi:type="xsd:double"&gt;4.34072374855664&lt;/D&gt;&lt;D xsi:type="xsd:double"&gt;4.2715239211092&lt;/D&gt;&lt;D xsi:type="xsd:double"&gt;4.25510615883469&lt;/D&gt;&lt;D xsi:type="xsd:double"&gt;4.33665016926443&lt;/D&gt;&lt;D xsi:type="xsd:double"&gt;4.31276231358863&lt;/D&gt;&lt;D xsi:type="xsd:double"&gt;4.3220849364429&lt;/D&gt;&lt;D xsi:type="xsd:double"&gt;4.24997917113504&lt;/D&gt;&lt;D xsi:type="xsd:double"&gt;4.34450700548192&lt;/D&gt;&lt;D xsi:type="xsd:double"&gt;4.36525188562309&lt;/D&gt;&lt;D xsi:type="xsd:double"&gt;4.1749112523377&lt;/D&gt;&lt;D xsi:type="xsd:double"&gt;4.52648762818742&lt;/D&gt;&lt;D xsi:type="xsd:double"&gt;4.46575346016303&lt;/D&gt;&lt;D xsi:type="xsd:double"&gt;4.42312565306326&lt;/D&gt;&lt;D xsi:type="xsd:double"&gt;4.28789536130481&lt;/D&gt;&lt;D xsi:type="xsd:double"&gt;4.34098741750988&lt;/D&gt;&lt;D xsi:type="xsd:double"&gt;4.37059045262182&lt;/D&gt;&lt;D xsi:type="xsd:double"&gt;4.45522852636632&lt;/D&gt;&lt;D xsi:type="xsd:double"&gt;4.65691175958218&lt;/D&gt;&lt;D xsi:type="xsd:double"&gt;4.71615620990949&lt;/D&gt;&lt;D xsi:type="xsd:double"&gt;4.82620639031375&lt;/D&gt;&lt;D xsi:type="xsd:double"&gt;5.22491534034977&lt;/D&gt;&lt;D xsi:type="xsd:double"&gt;5.16560205238544&lt;/D&gt;&lt;D xsi:type="xsd:double"&gt;5.0351069269838&lt;/D&gt;&lt;D xsi:type="xsd:double"&gt;5.02860546559306&lt;/D&gt;&lt;D xsi:type="xsd:double"&gt;4.82482645803744&lt;/D&gt;&lt;D xsi:type="xsd:double"&gt;4.98737567884278&lt;/D&gt;&lt;D xsi:type="xsd:double"&gt;4.80568988888853&lt;/D&gt;&lt;D xsi:type="xsd:double"&gt;4.78372767613542&lt;/D&gt;&lt;D xsi:type="xsd:double"&gt;5.07550436551132&lt;/D&gt;&lt;D xsi:type="xsd:double"&gt;4.99367654603621&lt;/D&gt;&lt;D xsi:type="xsd:double"&gt;5.038120975816&lt;/D&gt;&lt;D xsi:type="xsd:double"&gt;4.7982115115124&lt;/D&gt;&lt;D xsi:type="xsd:double"&gt;4.79378306655651&lt;/D&gt;&lt;D xsi:type="xsd:double"&gt;4.57563097979907&lt;/D&gt;&lt;D xsi:type="xsd:double"&gt;4.69435298184569&lt;/D&gt;&lt;D xsi:type="xsd:double"&gt;5.87072679988179&lt;/D&gt;&lt;D xsi:type="xsd:double"&gt;5.77015730723658&lt;/D&gt;&lt;D xsi:type="xsd:double"&gt;4.62309294229776&lt;/D&gt;&lt;D xsi:type="xsd:double"&gt;3.97425514393573&lt;/D&gt;&lt;D xsi:type="xsd:double"&gt;4.14735486496876&lt;/D&gt;&lt;D xsi:type="xsd:double"&gt;4.00621743324681&lt;/D&gt;&lt;D xsi:type="xsd:double"&gt;4.11086410614436&lt;/D&gt;&lt;D xsi:type="xsd:double"&gt;4.18285738166133&lt;/D&gt;&lt;D xsi:type="xsd:double"&gt;4.05065383579581&lt;/D&gt;&lt;D xsi:type="xsd:double"&gt;3.86218989415688&lt;/D&gt;&lt;D xsi:type="xsd:double"&gt;3.76272965461604&lt;/D&gt;&lt;D xsi:type="xsd:double"&gt;4.01954880843194&lt;/D&gt;&lt;D xsi:type="xsd:double"&gt;3.94980068581618&lt;/D&gt;&lt;D xsi:type="xsd:double"&gt;3.95501482384878&lt;/D&gt;&lt;D xsi:type="xsd:double"&gt;3.84117602870269&lt;/D&gt;&lt;D xsi:type="xsd:double"&gt;3.90808314896435&lt;/D&gt;&lt;D xsi:type="xsd:double"&gt;4.00761868165266&lt;/D&gt;&lt;D xsi:type="xsd:double"&gt;4.13854081142392&lt;/D&gt;&lt;D xsi:type="xsd:double"&gt;4.22587261858887&lt;/D&gt;&lt;D xsi:type="xsd:double"&gt;4.14433855023897&lt;/D&gt;&lt;D xsi:type="xsd:double"&gt;4.0115306305505&lt;/D&gt;&lt;D xsi:type="xsd:double"&gt;4.02187536273701&lt;/D&gt;&lt;D xsi:type="xsd:double"&gt;3.87929395461521&lt;/D&gt;&lt;D xsi:type="xsd:double"&gt;3.74763106516886&lt;/D&gt;&lt;D xsi:type="xsd:double"&gt;4.14429859210553&lt;/D&gt;&lt;D xsi:type="xsd:double"&gt;3.91396158283254&lt;/D&gt;&lt;D xsi:type="xsd:double"&gt;4.26895993463043&lt;/D&gt;&lt;D xsi:type="xsd:double"&gt;4.21958199394969&lt;/D&gt;&lt;D xsi:type="xsd:double"&gt;4.3020844354944&lt;/D&gt;&lt;D xsi:type="xsd:double"&gt;4.14568424972126&lt;/D&gt;&lt;D xsi:type="xsd:double"&gt;4.39745967313372&lt;/D&gt;&lt;D xsi:type="xsd:double"&gt;4.67409794807568&lt;/D&gt;&lt;D xsi:type="xsd:double"&gt;4.35462180183101&lt;/D&gt;&lt;D xsi:type="xsd:double"&gt;4.21983719331273&lt;/D&gt;&lt;D xsi:type="xsd:double"&gt;4.14524505589827&lt;/D&gt;&lt;D xsi:type="xsd:double"&gt;4.09582668076521&lt;/D&gt;&lt;D xsi:type="xsd:double"&gt;4.21533050911401&lt;/D&gt;&lt;D xsi:type="xsd:double"&gt;4.17134274959548&lt;/D&gt;&lt;D xsi:type="xsd:double"&gt;4.24863131524121&lt;/D&gt;&lt;D xsi:type="xsd:double"&gt;4.34248440551745&lt;/D&gt;&lt;D xsi:type="xsd:double"&gt;4.50723826893517&lt;/D&gt;&lt;D xsi:type="xsd:double"&gt;4.37005434305894&lt;/D&gt;&lt;D xsi:type="xsd:double"&gt;4.49560800777122&lt;/D&gt;&lt;D xsi:type="xsd:double"&gt;4.44108390348503&lt;/D&gt;&lt;D xsi:type="xsd:double"&gt;4.61686811429285&lt;/D&gt;&lt;D xsi:type="xsd:double"&gt;4.39817303099225&lt;/D&gt;&lt;D xsi:type="xsd:double"&gt;4.30198219214238&lt;/D&gt;&lt;D xsi:type="xsd:double"&gt;4.31565904364917&lt;/D&gt;&lt;D xsi:type="xsd:double"&gt;4.14450513341803&lt;/D&gt;&lt;D xsi:type="xsd:double"&gt;4.02199763214361&lt;/D&gt;&lt;D xsi:type="xsd:double"&gt;3.81852030072094&lt;/D&gt;&lt;D xsi:type="xsd:double"&gt;3.9233990115822&lt;/D&gt;&lt;D xsi:type="xsd:double"&gt;3.93447843707748&lt;/D&gt;&lt;D xsi:type="xsd:double"&gt;3.95805944550736&lt;/D&gt;&lt;D xsi:type="xsd:double"&gt;3.93899413338562&lt;/D&gt;&lt;D xsi:type="xsd:double"&gt;3.88809172188787&lt;/D&gt;&lt;/FQL&gt;&lt;FQL&gt;&lt;Q&gt;EWQ^FMA_PE(LTMA,-10AY,0,AM,"PORTAGG","MEANR")&lt;/Q&gt;&lt;R&gt;121&lt;/R&gt;&lt;C&gt;1&lt;/C&gt;&lt;D xsi:type="xsd:double"&gt;14.5261243865285&lt;/D&gt;&lt;D xsi:type="xsd:double"&gt;14.9274911253941&lt;/D&gt;&lt;D xsi:type="xsd:double"&gt;14.9891662355542&lt;/D&gt;&lt;D xsi:type="xsd:double"&gt;14.7245678776234&lt;/D&gt;&lt;D xsi:type="xsd:double"&gt;16.4713828124544&lt;/D&gt;&lt;D xsi:type="xsd:double"&gt;17.4792841226039&lt;/D&gt;&lt;D xsi:type="xsd:double"&gt;17.7251653235171&lt;/D&gt;&lt;D xsi:type="xsd:double"&gt;17.5264820946777&lt;/D&gt;&lt;D xsi:type="xsd:double"&gt;17.271593556404&lt;/D&gt;&lt;D xsi:type="xsd:double"&gt;17.0925287416513&lt;/D&gt;&lt;D xsi:type="xsd:double"&gt;17.307254383031&lt;/D&gt;&lt;D xsi:type="xsd:double"&gt;15.9675648532906&lt;/D&gt;&lt;D xsi:type="xsd:double"&gt;16.0780701715542&lt;/D&gt;&lt;D xsi:type="xsd:double"&gt;16.3909335150932&lt;/D&gt;&lt;D xsi:type="xsd:double"&gt;15.5650752746361&lt;/D&gt;&lt;D xsi:type="xsd:double"&gt;14.464777058505&lt;/D&gt;&lt;D xsi:type="xsd:double"&gt;14.2580445810801&lt;/D&gt;&lt;D xsi:type="xsd:double"&gt;15.1296309237894&lt;/D&gt;&lt;D xsi:type="xsd:double"&gt;15.0653239307366&lt;/D&gt;&lt;D xsi:type="xsd:double"&gt;15.0874741263005&lt;/D&gt;&lt;D xsi:type="xsd:double"&gt;14.9770349644531&lt;/D&gt;&lt;D xsi:type="xsd:double"&gt;14.6954175579069&lt;/D&gt;&lt;D xsi:type="xsd:double"&gt;15.0055924666958&lt;/D&gt;&lt;D xsi:type="xsd:double"&gt;15.0337553651864&lt;/D&gt;&lt;D xsi:type="xsd:double"&gt;14.9591353653568&lt;/D&gt;&lt;D xsi:type="xsd:double"&gt;14.8779574345367&lt;/D&gt;&lt;D xsi:type="xsd:double"&gt;15.4907924628096&lt;/D&gt;&lt;D xsi:type="xsd:double"&gt;15.8655658851675&lt;/D&gt;&lt;D xsi:type="xsd:double"&gt;15.447801357946&lt;/D&gt;&lt;D xsi:type="xsd:double"&gt;15.6137152627227&lt;/D&gt;&lt;D xsi:type="xsd:double"&gt;15.6458955797175&lt;/D&gt;&lt;D xsi:type="xsd:double"&gt;15.8648073964571&lt;/D&gt;&lt;D xsi:type="xsd:double"&gt;15.7555517255321&lt;/D&gt;&lt;D xsi:type="xsd:double"&gt;15.5911079908555&lt;/D&gt;&lt;D xsi:type="xsd:double"&gt;15.4930836098345&lt;/D&gt;&lt;D xsi:type="xsd:double"&gt;15.5319578332354&lt;/D&gt;&lt;D xsi:type="xsd:double"&gt;16.0575488126153&lt;/D&gt;&lt;D xsi:type="xsd:double"&gt;15.992135723025&lt;/D&gt;&lt;D xsi:type="xsd:double"&gt;16.2025184689695&lt;/D&gt;&lt;D xsi:type="xsd:double"&gt;16.4919966272737&lt;/D&gt;&lt;D xsi:type="xsd:double"&gt;15.3835866010904&lt;/D&gt;&lt;D xsi:type="xsd:double"&gt;15.5902164776156&lt;/D&gt;&lt;D xsi:type="xsd:double"&gt;15.5282511491088&lt;/D&gt;&lt;D xsi:type="xsd:double"&gt;15.6258859042955&lt;/D&gt;&lt;D xsi:type="xsd:double"&gt;15.3579321890648&lt;/D&gt;&lt;D xsi:type="xsd:double"&gt;15.300317312186&lt;/D&gt;&lt;D xsi:type="xsd:double"&gt;15.0933105345294&lt;/D&gt;&lt;D xsi:type="xsd:double"&gt;14.7620349483024&lt;/D&gt;&lt;D xsi:type="xsd:double"&gt;14.4409639318239&lt;/D&gt;&lt;D xsi:type="xsd:double"&gt;14.1703250775406&lt;/D&gt;&lt;D xsi:type="xsd:double"&gt;13.0920507749863&lt;/D&gt;&lt;D xsi:type="xsd:double"&gt;13.1902584279334&lt;/D&gt;&lt;D xsi:type="xsd:double"&gt;13.7060883241638&lt;/D&gt;&lt;D xsi:type="xsd:double"&gt;14.5387710563668&lt;/D&gt;&lt;D xsi:type="xsd:double"&gt;14.5952584391268&lt;/D&gt;&lt;D xsi:type="xsd:double"&gt;14.4692526783722&lt;/D&gt;&lt;D xsi:type="xsd:double"&gt;14.4989721226437&lt;/D&gt;&lt;D xsi:type="xsd:double"&gt;14.7245079979071&lt;/D&gt;&lt;D xsi:type="xsd:double"&gt;14.5334875112124&lt;/D&gt;&lt;D xsi:type="xsd:double"&gt;14.970443719027&lt;/D&gt;&lt;D xsi:type="xsd:double"&gt;15.0119797871969&lt;/D&gt;&lt;D xsi:type="xsd:double"&gt;15.9322164854472&lt;/D&gt;&lt;D xsi:type="xsd:double"&gt;16.0412050944027&lt;/D&gt;&lt;D xsi:type="xsd:double"&gt;16.636785137621&lt;/D&gt;&lt;D xsi:type="xsd:double"&gt;16.4560265146987&lt;/D&gt;&lt;D xsi:type="xsd:double"&gt;14.3356934754331&lt;/D&gt;&lt;D xsi:type="xsd:double"&gt;14.9613602887487&lt;/D&gt;&lt;D xsi:type="xsd:double"&gt;16.1595325225404&lt;/D&gt;&lt;D xsi:type="xsd:double"&gt;18.0023686815636&lt;/D&gt;&lt;D xsi:type="xsd:double"&gt;19.3073467690732&lt;/D&gt;&lt;D xsi:type="xsd:double"&gt;21.6619706260413&lt;/D&gt;&lt;D xsi:type="xsd:double"&gt;23.1220268150434&lt;/D&gt;&lt;D xsi:type="xsd:double"&gt;23.9538881525469&lt;/D&gt;&lt;D xsi:type="xsd:double"&gt;26.7754063022893&lt;/D&gt;&lt;D xsi:type="xsd:double"&gt;28.0455153151563&lt;/D&gt;&lt;D xsi:type="xsd:double"&gt;29.3587072238592&lt;/D&gt;&lt;D xsi:type="xsd:double"&gt;27.6145370408959&lt;/D&gt;&lt;D xsi:type="xsd:double"&gt;26.8668610318611&lt;/D&gt;&lt;D xsi:type="xsd:double"&gt;26.1105208067569&lt;/D&gt;&lt;D xsi:type="xsd:double"&gt;25.1682563319968&lt;/D&gt;&lt;D xsi:type="xsd:double"&gt;24.3745699620015&lt;/D&gt;&lt;D xsi:type="xsd:double"&gt;23.2889973460689&lt;/D&gt;&lt;D xsi:type="xsd:double"&gt;21.9995790690706&lt;/D&gt;&lt;D xsi:type="xsd:double"&gt;20.6916094948293&lt;/D&gt;&lt;D xsi:type="xsd:double"&gt;19.2800905517286&lt;/D&gt;&lt;D xsi:type="xsd:double"&gt;18.7193021778942&lt;/D&gt;&lt;D xsi:type="xsd:double"&gt;17.5094176617845&lt;/D&gt;&lt;D xsi:type="xsd:double"&gt;17.0107630144371&lt;/D&gt;&lt;D xsi:type="xsd:double"&gt;16.3966601732299&lt;/D&gt;&lt;D xsi:type="xsd:double"&gt;15.2510139964522&lt;/D&gt;&lt;D xsi:type="xsd:double"&gt;15.1084685661434&lt;/D&gt;&lt;D xsi:type="xsd:double"&gt;14.4108598903162&lt;/D&gt;&lt;D xsi:type="xsd:double"&gt;14.0425128583096&lt;/D&gt;&lt;D xsi:type="xsd:double"&gt;13.4449540070302&lt;/D&gt;&lt;D xsi:type="xsd:double"&gt;13.2670899110075&lt;/D&gt;&lt;D xsi:type="xsd:double"&gt;12.5202092680167&lt;/D&gt;&lt;D xsi:type="xsd:double"&gt;11.4385268126701&lt;/D&gt;&lt;D xsi:type="xsd:double"&gt;12.1493675465199&lt;/D&gt;&lt;D xsi:type="xsd:double"&gt;12.0529455452395&lt;/D&gt;&lt;D xsi:type="xsd:double"&gt;12.2216312276989&lt;/D&gt;&lt;D xsi:type="xsd:double"&gt;12.6108939270433&lt;/D&gt;&lt;D xsi:type="xsd:double"&gt;12.9104216247466&lt;/D&gt;&lt;D xsi:type="xsd:double"&gt;13.029473885903&lt;/D&gt;&lt;D xsi:type="xsd:double"&gt;13.1285215559449&lt;/D&gt;&lt;D xsi:type="xsd:double"&gt;13.0900082239653&lt;/D&gt;&lt;D xsi:type="xsd:double"&gt;13.0802418608297&lt;/D&gt;&lt;D xsi:type="xsd:double"&gt;13.4429188615529&lt;/D&gt;&lt;D xsi:type="xsd:double"&gt;13.1829646745048&lt;/D&gt;&lt;D xsi:type="xsd:double"&gt;13.0181369205798&lt;/D&gt;&lt;D xsi:type="xsd:double"&gt;12.8753542695564&lt;/D&gt;&lt;D xsi:type="xsd:double"&gt;13.8604980294369&lt;/D&gt;&lt;D xsi:type="xsd:double"&gt;13.869445532739&lt;/D&gt;&lt;D xsi:type="xsd:double"&gt;14.6913277732063&lt;/D&gt;&lt;D xsi:type="xsd:double"&gt;15.5038993333632&lt;/D&gt;&lt;D xsi:type="xsd:double"&gt;15.4340540880282&lt;/D&gt;&lt;D xsi:type="xsd:double"&gt;15.5339497477173&lt;/D&gt;&lt;D xsi:type="xsd:double"&gt;15.2551507040647&lt;/D&gt;&lt;D xsi:type="xsd:double"&gt;14.9384966979323&lt;/D&gt;&lt;D xsi:type="xsd:double"&gt;14.6754486020286&lt;/D&gt;&lt;D xsi:type="xsd:double"&gt;14.7499649251997&lt;/D&gt;&lt;D xsi:type="xsd:double"&gt;15.014570518903&lt;/D&gt;&lt;/FQL&gt;&lt;FQL&gt;&lt;Q&gt;COPP-FDS^FG_PRICE_CHANGE(0,-3AM)&lt;/Q&gt;&lt;R&gt;1&lt;/R&gt;&lt;C&gt;1&lt;/C&gt;&lt;D xsi:type="xsd:double"&gt;-4.8290830168204&lt;/D&gt;&lt;/FQL&gt;&lt;FQL&gt;&lt;Q&gt;ENZL^FG_TOTAL_RETURNC(0,-3AM)&lt;/Q&gt;&lt;R&gt;1&lt;/R&gt;&lt;C&gt;1&lt;/C&gt;&lt;D xsi:type="xsd:double"&gt;5.973065&lt;/D&gt;&lt;/FQL&gt;&lt;FQL&gt;&lt;Q&gt;REFGBBANK-FDS^PROPER_NAME(0,,,"SECURITY","NAME")&lt;/Q&gt;&lt;R&gt;1&lt;/R&gt;&lt;C&gt;1&lt;/C&gt;&lt;D xsi:type="xsd:string"&gt;UK Bank Rate&lt;/D&gt;&lt;/FQL&gt;&lt;FQL&gt;&lt;Q&gt;TRYCH10Y-FDS^FG_YIELD_NAME&lt;/Q&gt;&lt;R&gt;1&lt;/R&gt;&lt;C&gt;1&lt;/C&gt;&lt;D xsi:type="xsd:string"&gt;Treasury - Switzerland Benchmark Bond 10Y&lt;/D&gt;&lt;/FQL&gt;&lt;FQL&gt;&lt;Q&gt;EWI^FG_FCF_YIELD_NTM(0)&lt;/Q&gt;&lt;R&gt;1&lt;/R&gt;&lt;C&gt;1&lt;/C&gt;&lt;D xsi:type="xsd:double"&gt;5.05471584666669&lt;/D&gt;&lt;/FQL&gt;&lt;FQL&gt;&lt;Q&gt;EWA^FMA_PE(LTM,0,,,"PORTAGG","MEANR")&lt;/Q&gt;&lt;R&gt;1&lt;/R&gt;&lt;C&gt;1&lt;/C&gt;&lt;D xsi:type="xsd:double"&gt;19.2700842052309&lt;/D&gt;&lt;/FQL&gt;&lt;FQL&gt;&lt;Q&gt;USDUSD^FG_COMPANY_NAME&lt;/Q&gt;&lt;R&gt;1&lt;/R&gt;&lt;C&gt;1&lt;/C&gt;&lt;D xsi:type="xsd:string"&gt;U.S. Dollar per U.S. Dollar&lt;/D&gt;&lt;/FQL&gt;&lt;FQL&gt;&lt;Q&gt;USDNZD^FG_PRICE_CHANGE(0,-1AY)&lt;/Q&gt;&lt;R&gt;1&lt;/R&gt;&lt;C&gt;1&lt;/C&gt;&lt;D xsi:type="xsd:double"&gt;-0.82283616&lt;/D&gt;&lt;/FQL&gt;&lt;FQL&gt;&lt;Q&gt;EWC^P_PRICE_RETURNS_PR('52W',2,-10AY,0,AM)&lt;/Q&gt;&lt;R&gt;121&lt;/R&gt;&lt;C&gt;1&lt;/C&gt;&lt;D xsi:type="xsd:double"&gt;4.855728&lt;/D&gt;&lt;D xsi:type="xsd:double"&gt;3.7947297&lt;/D&gt;&lt;D xsi:type="xsd:double"&gt;-1.2399316&lt;/D&gt;&lt;D xsi:type="xsd:double"&gt;-1.0877728&lt;/D&gt;&lt;D xsi:type="xsd:double"&gt;-0.5689621&lt;/D&gt;&lt;D xsi:type="xsd:double"&gt;-7.218462&lt;/D&gt;&lt;D xsi:type="xsd:double"&gt;-3.016603&lt;/D&gt;&lt;D xsi:type="xsd:double"&gt;-3.4409642&lt;/D&gt;&lt;D xsi:type="xsd:double"&gt;-8.306855&lt;/D&gt;&lt;D xsi:type="xsd:double"&gt;-17.612808&lt;/D&gt;&lt;D xsi:type="xsd:double"&gt;-17.003983&lt;/D&gt;&lt;D xsi:type="xsd:double"&gt;-25.457466&lt;/D&gt;&lt;D xsi:type="xsd:double"&gt;-14.33844&lt;/D&gt;&lt;D xsi:type="xsd:double"&gt;-20.053577&lt;/D&gt;&lt;D xsi:type="xsd:double"&gt;-19.149702&lt;/D&gt;&lt;D xsi:type="xsd:double"&gt;-26.546795&lt;/D&gt;&lt;D xsi:type="xsd:double"&gt;-26.023657&lt;/D&gt;&lt;D xsi:type="xsd:double"&gt;-11.958903&lt;/D&gt;&lt;D xsi:type="xsd:double"&gt;-14.276671&lt;/D&gt;&lt;D xsi:type="xsd:double"&gt;-14.419794&lt;/D&gt;&lt;D xsi:type="xsd:double"&gt;-8.393568&lt;/D&gt;&lt;D xsi:type="xsd:double"&gt;-2.807051&lt;/D&gt;&lt;D xsi:type="xsd:double"&gt;1.5663028&lt;/D&gt;&lt;D xsi:type="xsd:double"&gt;9.925008&lt;/D&gt;&lt;D xsi:type="xsd:double"&gt;4.171872&lt;/D&gt;&lt;D xsi:type="xsd:double"&gt;10.837257&lt;/D&gt;&lt;D xsi:type="xsd:double"&gt;24.650024&lt;/D&gt;&lt;D xsi:type="xsd:double"&gt;35.768806&lt;/D&gt;&lt;D xsi:type="xsd:double"&gt;40.505028&lt;/D&gt;&lt;D xsi:type="xsd:double"&gt;17.835342&lt;/D&gt;&lt;D xsi:type="xsd:double"&gt;17.396296&lt;/D&gt;&lt;D xsi:type="xsd:double"&gt;10.746622&lt;/D&gt;&lt;D xsi:type="xsd:double"&gt;5.9164166&lt;/D&gt;&lt;D xsi:type="xsd:double"&gt;11.172295&lt;/D&gt;&lt;D xsi:type="xsd:double"&gt;8.373666&lt;/D&gt;&lt;D xsi:type="xsd:double"&gt;10.67692&lt;/D&gt;&lt;D xsi:type="xsd:double"&gt;16.660141&lt;/D&gt;&lt;D xsi:type="xsd:double"&gt;18.012608&lt;/D&gt;&lt;D xsi:type="xsd:double"&gt;10.476136&lt;/D&gt;&lt;D xsi:type="xsd:double"&gt;14.030849&lt;/D&gt;&lt;D xsi:type="xsd:double"&gt;2.7895808&lt;/D&gt;&lt;D xsi:type="xsd:double"&gt;7.9732656&lt;/D&gt;&lt;D xsi:type="xsd:double"&gt;5.3943157&lt;/D&gt;&lt;D xsi:type="xsd:double"&gt;12.45544&lt;/D&gt;&lt;D xsi:type="xsd:double"&gt;12.793577&lt;/D&gt;&lt;D xsi:type="xsd:double"&gt;10.509718&lt;/D&gt;&lt;D xsi:type="xsd:double"&gt;8.134068&lt;/D&gt;&lt;D xsi:type="xsd:double"&gt;1.5433908&lt;/D&gt;&lt;D xsi:type="xsd:double"&gt;-3.5611928&lt;/D&gt;&lt;D xsi:type="xsd:double"&gt;-7.0441065&lt;/D&gt;&lt;D xsi:type="xsd:double"&gt;-10.526854&lt;/D&gt;&lt;D xsi:type="xsd:double"&gt;-11.555547&lt;/D&gt;&lt;D xsi:type="xsd:double"&gt;0.72500706&lt;/D&gt;&lt;D xsi:type="xsd:double"&gt;0.92998743&lt;/D&gt;&lt;D xsi:type="xsd:double"&gt;3.7273645&lt;/D&gt;&lt;D xsi:type="xsd:double"&gt;-1.2591004&lt;/D&gt;&lt;D xsi:type="xsd:double"&gt;-0.5169809&lt;/D&gt;&lt;D xsi:type="xsd:double"&gt;2.069676&lt;/D&gt;&lt;D xsi:type="xsd:double"&gt;-0.7489443&lt;/D&gt;&lt;D xsi:type="xsd:double"&gt;4.895973&lt;/D&gt;&lt;D xsi:type="xsd:double"&gt;5.6201696&lt;/D&gt;&lt;D xsi:type="xsd:double"&gt;11.904562&lt;/D&gt;&lt;D xsi:type="xsd:double"&gt;18.425774&lt;/D&gt;&lt;D xsi:type="xsd:double"&gt;19.079935&lt;/D&gt;&lt;D xsi:type="xsd:double"&gt;14.70077&lt;/D&gt;&lt;D xsi:type="xsd:double"&gt;-8.299356&lt;/D&gt;&lt;D xsi:type="xsd:double"&gt;-16.062647&lt;/D&gt;&lt;D xsi:type="xsd:double"&gt;-10.530925&lt;/D&gt;&lt;D xsi:type="xsd:double"&gt;-2.8934658&lt;/D&gt;&lt;D xsi:type="xsd:double"&gt;-7.5025854&lt;/D&gt;&lt;D xsi:type="xsd:double"&gt;2.2458434&lt;/D&gt;&lt;D xsi:type="xsd:double"&gt;-1.0617256&lt;/D&gt;&lt;D xsi:type="xsd:double"&gt;4.028034&lt;/D&gt;&lt;D xsi:type="xsd:double"&gt;0.47869682&lt;/D&gt;&lt;D xsi:type="xsd:double"&gt;9.680796&lt;/D&gt;&lt;D xsi:type="xsd:double"&gt;9.536755&lt;/D&gt;&lt;D xsi:type="xsd:double"&gt;10.829902&lt;/D&gt;&lt;D xsi:type="xsd:double"&gt;40.841354&lt;/D&gt;&lt;D xsi:type="xsd:double"&gt;54.99711&lt;/D&gt;&lt;D xsi:type="xsd:double"&gt;53.281128&lt;/D&gt;&lt;D xsi:type="xsd:double"&gt;45.5127&lt;/D&gt;&lt;D xsi:type="xsd:double"&gt;46.55806&lt;/D&gt;&lt;D xsi:type="xsd:double"&gt;36.195038&lt;/D&gt;&lt;D xsi:type="xsd:double"&gt;36.46822&lt;/D&gt;&lt;D xsi:type="xsd:double"&gt;34.98585&lt;/D&gt;&lt;D xsi:type="xsd:double"&gt;39.073837&lt;/D&gt;&lt;D xsi:type="xsd:double"&gt;22.643148&lt;/D&gt;&lt;D xsi:type="xsd:double"&gt;21.152473&lt;/D&gt;&lt;D xsi:type="xsd:double"&gt;21.08196&lt;/D&gt;&lt;D xsi:type="xsd:double"&gt;16.960918&lt;/D&gt;&lt;D xsi:type="xsd:double"&gt;16.290188&lt;/D&gt;&lt;D xsi:type="xsd:double"&gt;-2.650553&lt;/D&gt;&lt;D xsi:type="xsd:double"&gt;-2.3698807&lt;/D&gt;&lt;D xsi:type="xsd:double"&gt;-6.10224&lt;/D&gt;&lt;D xsi:type="xsd:double"&gt;-3.185916&lt;/D&gt;&lt;D xsi:type="xsd:double"&gt;-5.0531683&lt;/D&gt;&lt;D xsi:type="xsd:double"&gt;-16.487753&lt;/D&gt;&lt;D xsi:type="xsd:double"&gt;-10.331905&lt;/D&gt;&lt;D xsi:type="xsd:double"&gt;-9.262556&lt;/D&gt;&lt;D xsi:type="xsd:double"&gt;-9.24775&lt;/D&gt;&lt;D xsi:type="xsd:double"&gt;-6.794584&lt;/D&gt;&lt;D xsi:type="xsd:double"&gt;-13.22946&lt;/D&gt;&lt;D xsi:type="xsd:double"&gt;-11.418444&lt;/D&gt;&lt;D xsi:type="xsd:double"&gt;2.7948499&lt;/D&gt;&lt;D xsi:type="xsd:double"&gt;-5.598557&lt;/D&gt;&lt;D xsi:type="xsd:double"&gt;4.0944934&lt;/D&gt;&lt;D xsi:type="xsd:double"&gt;0.15915632&lt;/D&gt;&lt;D xsi:type="xsd:double"&gt;2.3947597&lt;/D&gt;&lt;D xsi:type="xsd:double"&gt;10.953569&lt;/D&gt;&lt;D xsi:type="xsd:double"&gt;-1.6509354&lt;/D&gt;&lt;D xsi:type="xsd:double"&gt;5.401218&lt;/D&gt;&lt;D xsi:type="xsd:double"&gt;10.063446&lt;/D&gt;&lt;D xsi:type="xsd:double"&gt;6.067121&lt;/D&gt;&lt;D xsi:type="xsd:double"&gt;13.561476&lt;/D&gt;&lt;D xsi:type="xsd:double"&gt;12.430037&lt;/D&gt;&lt;D xsi:type="xsd:double"&gt;10.58414&lt;/D&gt;&lt;D xsi:type="xsd:double"&gt;11.558223&lt;/D&gt;&lt;D xsi:type="xsd:double"&gt;13.784254&lt;/D&gt;&lt;D xsi:type="xsd:double"&gt;11.19939&lt;/D&gt;&lt;D xsi:type="xsd:double"&gt;18.98986&lt;/D&gt;&lt;D xsi:type="xsd:double"&gt;26.792622&lt;/D&gt;&lt;/FQL&gt;&lt;FQL&gt;&lt;Q&gt;USDJPY^FG_PRICE(0)&lt;/Q&gt;&lt;R&gt;1&lt;/R&gt;&lt;C&gt;1&lt;/C&gt;&lt;D xsi:type="xsd:double"&gt;148.725&lt;/D&gt;&lt;/FQL&gt;&lt;FQL&gt;&lt;Q&gt;SPY^FMA_EPS(NTMA,-20AY,0,CY,,"PORTAGG","MEANR")&lt;/Q&gt;&lt;R&gt;20&lt;/R&gt;&lt;C&gt;1&lt;/C&gt;&lt;D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xsi:type="xsd:double"&gt;17.7294355767522&lt;/D&gt;&lt;D xsi:type="xsd:double"&gt;16.6617704734143&lt;/D&gt;&lt;D xsi:type="xsd:double"&gt;22.276701045882&lt;/D&gt;&lt;D xsi:type="xsd:double"&gt;22.9687105537545&lt;/D&gt;&lt;D xsi:type="xsd:double"&gt;24.3452681588177&lt;/D&gt;&lt;/FQL&gt;&lt;FQL&gt;&lt;Q&gt;EWA^FG_TOTAL_RETURNC(-10AY,0,AM)&lt;/Q&gt;&lt;R&gt;121&lt;/R&gt;&lt;C&gt;1&lt;/C&gt;&lt;D xsi:type="xsd:double"&gt;-12.922615&lt;/D&gt;&lt;D xsi:type="xsd:double"&gt;7.765317&lt;/D&gt;&lt;D xsi:type="xsd:double"&gt;-9.527617&lt;/D&gt;&lt;D xsi:type="xsd:double"&gt;2.792585&lt;/D&gt;&lt;D xsi:type="xsd:double"&gt;1.9999981&lt;/D&gt;&lt;D xsi:type="xsd:double"&gt;-1.8736422&lt;/D&gt;&lt;D xsi:type="xsd:double"&gt;4.573703&lt;/D&gt;&lt;D xsi:type="xsd:double"&gt;-2.5902271&lt;/D&gt;&lt;D xsi:type="xsd:double"&gt;-4.228425&lt;/D&gt;&lt;D xsi:type="xsd:double"&gt;-3.4972906&lt;/D&gt;&lt;D xsi:type="xsd:double"&gt;-0.24155378&lt;/D&gt;&lt;D xsi:type="xsd:double"&gt;-11.0895815&lt;/D&gt;&lt;D xsi:type="xsd:double"&gt;6.971669&lt;/D&gt;&lt;D xsi:type="xsd:double"&gt;-7.637477&lt;/D&gt;&lt;D xsi:type="xsd:double"&gt;2.5909662&lt;/D&gt;&lt;D xsi:type="xsd:double"&gt;-6.763071&lt;/D&gt;&lt;D xsi:type="xsd:double"&gt;-0.59241056&lt;/D&gt;&lt;D xsi:type="xsd:double"&gt;14.839088&lt;/D&gt;&lt;D xsi:type="xsd:double"&gt;-3.4810662&lt;/D&gt;&lt;D xsi:type="xsd:double"&gt;6.4561963&lt;/D&gt;&lt;D xsi:type="xsd:double"&gt;-1.8686831&lt;/D&gt;&lt;D xsi:type="xsd:double"&gt;2.8793454&lt;/D&gt;&lt;D xsi:type="xsd:double"&gt;6.7478538&lt;/D&gt;&lt;D xsi:type="xsd:double"&gt;-6.0361204&lt;/D&gt;&lt;D xsi:type="xsd:double"&gt;6.1709642&lt;/D&gt;&lt;D xsi:type="xsd:double"&gt;-2.3820877&lt;/D&gt;&lt;D xsi:type="xsd:double"&gt;3.2210827&lt;/D&gt;&lt;D xsi:type="xsd:double"&gt;2.965176&lt;/D&gt;&lt;D xsi:type="xsd:double"&gt;3.0174494&lt;/D&gt;&lt;D xsi:type="xsd:double"&gt;0.9153247&lt;/D&gt;&lt;D xsi:type="xsd:double"&gt;1.5419483&lt;/D&gt;&lt;D xsi:type="xsd:double"&gt;-2.2778034&lt;/D&gt;&lt;D xsi:type="xsd:double"&gt;-1.4168143&lt;/D&gt;&lt;D xsi:type="xsd:double"&gt;2.009213&lt;/D&gt;&lt;D xsi:type="xsd:double"&gt;3.0190468&lt;/D&gt;&lt;D xsi:type="xsd:double"&gt;2.8403878&lt;/D&gt;&lt;D xsi:type="xsd:double"&gt;-1.7536163&lt;/D&gt;&lt;D xsi:type="xsd:double"&gt;3.3913493&lt;/D&gt;&lt;D xsi:type="xsd:double"&gt;-2.201122&lt;/D&gt;&lt;D xsi:type="xsd:double"&gt;5.8083653&lt;/D&gt;&lt;D xsi:type="xsd:double"&gt;-5.4700794&lt;/D&gt;&lt;D xsi:type="xsd:double"&gt;5.3797364&lt;/D&gt;&lt;D xsi:type="xsd:double"&gt;-3.6465049&lt;/D&gt;&lt;D xsi:type="xsd:double"&gt;1.8699884&lt;/D&gt;&lt;D xsi:type="xsd:double"&gt;0.043702126&lt;/D&gt;&lt;D xsi:type="xsd:double"&gt;2.6240706&lt;/D&gt;&lt;D xsi:type="xsd:double"&gt;-2.4305642&lt;/D&gt;&lt;D xsi:type="xsd:double"&gt;-3.8700998&lt;/D&gt;&lt;D xsi:type="xsd:double"&gt;-3.7019968&lt;/D&gt;&lt;D xsi:type="xsd:double"&gt;1.8741012&lt;/D&gt;&lt;D xsi:type="xsd:double"&gt;-5.4716945&lt;/D&gt;&lt;D xsi:type="xsd:double"&gt;4.740429&lt;/D&gt;&lt;D xsi:type="xsd:double"&gt;2.8203964&lt;/D&gt;&lt;D xsi:type="xsd:double"&gt;2.3099065&lt;/D&gt;&lt;D xsi:type="xsd:double"&gt;2.1166444&lt;/D&gt;&lt;D xsi:type="xsd:double"&gt;0&lt;/D&gt;&lt;D xsi:type="xsd:double"&gt;2.9479623&lt;/D&gt;&lt;D xsi:type="xsd:double"&gt;2.7276754&lt;/D&gt;&lt;D xsi:type="xsd:double"&gt;-4.4888916&lt;/D&gt;&lt;D xsi:type="xsd:double"&gt;3.769195&lt;/D&gt;&lt;D xsi:type="xsd:double"&gt;-1.8834114&lt;/D&gt;&lt;D xsi:type="xsd:double"&gt;4.0676475&lt;/D&gt;&lt;D xsi:type="xsd:double"&gt;-1.2736082&lt;/D&gt;&lt;D xsi:type="xsd:double"&gt;3.6780477&lt;/D&gt;&lt;D xsi:type="xsd:double"&gt;-0.7877469&lt;/D&gt;&lt;D xsi:type="xsd:double"&gt;-16.453463&lt;/D&gt;&lt;D xsi:type="xsd:double"&gt;-12.196416&lt;/D&gt;&lt;D xsi:type="xsd:double"&gt;1.7438412&lt;/D&gt;&lt;D xsi:type="xsd:double"&gt;20.035458&lt;/D&gt;&lt;D xsi:type="xsd:double"&gt;-1.9152582&lt;/D&gt;&lt;D xsi:type="xsd:double"&gt;4.992366&lt;/D&gt;&lt;D xsi:type="xsd:double"&gt;-3.202331&lt;/D&gt;&lt;D xsi:type="xsd:double"&gt;4.3609023&lt;/D&gt;&lt;D xsi:type="xsd:double"&gt;5.811727&lt;/D&gt;&lt;D xsi:type="xsd:double"&gt;8.306849&lt;/D&gt;&lt;D xsi:type="xsd:double"&gt;4.948485&lt;/D&gt;&lt;D xsi:type="xsd:double"&gt;0.36246777&lt;/D&gt;&lt;D xsi:type="xsd:double"&gt;0.32103062&lt;/D&gt;&lt;D xsi:type="xsd:double"&gt;2.0799994&lt;/D&gt;&lt;D xsi:type="xsd:double"&gt;5.1332235&lt;/D&gt;&lt;D xsi:type="xsd:double"&gt;2.074027&lt;/D&gt;&lt;D xsi:type="xsd:double"&gt;-3.295076&lt;/D&gt;&lt;D xsi:type="xsd:double"&gt;0.99539757&lt;/D&gt;&lt;D xsi:type="xsd:double"&gt;-2.1986365&lt;/D&gt;&lt;D xsi:type="xsd:double"&gt;-1.279068&lt;/D&gt;&lt;D xsi:type="xsd:double"&gt;1.9238353&lt;/D&gt;&lt;D xsi:type="xsd:double"&gt;-2.7734935&lt;/D&gt;&lt;D xsi:type="xsd:double"&gt;0.31832457&lt;/D&gt;&lt;D xsi:type="xsd:double"&gt;-2.169466&lt;/D&gt;&lt;D xsi:type="xsd:double"&gt;3.0962348&lt;/D&gt;&lt;D xsi:type="xsd:double"&gt;7.711041&lt;/D&gt;&lt;D xsi:type="xsd:double"&gt;-12.170315&lt;/D&gt;&lt;D xsi:type="xsd:double"&gt;-0.88790655&lt;/D&gt;&lt;D xsi:type="xsd:double"&gt;-4.73637&lt;/D&gt;&lt;D xsi:type="xsd:double"&gt;7.9737425&lt;/D&gt;&lt;D xsi:type="xsd:double"&gt;-2.9105127&lt;/D&gt;&lt;D xsi:type="xsd:double"&gt;-10.961973&lt;/D&gt;&lt;D xsi:type="xsd:double"&gt;12.211061&lt;/D&gt;&lt;D xsi:type="xsd:double"&gt;3.7617564&lt;/D&gt;&lt;D xsi:type="xsd:double"&gt;1.2906313&lt;/D&gt;&lt;D xsi:type="xsd:double"&gt;4.9045086&lt;/D&gt;&lt;D xsi:type="xsd:double"&gt;-7.9437313&lt;/D&gt;&lt;D xsi:type="xsd:double"&gt;3.5955071&lt;/D&gt;&lt;D xsi:type="xsd:double"&gt;0.8242965&lt;/D&gt;&lt;D xsi:type="xsd:double"&gt;-1.9679666&lt;/D&gt;&lt;D xsi:type="xsd:double"&gt;-1.6547441&lt;/D&gt;&lt;D xsi:type="xsd:double"&gt;2.0463824&lt;/D&gt;&lt;D xsi:type="xsd:double"&gt;-3.2976806&lt;/D&gt;&lt;D xsi:type="xsd:double"&gt;0.13824701&lt;/D&gt;&lt;D xsi:type="xsd:double"&gt;-1.6106784&lt;/D&gt;&lt;D xsi:type="xsd:double"&gt;6.7352653&lt;/D&gt;&lt;D xsi:type="xsd:double"&gt;5.9066057&lt;/D&gt;&lt;D xsi:type="xsd:double"&gt;-0.12668967&lt;/D&gt;&lt;D xsi:type="xsd:double"&gt;4.735732&lt;/D&gt;&lt;D xsi:type="xsd:double"&gt;-1.9378245&lt;/D&gt;&lt;D xsi:type="xsd:double"&gt;0.7822037&lt;/D&gt;&lt;D xsi:type="xsd:double"&gt;1.1846423&lt;/D&gt;&lt;D xsi:type="xsd:double"&gt;3.471446&lt;/D&gt;&lt;D xsi:type="xsd:double"&gt;-3.3810616&lt;/D&gt;&lt;D xsi:type="xsd:double"&gt;4.7756314&lt;/D&gt;&lt;D xsi:type="xsd:double"&gt;3.4184575&lt;/D&gt;&lt;/FQL&gt;&lt;FQL&gt;&lt;Q&gt;EWD^FMA_PE(LTMA,-10AY,0,AM,"PORTAGG","MEANR")&lt;/Q&gt;&lt;R&gt;121&lt;/R&gt;&lt;C&gt;1&lt;/C&gt;&lt;D xsi:type="xsd:double"&gt;15.2323805172852&lt;/D&gt;&lt;D xsi:type="xsd:double"&gt;16.7233134729438&lt;/D&gt;&lt;D xsi:type="xsd:double"&gt;17.3797919077946&lt;/D&gt;&lt;D xsi:type="xsd:double"&gt;17.3501845842365&lt;/D&gt;&lt;D xsi:type="xsd:double"&gt;19.3358713404512&lt;/D&gt;&lt;D xsi:type="xsd:double"&gt;20.1125428278243&lt;/D&gt;&lt;D xsi:type="xsd:double"&gt;19.9010533588037&lt;/D&gt;&lt;D xsi:type="xsd:double"&gt;19.141109021</t>
        </r>
      </text>
    </comment>
    <comment ref="A9" authorId="0" shapeId="0" xr:uid="{3480A49F-D15D-41A3-845B-1F534E251ADC}">
      <text>
        <r>
          <rPr>
            <b/>
            <sz val="9"/>
            <color indexed="81"/>
            <rFont val="Tahoma"/>
            <charset val="1"/>
          </rPr>
          <t>4752&lt;/D&gt;&lt;D xsi:type="xsd:double"&gt;19.0084892999092&lt;/D&gt;&lt;D xsi:type="xsd:double"&gt;18.6423040518817&lt;/D&gt;&lt;D xsi:type="xsd:double"&gt;18.6836323004186&lt;/D&gt;&lt;D xsi:type="xsd:double"&gt;17.3316614985971&lt;/D&gt;&lt;D xsi:type="xsd:double"&gt;17.0746739120283&lt;/D&gt;&lt;D xsi:type="xsd:double"&gt;16.8393016892132&lt;/D&gt;&lt;D xsi:type="xsd:double"&gt;16.2050472199253&lt;/D&gt;&lt;D xsi:type="xsd:double"&gt;14.8563815503764&lt;/D&gt;&lt;D xsi:type="xsd:double"&gt;14.4464739713237&lt;/D&gt;&lt;D xsi:type="xsd:double"&gt;15.6091010779806&lt;/D&gt;&lt;D xsi:type="xsd:double"&gt;15.5686234328624&lt;/D&gt;&lt;D xsi:type="xsd:double"&gt;15.5531685821421&lt;/D&gt;&lt;D xsi:type="xsd:double"&gt;15.3255573180106&lt;/D&gt;&lt;D xsi:type="xsd:double"&gt;15.3556729210987&lt;/D&gt;&lt;D xsi:type="xsd:double"&gt;15.9913716974725&lt;/D&gt;&lt;D xsi:type="xsd:double"&gt;16.0850630095338&lt;/D&gt;&lt;D xsi:type="xsd:double"&gt;16.754415460986&lt;/D&gt;&lt;D xsi:type="xsd:double"&gt;17.1610395037911&lt;/D&gt;&lt;D xsi:type="xsd:double"&gt;18.0715369323263&lt;/D&gt;&lt;D xsi:type="xsd:double"&gt;18.0791770345623&lt;/D&gt;&lt;D xsi:type="xsd:double"&gt;18.4676890876899&lt;/D&gt;&lt;D xsi:type="xsd:double"&gt;17.5196757699805&lt;/D&gt;&lt;D xsi:type="xsd:double"&gt;17.5706381610115&lt;/D&gt;&lt;D xsi:type="xsd:double"&gt;17.7015126971353&lt;/D&gt;&lt;D xsi:type="xsd:double"&gt;17.6468614598417&lt;/D&gt;&lt;D xsi:type="xsd:double"&gt;17.6230661296214&lt;/D&gt;&lt;D xsi:type="xsd:double"&gt;16.953164817806&lt;/D&gt;&lt;D xsi:type="xsd:double"&gt;16.9373572160079&lt;/D&gt;&lt;D xsi:type="xsd:double"&gt;17.6819620632191&lt;/D&gt;&lt;D xsi:type="xsd:double"&gt;18.2248621997234&lt;/D&gt;&lt;D xsi:type="xsd:double"&gt;18.06014548616&lt;/D&gt;&lt;D xsi:type="xsd:double"&gt;18.4960878496154&lt;/D&gt;&lt;D xsi:type="xsd:double"&gt;16.1654813673167&lt;/D&gt;&lt;D xsi:type="xsd:double"&gt;16.9807111730829&lt;/D&gt;&lt;D xsi:type="xsd:double"&gt;16.7681942801864&lt;/D&gt;&lt;D xsi:type="xsd:double"&gt;16.8708034690009&lt;/D&gt;&lt;D xsi:type="xsd:double"&gt;16.5264792034606&lt;/D&gt;&lt;D xsi:type="xsd:double"&gt;16.4837405245619&lt;/D&gt;&lt;D xsi:type="xsd:double"&gt;16.597937316627&lt;/D&gt;&lt;D xsi:type="xsd:double"&gt;16.5849253047937&lt;/D&gt;&lt;D xsi:type="xsd:double"&gt;16.0940275532863&lt;/D&gt;&lt;D xsi:type="xsd:double"&gt;15.2068225607652&lt;/D&gt;&lt;D xsi:type="xsd:double"&gt;14.0464110236644&lt;/D&gt;&lt;D xsi:type="xsd:double"&gt;14.4584575356618&lt;/D&gt;&lt;D xsi:type="xsd:double"&gt;16.7663383199979&lt;/D&gt;&lt;D xsi:type="xsd:double"&gt;18.0503338996137&lt;/D&gt;&lt;D xsi:type="xsd:double"&gt;17.8469135607043&lt;/D&gt;&lt;D xsi:type="xsd:double"&gt;17.5561521936487&lt;/D&gt;&lt;D xsi:type="xsd:double"&gt;17.122381126201&lt;/D&gt;&lt;D xsi:type="xsd:double"&gt;17.0859837165597&lt;/D&gt;&lt;D xsi:type="xsd:double"&gt;15.9687518732497&lt;/D&gt;&lt;D xsi:type="xsd:double"&gt;16.1652450431526&lt;/D&gt;&lt;D xsi:type="xsd:double"&gt;16.2745683201974&lt;/D&gt;&lt;D xsi:type="xsd:double"&gt;17.0774526031342&lt;/D&gt;&lt;D xsi:type="xsd:double"&gt;15.8308210529004&lt;/D&gt;&lt;D xsi:type="xsd:double"&gt;16.3580854696463&lt;/D&gt;&lt;D xsi:type="xsd:double"&gt;14.146785937785&lt;/D&gt;&lt;D xsi:type="xsd:double"&gt;12.7022997369848&lt;/D&gt;&lt;D xsi:type="xsd:double"&gt;13.6224721458717&lt;/D&gt;&lt;D xsi:type="xsd:double"&gt;15.2015097159135&lt;/D&gt;&lt;D xsi:type="xsd:double"&gt;16.5240214461572&lt;/D&gt;&lt;D xsi:type="xsd:double"&gt;17.6676947285208&lt;/D&gt;&lt;D xsi:type="xsd:double"&gt;17.4142134780182&lt;/D&gt;&lt;D xsi:type="xsd:double"&gt;17.6344506739838&lt;/D&gt;&lt;D xsi:type="xsd:double"&gt;18.3095364822575&lt;/D&gt;&lt;D xsi:type="xsd:double"&gt;16.3553044082186&lt;/D&gt;&lt;D xsi:type="xsd:double"&gt;17.1515749497676&lt;/D&gt;&lt;D xsi:type="xsd:double"&gt;18.6284057512762&lt;/D&gt;&lt;D xsi:type="xsd:double"&gt;17.4075673359079&lt;/D&gt;&lt;D xsi:type="xsd:double"&gt;17.8400230423181&lt;/D&gt;&lt;D xsi:type="xsd:double"&gt;18.3501237515266&lt;/D&gt;&lt;D xsi:type="xsd:double"&gt;17.6095707640296&lt;/D&gt;&lt;D xsi:type="xsd:double"&gt;17.8859982036906&lt;/D&gt;&lt;D xsi:type="xsd:double"&gt;18.1301508587298&lt;/D&gt;&lt;D xsi:type="xsd:double"&gt;17.6001870791877&lt;/D&gt;&lt;D xsi:type="xsd:double"&gt;17.4599766898171&lt;/D&gt;&lt;D xsi:type="xsd:double"&gt;16.8632438762756&lt;/D&gt;&lt;D xsi:type="xsd:double"&gt;16.6774614613555&lt;/D&gt;&lt;D xsi:type="xsd:double"&gt;16.5781978280861&lt;/D&gt;&lt;D xsi:type="xsd:double"&gt;16.2866720489075&lt;/D&gt;&lt;D xsi:type="xsd:double"&gt;12.4533906292859&lt;/D&gt;&lt;D xsi:type="xsd:double"&gt;11.6614977839828&lt;/D&gt;&lt;D xsi:type="xsd:double"&gt;12.1996974972683&lt;/D&gt;&lt;D xsi:type="xsd:double"&gt;12.9676400548861&lt;/D&gt;&lt;D xsi:type="xsd:double"&gt;13.4548493770405&lt;/D&gt;&lt;D xsi:type="xsd:double"&gt;13.8570141274191&lt;/D&gt;&lt;D xsi:type="xsd:double"&gt;14.7916013868585&lt;/D&gt;&lt;D xsi:type="xsd:double"&gt;14.7549938375366&lt;/D&gt;&lt;D xsi:type="xsd:double"&gt;14.419985801571&lt;/D&gt;&lt;D xsi:type="xsd:double"&gt;14.1324393585979&lt;/D&gt;&lt;D xsi:type="xsd:double"&gt;15.7272486297867&lt;/D&gt;&lt;D xsi:type="xsd:double"&gt;16.383504793673&lt;/D&gt;&lt;D xsi:type="xsd:double"&gt;25.9090195943243&lt;/D&gt;&lt;D xsi:type="xsd:double"&gt;25.2303229068894&lt;/D&gt;&lt;D xsi:type="xsd:double"&gt;23.9689672954906&lt;/D&gt;&lt;D xsi:type="xsd:double"&gt;22.8218587185415&lt;/D&gt;&lt;D xsi:type="xsd:double"&gt;21.7633408983041&lt;/D&gt;&lt;D xsi:type="xsd:double"&gt;20.3170521587026&lt;/D&gt;&lt;D xsi:type="xsd:double"&gt;19.0885364799849&lt;/D&gt;&lt;D xsi:type="xsd:double"&gt;17.6059596496524&lt;/D&gt;&lt;D xsi:type="xsd:double"&gt;16.4945356656416&lt;/D&gt;&lt;D xsi:type="xsd:double"&gt;15.5916466989067&lt;/D&gt;&lt;D xsi:type="xsd:double"&gt;17.8226707577583&lt;/D&gt;&lt;D xsi:type="xsd:double"&gt;17.2729583179599&lt;/D&gt;&lt;D xsi:type="xsd:double"&gt;15.0839530821309&lt;/D&gt;&lt;D xsi:type="xsd:double"&gt;15.8668053311477&lt;/D&gt;&lt;D xsi:type="xsd:double"&gt;15.9316113548681&lt;/D&gt;&lt;D xsi:type="xsd:double"&gt;16.108731808758&lt;/D&gt;&lt;D xsi:type="xsd:double"&gt;16.068710046833&lt;/D&gt;&lt;D xsi:type="xsd:double"&gt;16.0550484008057&lt;/D&gt;&lt;D xsi:type="xsd:double"&gt;16.0308890887697&lt;/D&gt;&lt;D xsi:type="xsd:double"&gt;16.6748527578312&lt;/D&gt;&lt;D xsi:type="xsd:double"&gt;17.5212535900999&lt;/D&gt;&lt;/FQL&gt;&lt;FQL&gt;&lt;Q&gt;FXI^FG_TOTAL_RETURNC(0,-12AM)&lt;/Q&gt;&lt;R&gt;1&lt;/R&gt;&lt;C&gt;1&lt;/C&gt;&lt;D xsi:type="xsd:double"&gt;27.222204&lt;/D&gt;&lt;/FQL&gt;&lt;FQL&gt;&lt;Q&gt;EWD^FG_TOTAL_RETURNC(0,-12AM)&lt;/Q&gt;&lt;R&gt;1&lt;/R&gt;&lt;C&gt;1&lt;/C&gt;&lt;D xsi:type="xsd:double"&gt;27.183104&lt;/D&gt;&lt;/FQL&gt;&lt;FQL&gt;&lt;Q&gt;EWJ^FG_ROE(0)&lt;/Q&gt;&lt;R&gt;1&lt;/R&gt;&lt;C&gt;1&lt;/C&gt;&lt;D xsi:type="xsd:double"&gt;8.69987460221687&lt;/D&gt;&lt;/FQL&gt;&lt;FQL&gt;&lt;Q&gt;REFCHMPR-FDS^FG_YIELD(NOW,,,0)&lt;/Q&gt;&lt;R&gt;1&lt;/R&gt;&lt;C&gt;1&lt;/C&gt;&lt;D xsi:type="xsd:double"&gt;1&lt;/D&gt;&lt;/FQL&gt;&lt;FQL&gt;&lt;Q&gt;TRYUS10Y-FDS^PCTCHG(FG_YIELD(0,,,,"YTM"),FG_YIELD(-3AM,,,,"YTM"))&lt;/Q&gt;&lt;R&gt;1&lt;/R&gt;&lt;C&gt;1&lt;/C&gt;&lt;D xsi:type="xsd:double"&gt;-4.815847&lt;/D&gt;&lt;/FQL&gt;&lt;FQL&gt;&lt;Q&gt;EWI^FMA_PE(LTM,0,,,"PORTAGG","MEANR")&lt;/Q&gt;&lt;R&gt;1&lt;/R&gt;&lt;C&gt;1&lt;/C&gt;&lt;D xsi:type="xsd:double"&gt;11.1517799427447&lt;/D&gt;&lt;/FQL&gt;&lt;FQL&gt;&lt;Q&gt;SPY^FG_FCF_YIELD_NTM(0)&lt;/Q&gt;&lt;R&gt;1&lt;/R&gt;&lt;C&gt;1&lt;/C&gt;&lt;D xsi:type="xsd:double"&gt;3.97071442455423&lt;/D&gt;&lt;/FQL&gt;&lt;FQL&gt;&lt;Q&gt;EWJ^FMA_EVAL_EBIT(LTMA,NOW,NOW,M,"PORTAGG","MEANR")&lt;/Q&gt;&lt;R&gt;1&lt;/R&gt;&lt;C&gt;1&lt;/C&gt;&lt;D xsi:type="xsd:double"&gt;16.8117668391272&lt;/D&gt;&lt;/FQL&gt;&lt;FQL&gt;&lt;Q&gt;TLT^FG_TOTAL_RETURNC(0,-6AM)&lt;/Q&gt;&lt;R&gt;1&lt;/R&gt;&lt;C&gt;1&lt;/C&gt;&lt;D xsi:type="xsd:double"&gt;6.3589334&lt;/D&gt;&lt;/FQL&gt;&lt;FQL&gt;&lt;Q&gt;TRYMX10Y-FDS^FG_YIELD(-10AY,0,Y,,"YTM")&lt;/Q&gt;&lt;R&gt;10&lt;/R&gt;&lt;C&gt;1&lt;/C&gt;&lt;D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xsi:type="xsd:double"&gt;8.95&lt;/D&gt;&lt;/FQL&gt;&lt;FQL&gt;&lt;Q&gt;CAGDPY@SE^EE_ACTUAL_ANNUAL(MED,+1)&lt;/Q&gt;&lt;R&gt;1&lt;/R&gt;&lt;C&gt;1&lt;/C&gt;&lt;D xsi:type="xsd:double"&gt;6.3&lt;/D&gt;&lt;/FQL&gt;&lt;FQL&gt;&lt;Q&gt;USDITL^FG_PRICE_CHANGE(0,-1AM)&lt;/Q&gt;&lt;R&gt;1&lt;/R&gt;&lt;C&gt;1&lt;/C&gt;&lt;D xsi:type="xsd:double"&gt;0.86972713&lt;/D&gt;&lt;/FQL&gt;&lt;FQL&gt;&lt;Q&gt;USDEUR^STD(FG_PRICE_CHANGE(0,-1AY,AM))&lt;/Q&gt;&lt;R&gt;1&lt;/R&gt;&lt;C&gt;1&lt;/C&gt;&lt;D xsi:type="xsd:double"&gt;1.21308000708563&lt;/D&gt;&lt;/FQL&gt;&lt;FQL&gt;&lt;Q&gt;NI-FDS^MAX(FG_PRICE(0,-5AY))&lt;/Q&gt;&lt;R&gt;1&lt;/R&gt;&lt;C&gt;1&lt;/C&gt;&lt;D xsi:type="xsd:double"&gt;48241&lt;/D&gt;&lt;/FQL&gt;&lt;FQL&gt;&lt;Q&gt;BRENT-FDS^FG_PRICE(0)/MAX(FG_PRICE(0,-1AY))&lt;/Q&gt;&lt;R&gt;1&lt;/R&gt;&lt;C&gt;1&lt;/C&gt;&lt;D xsi:type="xsd:double"&gt;0.887441860465116&lt;/D&gt;&lt;/FQL&gt;&lt;FQL&gt;&lt;Q&gt;QQQ^FG_PRICE_MAVG(0,,,,30)&lt;/Q&gt;&lt;R&gt;1&lt;/R&gt;&lt;C&gt;1&lt;/C&gt;&lt;D xsi:type="xsd:double"&gt;476.70468&lt;/D&gt;&lt;/FQL&gt;&lt;FQL&gt;&lt;Q&gt;EWD^P_PRICE(0)/P_PRICE_LOW_PR(0,,,,,,"PRICE","INTRA","52W")-1&lt;/Q&gt;&lt;R&gt;1&lt;/R&gt;&lt;C&gt;1&lt;/C&gt;&lt;D xsi:type="xsd:double"&gt;0.34430504&lt;/D&gt;&lt;/FQL&gt;&lt;FQL&gt;&lt;Q&gt;SPY^FG_TOTAL_RETURNC(0,-12AM)&lt;/Q&gt;&lt;R&gt;1&lt;/R&gt;&lt;C&gt;1&lt;/C&gt;&lt;D xsi:type="xsd:double"&gt;34.38171&lt;/D&gt;&lt;/FQL&gt;&lt;FQL&gt;&lt;Q&gt;EWL^FG_TOTAL_RETURNC(0,-1AM)&lt;/Q&gt;&lt;R&gt;1&lt;/R&gt;&lt;C&gt;1&lt;/C&gt;&lt;D xsi:type="xsd:double"&gt;-0.37102103&lt;/D&gt;&lt;/FQL&gt;&lt;FQL&gt;&lt;Q&gt;EWC^FMA_PCT_ABOVE_MAVG(200,0,,,,"PORTAGG")&lt;/Q&gt;&lt;R&gt;1&lt;/R&gt;&lt;C&gt;1&lt;/C&gt;&lt;D xsi:type="xsd:double"&gt;79.0697674418605&lt;/D&gt;&lt;/FQL&gt;&lt;FQL&gt;&lt;Q&gt;URTH^SIZE(FG_CONSTITUENTS)&lt;/Q&gt;&lt;R&gt;1&lt;/R&gt;&lt;C&gt;1&lt;/C&gt;&lt;D xsi:type="xsd:long"&gt;1412&lt;/D&gt;&lt;/FQL&gt;&lt;FQL&gt;&lt;Q&gt;QQQ^FMA_COS_UP("EPS","1M",+1,0,,,"PORTAGG","MEANR")&lt;/Q&gt;&lt;R&gt;1&lt;/R&gt;&lt;C&gt;1&lt;/C&gt;&lt;D xsi:type="xsd:double"&gt;31&lt;/D&gt;&lt;/FQL&gt;&lt;FQL&gt;&lt;Q&gt;TRYFR10Y-FDS^FG_YIELD(0,,,,"YTM")&lt;/Q&gt;&lt;R&gt;1&lt;/R&gt;&lt;C&gt;1&lt;/C&gt;&lt;D xsi:type="xsd:double"&gt;3.035&lt;/D&gt;&lt;/FQL&gt;&lt;FQL&gt;&lt;Q&gt;EWA^FMA_DIV_YLD(NTMA,NOW,NOW,M,"PORTAGG","MEANR")&lt;/Q&gt;&lt;R&gt;1&lt;/R&gt;&lt;C&gt;1&lt;/C&gt;&lt;D xsi:type="xsd:double"&gt;3.56202135203691&lt;/D&gt;&lt;/FQL&gt;&lt;FQL&gt;&lt;Q&gt;SPY^P_PRICE(0)/P_PRICE_HIGH_PR(0,,,USD,,,"PRICE","INTRA","52W")&lt;/Q&gt;&lt;R&gt;1&lt;/R&gt;&lt;C&gt;1&lt;/C&gt;&lt;D xsi:type="xsd:double"&gt;0.99726504&lt;/D&gt;&lt;/FQL&gt;&lt;FQL&gt;&lt;Q&gt;EWJ^FMA_EPS(NTMA,-20AY,0,CY,,"PORTAGG","MEANR")&lt;/Q&gt;&lt;R&gt;20&lt;/R&gt;&lt;C&gt;1&lt;/C&gt;&lt;D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xsi:type="xsd:double"&gt;4.07638247054007&lt;/D&gt;&lt;D xsi:type="xsd:double"&gt;3.67789556950636&lt;/D&gt;&lt;D xsi:type="xsd:double"&gt;4.61613869576068&lt;/D&gt;&lt;D xsi:type="xsd:double"&gt;4.46089556091596&lt;/D&gt;&lt;D xsi:type="xsd:double"&gt;4.56673202880816&lt;/D&gt;&lt;/FQL&gt;&lt;FQL&gt;&lt;Q&gt;ENZL^FG_TOTAL_RETURNC(-10AY,0,AM)&lt;/Q&gt;&lt;R&gt;121&lt;/R&gt;&lt;C&gt;1&lt;/C&gt;&lt;D xsi:type="xsd:double"&gt;-5.6720552&lt;/D&gt;&lt;D xsi:type="xsd:double"&gt;5.4330707&lt;/D&gt;&lt;D xsi:type="xsd:double"&gt;0.8961916&lt;/D&gt;&lt;D xsi:type="xsd:double"&gt;2.1203876&lt;/D&gt;&lt;D xsi:type="xsd:double"&gt;-1.3164401&lt;/D&gt;&lt;D xsi:type="xsd:double"&gt;-1.3088346&lt;/D&gt;&lt;D xsi:type="xsd:double"&gt;3.6304474&lt;/D&gt;&lt;D xsi:type="xsd:double"&gt;-2.2678256&lt;/D&gt;&lt;D xsi:type="xsd:double"&gt;-2.346903&lt;/D&gt;&lt;D xsi:type="xsd:double"&gt;-8.787685&lt;/D&gt;&lt;D xsi:type="xsd:double"&gt;0.7540703&lt;/D&gt;&lt;D xsi:type="xsd:double"&gt;-8.094996&lt;/D&gt;&lt;D xsi:type="xsd:double"&gt;5.801213&lt;/D&gt;&lt;D xsi:type="xsd:double"&gt;4.055667&lt;/D&gt;&lt;D xsi:type="xsd:double"&gt;3.7268758&lt;/D&gt;&lt;D xsi:type="xsd:double"&gt;-2.4763763&lt;/D&gt;&lt;D xsi:type="xsd:double"&gt;0.6878853&lt;/D&gt;&lt;D xsi:type="xsd:double"&gt;8.198118&lt;/D&gt;&lt;D xsi:type="xsd:double"&gt;6.34017&lt;/D&gt;&lt;D xsi:type="xsd:double"&gt;2.301097&lt;/D&gt;&lt;D xsi:type="xsd:double"&gt;4.5223713&lt;/D&gt;&lt;D xsi:type="xsd:double"&gt;5.387616&lt;/D&gt;&lt;D xsi:type="xsd:double"&gt;2.9683232&lt;/D&gt;&lt;D xsi:type="xsd:double"&gt;2.8719425&lt;/D&gt;&lt;D xsi:type="xsd:double"&gt;-7.283795&lt;/D&gt;&lt;D xsi:type="xsd:double"&gt;-5.3656282&lt;/D&gt;&lt;D xsi:type="xsd:double"&gt;1.9019246&lt;/D&gt;&lt;D xsi:type="xsd:double"&gt;0.042188168&lt;/D&gt;&lt;D xsi:type="xsd:double"&gt;4.200053&lt;/D&gt;&lt;D xsi:type="xsd:double"&gt;-3.4715712&lt;/D&gt;&lt;D xsi:type="xsd:double"&gt;1.9551039&lt;/D&gt;&lt;D xsi:type="xsd:double"&gt;2.9592752&lt;/D&gt;&lt;D xsi:type="xsd:double"&gt;3.8399577&lt;/D&gt;&lt;D xsi:type="xsd:double"&gt;3.0630946&lt;/D&gt;&lt;D xsi:type="xsd:double"&gt;1.7947078&lt;/D&gt;&lt;D xsi:type="xsd:double"&gt;1.1610389&lt;/D&gt;&lt;D xsi:type="xsd:double"&gt;-0.7013798&lt;/D&gt;&lt;D xsi:type="xsd:double"&gt;-3.6065936&lt;/D&gt;&lt;D xsi:type="xsd:double"&gt;2.2093892&lt;/D&gt;&lt;D xsi:type="xsd:double"&gt;5.995095&lt;/D&gt;&lt;D xsi:type="xsd:double"&gt;-2.4441183&lt;/D&gt;&lt;D xsi:type="xsd:double"&gt;6.1670303&lt;/D&gt;&lt;D xsi:type="xsd:double"&gt;1.9160867&lt;/D&gt;&lt;D xsi:type="xsd:double"&gt;-4.136157&lt;/D&gt;&lt;D xsi:type="xsd:double"&gt;4.6862125&lt;/D&gt;&lt;D xsi:type="xsd:double"&gt;-1.8859386&lt;/D&gt;&lt;D xsi:type="xsd:double"&gt;-4.128349&lt;/D&gt;&lt;D xsi:type="xsd:double"&gt;0.6608486&lt;/D&gt;&lt;D xsi:type="xsd:double"&gt;-3.388399&lt;/D&gt;&lt;D xsi:type="xsd:double"&gt;4.1210055&lt;/D&gt;&lt;D xsi:type="xsd:double"&gt;0.52632093&lt;/D&gt;&lt;D xsi:type="xsd:double"&gt;1.0524511&lt;/D&gt;&lt;D xsi:type="xsd:double"&gt;2.2362828&lt;/D&gt;&lt;D xsi:type="xsd:double"&gt;3.3429742&lt;/D&gt;&lt;D xsi:type="xsd:double"&gt;1.6573429&lt;/D&gt;&lt;D xsi:type="xsd:double"&gt;2.042818&lt;/D&gt;&lt;D xsi:type="xsd:double"&gt;-1.4629483&lt;/D&gt;&lt;D xsi:type="xsd:double"&gt;7.381654&lt;/D&gt;&lt;D xsi:type="xsd:double"&gt;-1.1080384&lt;/D&gt;&lt;D xsi:type="xsd:double"&gt;2.2408962&lt;/D&gt;&lt;D xsi:type="xsd:double"&gt;-4.3287635&lt;/D&gt;&lt;D xsi:type="xsd:double"&gt;0.34364462&lt;/D&gt;&lt;D xsi:type="xsd:double"&gt;7.515216&lt;/D&gt;&lt;D xsi:type="xsd:double"&gt;3.4685254&lt;/D&gt;&lt;D xsi:type="xsd:double"&gt;-2.0611346&lt;/D&gt;&lt;D xsi:type="xsd:double"&gt;-5.8855&lt;/D&gt;&lt;D xsi:type="xsd:double"&gt;-11.9007&lt;/D&gt;&lt;D xsi:type="xsd:double"&gt;8.213377&lt;/D&gt;&lt;D xsi:type="xsd:double"&gt;10.597837&lt;/D&gt;&lt;D xsi:type="xsd:double"&gt;3.7724972&lt;/D&gt;&lt;D xsi:type="xsd:double"&gt;2.5632143&lt;/D&gt;&lt;D xsi:type="xsd:double"&gt;-0.9010494&lt;/D&gt;&lt;D xsi:type="xsd:double"&gt;5.283916&lt;/D&gt;&lt;D xsi:type="xsd:double"&gt;4.611373&lt;/D&gt;&lt;D xsi:type="xsd:double"&gt;5.1246166&lt;/D&gt;&lt;D xsi:type="xsd:double"&gt;4.9918175&lt;/D&gt;&lt;D xsi:type="xsd:double"&gt;-5.781591&lt;/D&gt;&lt;D xsi:type="xsd:double"&gt;-4.742426&lt;/D&gt;&lt;D xsi:type="xsd:double"&gt;0.34992695&lt;/D&gt;&lt;D xsi:type="xsd:double"&gt;2.7421117&lt;/D&gt;&lt;D xsi:type="xsd:double"&gt;-3.3914685&lt;/D&gt;&lt;D xsi:type="xsd:double"&gt;-0.12891293&lt;/D&gt;&lt;D xsi:type="xsd:double"&gt;-0.8228421&lt;/D&gt;&lt;D xsi:type="xsd:double"&gt;3.09093&lt;/D&gt;&lt;D xsi:type="xsd:double"&gt;-2.445954&lt;/D&gt;&lt;D xsi:type="xsd:double"&gt;1.0837913&lt;/D&gt;&lt;D xsi:type="xsd:double"&gt;-5.6409063&lt;/D&gt;&lt;D xsi:type="xsd:double"&gt;-0.9737253&lt;/D&gt;&lt;D xsi:type="xsd:double"&gt;-4.707527&lt;/D&gt;&lt;D xsi:type="xsd:double"&gt;0.013327599&lt;/D&gt;&lt;D xsi:type="xsd:double"&gt;-0.14595985&lt;/D&gt;&lt;D xsi:type="xsd:double"&gt;-15.165359&lt;/D&gt;&lt;D xsi:type="xsd:double"&gt;-0.4413545&lt;/D&gt;&lt;D xsi:type="xsd:double"&gt;-0.4574418&lt;/D&gt;&lt;D xsi:type="xsd:double"&gt;9.872473&lt;/D&gt;&lt;D xsi:type="xsd:double"&gt;-4.1825113&lt;/D&gt;&lt;D xsi:type="xsd:double"&gt;-15.5179615&lt;/D&gt;&lt;D xsi:type="xsd:double"&gt;11.075401&lt;/D&gt;&lt;D xsi:type="xsd:double"&gt;10.349441&lt;/D&gt;&lt;D xsi:type="xsd:double"&gt;1.2955427&lt;/D&gt;&lt;D xsi:type="xsd:double"&gt;3.1212568&lt;/D&gt;&lt;D xsi:type="xsd:double"&gt;-7.217699&lt;/D&gt;&lt;D xsi:type="xsd:double"&gt;4.056883&lt;/D&gt;&lt;D xsi:type="xsd:double"&gt;2.7130246&lt;/D&gt;&lt;D xsi:type="xsd:double"&gt;-5.920047&lt;/D&gt;&lt;D xsi:type="xsd:double"&gt;3.5756826&lt;/D&gt;&lt;D xsi:type="xsd:double"&gt;-3.853178&lt;/D&gt;&lt;D xsi:type="xsd:double"&gt;-6.8340063&lt;/D&gt;&lt;D xsi:type="xsd:double"&gt;2.3771882&lt;/D&gt;&lt;D xsi:type="xsd:double"&gt;-3.3613443&lt;/D&gt;&lt;D xsi:type="xsd:double"&gt;7.185352&lt;/D&gt;&lt;D xsi:type="xsd:double"&gt;4.0860057&lt;/D&gt;&lt;D xsi:type="xsd:double"&gt;-2.5335014&lt;/D&gt;&lt;D xsi:type="xsd:double"&gt;-0.75187683&lt;/D&gt;&lt;D xsi:type="xsd:double"&gt;-2.4458885&lt;/D&gt;&lt;D xsi:type="xsd:double"&gt;0.46594143&lt;/D&gt;&lt;D xsi:type="xsd:double"&gt;1.5569806&lt;/D&gt;&lt;D xsi:type="xsd:double"&gt;0.886786&lt;/D&gt;&lt;D xsi:type="xsd:double"&gt;0.5212784&lt;/D&gt;&lt;D xsi:type="xsd:double"&gt;6.093347&lt;/D&gt;&lt;D xsi:type="xsd:double"&gt;-0.6313622&lt;/D&gt;&lt;/FQL&gt;&lt;FQL&gt;&lt;Q&gt;NI-FDS^FG_PRICE_CHANGE(0,-1AY)&lt;/Q&gt;&lt;R&gt;1&lt;/R&gt;&lt;C&gt;1&lt;/C&gt;&lt;D xsi:type="xsd:double"&gt;-6.07886089813801&lt;/D&gt;&lt;/FQL&gt;&lt;FQL&gt;&lt;Q&gt;FXI^FG_TOTAL_RETURNC(0,-3AM)&lt;/Q&gt;&lt;R&gt;1&lt;/R&gt;&lt;C&gt;1&lt;/C&gt;&lt;D xsi:type="xsd:double"&gt;25.928747&lt;/D&gt;&lt;/FQL&gt;&lt;FQL&gt;&lt;Q&gt;URTH^PERCENT_CHANGE(FMA_EPS(+1,0,,,,"PORTAGG","MEAN"),FMA_EPS(+1,-1AM,,,,"PORTAGG","MEAN"))&lt;/Q&gt;&lt;R&gt;1&lt;/R&gt;&lt;C&gt;1&lt;/C&gt;&lt;D xsi:type="xsd:double"&gt;-0.399781047023017&lt;/D&gt;&lt;/FQL&gt;&lt;FQL&gt;&lt;Q&gt;EWA^FG_TOTAL_RETURNC(0,-12AM)&lt;/Q&gt;&lt;R&gt;1&lt;/R&gt;&lt;C&gt;1&lt;/C&gt;&lt;D xsi:type="xsd:double"&gt;26.02725&lt;/D&gt;&lt;/FQL&gt;&lt;FQL&gt;&lt;Q&gt;EWG^FG_ROE(0)&lt;/Q&gt;&lt;R&gt;1&lt;/R&gt;&lt;C&gt;1&lt;/C&gt;&lt;D xsi:type="xsd:double"&gt;10.8278116952907&lt;/D&gt;&lt;/FQL&gt;&lt;FQL&gt;&lt;Q&gt;CC_GB^IMF_IFS_RCPI_Q(0)&lt;/Q&gt;&lt;R&gt;0&lt;/R&gt;&lt;C&gt;0&lt;/C&gt;&lt;/FQL&gt;&lt;FQL&gt;&lt;Q&gt;EWI^JULIAN(FMA_DIV_YLD(NTMA,NOW,NOW,M,"PORTAGG","MEANR").DATES)&lt;/Q&gt;&lt;R&gt;1&lt;/R&gt;&lt;C&gt;1&lt;/C&gt;&lt;D xsi:type="xsd:long"&gt;45565&lt;/D&gt;&lt;/FQL&gt;&lt;FQL&gt;&lt;Q&gt;EWJ^FMA_EVAL_EBITDA(NTMA,0,,,"PORTAGG","MEANR")&lt;/Q&gt;&lt;R&gt;1&lt;/R&gt;&lt;C&gt;1&lt;/C&gt;&lt;D xsi:type="xsd:double"&gt;10.2480997007273&lt;/D&gt;&lt;/FQL&gt;&lt;FQL&gt;&lt;Q&gt;EWA^JULIAN(FMA_DIV_YLD(NTMA,NOW,NOW,M,"PORTAGG","MEANR").DATES)&lt;/Q&gt;&lt;R&gt;1&lt;/R&gt;&lt;C&gt;1&lt;/C&gt;&lt;D xsi:type="xsd:long"&gt;45565&lt;/D&gt;&lt;/FQL&gt;&lt;FQL&gt;&lt;Q&gt;TLT^FG_TOTAL_RETURNC(0,-3AM)&lt;/Q&gt;&lt;R&gt;1&lt;/R&gt;&lt;C&gt;1&lt;/C&gt;&lt;D xsi:type="xsd:double"&gt;2.5436163&lt;/D&gt;&lt;/FQL&gt;&lt;FQL&gt;&lt;Q&gt;CAGDPY@NL^EE_ACTUAL_ANNUAL(MED,+1)&lt;/Q&gt;&lt;R&gt;1&lt;/R&gt;&lt;C&gt;1&lt;/C&gt;&lt;D xsi:type="xsd:double"&gt;9.5&lt;/D&gt;&lt;/FQL&gt;&lt;FQL&gt;&lt;Q&gt;USDEUR^FG_PRICE_CHANGE(0,-3AM)&lt;/Q&gt;&lt;R&gt;1&lt;/R&gt;&lt;C&gt;1&lt;/C&gt;&lt;D xsi:type="xsd:double"&gt;-0.9063482&lt;/D&gt;&lt;/FQL&gt;&lt;FQL&gt;&lt;Q&gt;EWL^FMA_PE(LTMA,-10AY,0,AM,"PORTAGG","MEANR")&lt;/Q&gt;&lt;R&gt;121&lt;/R&gt;&lt;C&gt;1&lt;/C&gt;&lt;D xsi:type="xsd:double"&gt;16.6282282876558&lt;/D&gt;&lt;D xsi:type="xsd:double"&gt;17.4012906098669&lt;/D&gt;&lt;D xsi:type="xsd:double"&gt;17.3235007052512&lt;/D&gt;&lt;D xsi:type="xsd:double"&gt;17.2204408039944&lt;/D&gt;&lt;D xsi:type="xsd:double"&gt;17.1686723756655&lt;/D&gt;&lt;D xsi:type="xsd:double"&gt;17.9292361183327&lt;/D&gt;&lt;D xsi:type="xsd:double"&gt;18.2018605615944&lt;/D&gt;&lt;D xsi:type="xsd:double"&gt;18.0196715327428&lt;/D&gt;&lt;D xsi:type="xsd:double"&gt;18.0074443180353&lt;/D&gt;&lt;D xsi:type="xsd:double"&gt;17.9707290652863&lt;/D&gt;&lt;D xsi:type="xsd:double"&gt;18.1571970944613&lt;/D&gt;&lt;D xsi:type="xsd:double"&gt;17.3164403180175&lt;/D&gt;&lt;D xsi:type="xsd:double"&gt;17.4293642447104&lt;/D&gt;&lt;D xsi:type="xsd:double"&gt;17.5017194326887&lt;/D&gt;&lt;D xsi:type="xsd:double"&gt;17.2359502287562&lt;/D&gt;&lt;D xsi:type="xsd:double"&gt;16.2936364564364&lt;/D&gt;&lt;D xsi:type="xsd:double"&gt;16.2005664573677&lt;/D&gt;&lt;D xsi:type="xsd:double"&gt;16.6152143764842&lt;/D&gt;&lt;D xsi:type="xsd:double"&gt;16.6813078872549&lt;/D&gt;&lt;D xsi:type="xsd:double"&gt;16.83825791371&lt;/D&gt;&lt;D xsi:type="xsd:double"&gt;16.9699568280293&lt;/D&gt;&lt;D xsi:type="xsd:double"&gt;17.1371365275191&lt;/D&gt;&lt;D xsi:type="xsd:double"&gt;17.7935742735886&lt;/D&gt;&lt;D xsi:type="xsd:double"&gt;18.0029716744111&lt;/D&gt;&lt;D xsi:type="xsd:double"&gt;18.0236938738767&lt;/D&gt;&lt;D xsi:type="xsd:double"&gt;17.7204735477161&lt;/D&gt;&lt;D xsi:type="xsd:double"&gt;17.8654886768&lt;/D&gt;&lt;D xsi:type="xsd:double"&gt;18.6661285538005&lt;/D&gt;&lt;D xsi:type="xsd:double"&gt;18.6964860850329&lt;/D&gt;&lt;D xsi:type="xsd:double"&gt;19.6418627422661&lt;/D&gt;&lt;D xsi:type="xsd:double"&gt;19.4015320134476&lt;/D&gt;&lt;D xsi:type="xsd:double"&gt;19.5426019726249&lt;/D&gt;&lt;D xsi:type="xsd:double"&gt;19.4440607452971&lt;/D&gt;&lt;D xsi:type="xsd:double"&gt;19.3357310769279&lt;/D&gt;&lt;D xsi:type="xsd:double"&gt;19.1911858194587&lt;/D&gt;&lt;D xsi:type="xsd:double"&gt;19.1658699407373&lt;/D&gt;&lt;D xsi:type="xsd:double"&gt;19.6405692396344&lt;/D&gt;&lt;D xsi:type="xsd:double"&gt;20.0782577995439&lt;/D&gt;&lt;D xsi:type="xsd:double"&gt;20.401859905778&lt;/D&gt;&lt;D xsi:type="xsd:double"&gt;21.0355596416062&lt;/D&gt;&lt;D xsi:type="xsd:double"&gt;19.9728933721012&lt;/D&gt;&lt;D xsi:type="xsd:double"&gt;21.0915390608396&lt;/D&gt;&lt;D xsi:type="xsd:double"&gt;20.5575420568145&lt;/D&gt;&lt;D xsi:type="xsd:double"&gt;20.2220686755539&lt;/D&gt;&lt;D xsi:type="xsd:double"&gt;19.5314046073055&lt;/D&gt;&lt;D xsi:type="xsd:double"&gt;19.3167512224927&lt;/D&gt;&lt;D xsi:type="xsd:double"&gt;19.0094286970982&lt;/D&gt;&lt;D xsi:type="xsd:double"&gt;18.5915769611907&lt;/D&gt;&lt;D xsi:type="xsd:double"&gt;17.9813704300545&lt;/D&gt;&lt;D xsi:type="xsd:double"&gt;17.9999144029141&lt;/D&gt;&lt;D xsi:type="xsd:double"&gt;16.7635491891213&lt;/D&gt;&lt;D xsi:type="xsd:double"&gt;16.935503008506&lt;/D&gt;&lt;D xsi:type="xsd:double"&gt;17.4627090387171&lt;/D&gt;&lt;D xsi:type="xsd:double"&gt;18.2758895569975&lt;/D&gt;&lt;D xsi:type="xsd:double"&gt;18.3032498719632&lt;/D&gt;&lt;D xsi:type="xsd:double"&gt;18.096693669386&lt;/D&gt;&lt;D xsi:type="xsd:double"&gt;18.2275633901932&lt;/D&gt;&lt;D xsi:type="xsd:double"&gt;18.359684234629&lt;/D&gt;&lt;D xsi:type="xsd:double"&gt;18.1917427011976&lt;/D&gt;&lt;D xsi:type="xsd:double"&gt;18.4248559200741&lt;/D&gt;&lt;D xsi:type="xsd:double"&gt;18.2654742692996&lt;/D&gt;&lt;D xsi:type="xsd:double"&gt;18.8488744264966&lt;/D&gt;&lt;D xsi:type="xsd:double"&gt;19.0199812068288&lt;/D&gt;&lt;D xsi:type="xsd:double"&gt;19.6126700682027&lt;/D&gt;&lt;D xsi:type="xsd:double"&gt;20.0900775232363&lt;/D&gt;&lt;D xsi:type="xsd:double"&gt;17.809973086162&lt;/D&gt;&lt;D xsi:type="xsd:double"&gt;18.1273033007994&lt;/D&gt;&lt;D xsi:type="xsd:double"&gt;18.6801216841589&lt;/D&gt;&lt;D xsi:type="xsd:double"&gt;19.4130809673854&lt;/D&gt;&lt;D xsi:type="xsd:double"&gt;19.87898308013&lt;/D&gt;&lt;D xsi:type="xsd:double"&gt;20.1565235342168&lt;/D&gt;&lt;D xsi:type="xsd:double"&gt;20.8512349070214&lt;/D&gt;&lt;D xsi:type="xsd:double"&gt;20.9920117800959&lt;/D&gt;&lt;D xsi:type="xsd:double"&gt;20.9890204376373&lt;/D&gt;&lt;D xsi:type="xsd:double"&gt;21.1037064200534&lt;/D&gt;&lt;D xsi:type="xsd:double"&gt;22.137803175261&lt;/D&gt;&lt;D xsi:type="xsd:double"&gt;21.4066311193451&lt;/D&gt;&lt;D xsi:type="xsd:double"&gt;20.488227619463&lt;/D&gt;&lt;D xsi:type="xsd:double"&gt;20.6298686066957&lt;/D&gt;&lt;D xsi:type="xsd:double"&gt;20.481798874859&lt;/D&gt;&lt;D xsi:type="xsd:double"&gt;20.8612222934184&lt;/D&gt;&lt;D xsi:type="xsd:double"&gt;20.894420909583&lt;/D&gt;&lt;D xsi:type="xsd:double"&gt;21.0801067237514&lt;/D&gt;&lt;D xsi:type="xsd:double"&gt;20.8101064904038&lt;/D&gt;&lt;D xsi:type="xsd:double"&gt;20.2022687336845&lt;/D&gt;&lt;D xsi:type="xsd:double"&gt;20.9352085247045&lt;/D&gt;&lt;D xsi:type="xsd:double"&gt;21.0987971381865&lt;/D&gt;&lt;D xsi:type="xsd:double"&gt;20.8721740856081&lt;/D&gt;&lt;D xsi:type="xsd:double"&gt;18.7982396065152&lt;/D&gt;&lt;D xsi:type="xsd:double"&gt;18.3258616910058&lt;/D&gt;&lt;D xsi:type="xsd:double"&gt;18.7001617053983&lt;/D&gt;&lt;D xsi:type="xsd:double"&gt;18.1323016970936&lt;/D&gt;&lt;D xsi:type="xsd:double"&gt;17.7423271552821&lt;/D&gt;&lt;D xsi:type="xsd:double"&gt;17.7575105135131&lt;/D&gt;&lt;D xsi:type="xsd:double"&gt;18.3722544516236&lt;/D&gt;&lt;D xsi:type="xsd:double"&gt;17.9840443064741&lt;/D&gt;&lt;D xsi:type="xsd:double"&gt;16.8051600472668&lt;/D&gt;&lt;D xsi:type="xsd:double"&gt;19.5365755362395&lt;/D&gt;&lt;D xsi:type="xsd:double"&gt;20.350156298494&lt;/D&gt;&lt;D xsi:type="xsd:double"&gt;20.9808912090627&lt;/D&gt;&lt;D xsi:type="xsd:double"&gt;21.1586703077434&lt;/D&gt;&lt;D xsi:type="xsd:double"&gt;20.5237710255832&lt;/D&gt;&lt;D xsi:type="xsd:double"&gt;20.3746926094991&lt;/D&gt;&lt;D xsi:type="xsd:double"&gt;20.1940917200113&lt;/D&gt;&lt;D xsi:type="xsd:double"&gt;19.4821536798564&lt;/D&gt;&lt;D xsi:type="xsd:double"&gt;19.0052808982269&lt;/D&gt;&lt;D xsi:type="xsd:double"&gt;19.0359804983443&lt;/D&gt;&lt;D xsi:type="xsd:double"&gt;18.625915673489&lt;/D&gt;&lt;D xsi:type="xsd:double"&gt;18.4360210669924&lt;/D&gt;&lt;D xsi:type="xsd:double"&gt;17.6171861317345&lt;/D&gt;&lt;D xsi:type="xsd:double"&gt;18.2128083911326&lt;/D&gt;&lt;D xsi:type="xsd:double"&gt;18.4705943446422&lt;/D&gt;&lt;D xsi:type="xsd:double"&gt;18.6877126428436&lt;/D&gt;&lt;D xsi:type="xsd:double"&gt;19.2261238662099&lt;/D&gt;&lt;D xsi:type="xsd:double"&gt;18.9951638725181&lt;/D&gt;&lt;D xsi:type="xsd:double"&gt;18.8839493121671&lt;/D&gt;&lt;D xsi:type="xsd:double"&gt;18.9159056910181&lt;/D&gt;&lt;D xsi:type="xsd:double"&gt;18.8425014355962&lt;/D&gt;&lt;D xsi:type="xsd:double"&gt;18.5710067126387&lt;/D&gt;&lt;D xsi:type="xsd:double"&gt;18.5776319996273&lt;/D&gt;&lt;D xsi:type="xsd:double"&gt;18.5695714220574&lt;/D&gt;&lt;/FQL&gt;&lt;FQL&gt;&lt;Q&gt;BRENT-FDS^FG_PRICE_CHANGE(0,-1AY)&lt;/Q&gt;&lt;R&gt;1&lt;/R&gt;&lt;C&gt;1&lt;/C&gt;&lt;D xsi:type="xsd:double"&gt;-7.65756076575608&lt;/D&gt;&lt;/FQL&gt;&lt;FQL&gt;&lt;Q&gt;EWU^FG_PRICE_MAVG(0,,,,200)&lt;/Q&gt;&lt;R&gt;1&lt;/R&gt;&lt;C&gt;1&lt;/C&gt;&lt;D xsi:type="xsd:double"&gt;34.8417&lt;/D&gt;&lt;/FQL&gt;&lt;FQL&gt;&lt;Q&gt;VWO^P_PRICE(0)/P_PRICE_LOW_PR(0,,,,,,"PRICE","INTRA","52W")-1&lt;/Q&gt;&lt;R&gt;1&lt;/R&gt;&lt;C&gt;1&lt;/C&gt;&lt;D xsi:type="xsd:double"&gt;0.27646506&lt;/D&gt;&lt;/FQL&gt;&lt;FQL&gt;&lt;Q&gt;EWD^FG_TOTAL_RETURNC(0,-6AM)&lt;/Q&gt;&lt;R&gt;1&lt;/R&gt;&lt;C&gt;1&lt;/C&gt;&lt;D xsi:type="xsd:double"&gt;5.366218&lt;/D&gt;&lt;/FQL&gt;&lt;FQL&gt;&lt;Q&gt;URTH^FMA_COS_DOWN("EPS","1M",+1,0,,,"PORTAGG","MEANR")&lt;/Q&gt;&lt;R&gt;1&lt;/R&gt;&lt;C&gt;1&lt;/C&gt;&lt;D xsi:type="xsd:double"&gt;565&lt;/D&gt;&lt;/FQL&gt;&lt;FQL&gt;&lt;Q&gt;REFJPTON-FDS^(SUBARRAY(NOT_NA(NO_REPEAT_F(FG_YIELD(NOW,-10AY,D))),0,1)-SUBARRAY(NOT_NA(NO_REPEAT_F(FG_YIELD(NOW,-10AY,D))),1,1))*100&lt;/Q&gt;&lt;R&gt;1&lt;/R&gt;&lt;C&gt;1&lt;/C&gt;&lt;D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xsi:type="xsd:double"&gt;15&lt;/D&gt;&lt;/FQL&gt;&lt;FQL&gt;&lt;Q&gt;TRYUS10Y-FDS^FG_YIELD(0,,,,"YTM")&lt;/Q&gt;&lt;R&gt;1&lt;/R&gt;&lt;C&gt;1&lt;/C&gt;&lt;D xsi:type="xsd:double"&gt;4.0755&lt;/D&gt;&lt;/FQL&gt;&lt;FQL&gt;&lt;Q&gt;SPY^FMA_PE(NTMA,0,,,"PORTAGG","MEANR")&lt;/Q&gt;&lt;R&gt;1&lt;/R&gt;&lt;C&gt;1&lt;/C&gt;&lt;D xsi:type="xsd:double"&gt;21.570619563489&lt;/D&gt;&lt;/FQL&gt;&lt;FQL&gt;&lt;Q&gt;TRYQA10Y-FDS^FG_YIELD(-10AY,0,Y,,"YTM")&lt;/Q&gt;&lt;R&gt;10&lt;/R&gt;&lt;C&gt;1&lt;/C&gt;&lt;D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xsi:type="xsd:string"&gt;@NA&lt;/D&gt;&lt;/FQL&gt;&lt;FQL&gt;&lt;Q&gt;USDITL^FG_PRICE(0)&lt;/Q&gt;&lt;R&gt;1&lt;/R&gt;&lt;C&gt;1&lt;/C&gt;&lt;D xsi:type="xsd:double"&gt;1772.654&lt;/D&gt;&lt;/FQL&gt;&lt;FQL&gt;&lt;Q&gt;EWG^FMA_EPS(NTMA,-20AY,0,CY,,"PORTAGG","MEANR")&lt;/Q&gt;&lt;R&gt;20&lt;/R&gt;&lt;C&gt;1&lt;/C&gt;&lt;D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xsi:type="xsd:double"&gt;2.08815829697001&lt;/D&gt;&lt;D xsi:type="xsd:double"&gt;1.98003612030208&lt;/D&gt;&lt;D xsi:type="xsd:double"&gt;2.44944590598376&lt;/D&gt;&lt;D xsi:type="xsd:double"&gt;2.36386840125656&lt;/D&gt;&lt;D xsi:type="xsd:double"&gt;2.65636172824176&lt;/D&gt;&lt;/FQL&gt;&lt;FQL&gt;&lt;Q&gt;ENZL^JULIAN(FG_TOTAL_RETURNC(-10AY,0,AM).DATES)&lt;/Q&gt;&lt;R&gt;121&lt;/R&gt;&lt;C&gt;1&lt;/C&gt;&lt;D xsi:type="xsd:long"&gt;41922&lt;/D&gt;&lt;D xsi:type="xsd:long"&gt;41953&lt;/D&gt;&lt;D xsi:type="xsd:long"&gt;41983&lt;/D&gt;&lt;D xsi:type="xsd:long"&gt;42013&lt;/D&gt;&lt;D xsi:type="xsd:long"&gt;42045&lt;/D&gt;&lt;D xsi:type="xsd:long"&gt;42073&lt;/D&gt;&lt;D xsi:type="xsd:long"&gt;42104&lt;/D&gt;&lt;D xsi:type="xsd:long"&gt;42132&lt;/D&gt;&lt;D xsi:type="xsd:long"&gt;42165&lt;/D&gt;&lt;D xsi:type="xsd:long"&gt;42195&lt;/D&gt;&lt;D xsi:type="xsd:long"&gt;42226&lt;/D&gt;&lt;D xsi:type="xsd:long"&gt;42257&lt;/D&gt;&lt;D xsi:type="xsd:long"&gt;42286&lt;/D&gt;&lt;D xsi:type="xsd:long"&gt;42318&lt;/D&gt;&lt;D xsi:type="xsd:long"&gt;42348&lt;/D&gt;&lt;D xsi:type="xsd:long"&gt;42377&lt;/D&gt;&lt;D xsi:type="xsd:long"&gt;42410&lt;/D&gt;&lt;D xsi:type="xsd:long"&gt;42439&lt;/D&gt;&lt;D xsi:type="xsd:long"&gt;42468&lt;/D&gt;&lt;D xsi:type="xsd:long"&gt;42500&lt;/D&gt;&lt;D xsi:type="xsd:long"&gt;42531&lt;/D&gt;&lt;D xsi:type="xsd:long"&gt;42559&lt;/D&gt;&lt;D xsi:type="xsd:long"&gt;42592&lt;/D&gt;&lt;D xsi:type="xsd:long"&gt;42622&lt;/D&gt;&lt;D xsi:type="xsd:long"&gt;42653&lt;/D&gt;&lt;D xsi:type="xsd:long"&gt;42684&lt;/D&gt;&lt;D xsi:type="xsd:long"&gt;42713&lt;/D&gt;&lt;D xsi:type="xsd:long"&gt;42745&lt;/D&gt;&lt;D xsi:type="xsd:long"&gt;42776&lt;/D&gt;&lt;D xsi:type="xsd:long"&gt;42804&lt;/D&gt;&lt;D xsi:type="xsd:long"&gt;42835&lt;/D&gt;&lt;D xsi:type="xsd:long"&gt;42865&lt;/D&gt;&lt;D xsi:type="xsd:long"&gt;42895&lt;/D&gt;&lt;D xsi:type="xsd:long"&gt;42926&lt;/D&gt;&lt;D xsi:type="xsd:long"&gt;42957&lt;/D&gt;&lt;D xsi:type="xsd:long"&gt;42986&lt;/D&gt;&lt;D xsi:type="xsd:long"&gt;43018&lt;/D&gt;&lt;D xsi:type="xsd:long"&gt;43049&lt;/D&gt;&lt;D xsi:type="xsd:long"&gt;43077&lt;/D&gt;&lt;D xsi:type="xsd:long"&gt;43110&lt;/D&gt;&lt;D xsi:type="xsd:long"&gt;43140&lt;/D&gt;&lt;D xsi:type="xsd:long"&gt;43168&lt;/D&gt;&lt;D xsi:type="xsd:long"&gt;43200&lt;/D&gt;&lt;D xsi:type="xsd:long"&gt;43230&lt;/D&gt;&lt;D xsi:type="xsd:long"&gt;43259&lt;/D&gt;&lt;D xsi:type="xsd:long"&gt;43291&lt;/D&gt;&lt;D xsi:type="xsd:long"&gt;43322&lt;/D&gt;&lt;D xsi:type="xsd:long"&gt;43353&lt;/D&gt;&lt;D xsi:type="xsd:long"&gt;43383&lt;/D&gt;&lt;D xsi:type="xsd:long"&gt;43413&lt;/D&gt;&lt;D xsi:type="xsd:long"&gt;43444&lt;/D&gt;&lt;D xsi:type="xsd:long"&gt;43475&lt;/D&gt;&lt;D xsi:type="xsd:long"&gt;43504&lt;/D&gt;&lt;D xsi:type="xsd:long"&gt;43532&lt;/D&gt;&lt;D xsi:type="xsd:long"&gt;43565&lt;/D&gt;&lt;D xsi:type="xsd:long"&gt;43595&lt;/D&gt;&lt;D xsi:type="xsd:long"&gt;43626&lt;/D&gt;&lt;D xsi:type="xsd:long"&gt;43656&lt;/D&gt;&lt;D xsi:type="xsd:long"&gt;43686&lt;/D&gt;&lt;D xsi:type="xsd:long"&gt;43718&lt;/D&gt;&lt;D xsi:type="xsd:long"&gt;43748&lt;/D&gt;&lt;D xsi:type="xsd:long"&gt;43777&lt;/D&gt;&lt;D xsi:type="xsd:long"&gt;43809&lt;/D&gt;&lt;D xsi:type="xsd:long"&gt;43840&lt;/D&gt;&lt;D xsi:type="xsd:long"&gt;43871&lt;/D&gt;&lt;D xsi:type="xsd:long"&gt;43900&lt;/D&gt;&lt;D xsi:type="xsd:long"&gt;43930&lt;/D&gt;&lt;D xsi:type="xsd:long"&gt;43959&lt;/D&gt;&lt;D xsi:type="xsd:long"&gt;43992&lt;/D&gt;&lt;D xsi:type="xsd:long"&gt;44022&lt;/D&gt;&lt;D xsi:type="xsd:long"&gt;44053&lt;/D&gt;&lt;D xsi:type="xsd:long"&gt;44084&lt;/D&gt;&lt;D xsi:type="xsd:long"&gt;44113&lt;/D&gt;&lt;D xsi:type="xsd:long"&gt;44145&lt;/D&gt;&lt;D xsi:type="xsd:long"&gt;44175&lt;/D&gt;&lt;D xsi:type="xsd:long"&gt;44204&lt;/D&gt;&lt;D xsi:type="xsd:long"&gt;44237&lt;/D&gt;&lt;D xsi:type="xsd:long"&gt;44265&lt;/D&gt;&lt;D xsi:type="xsd:long"&gt;44295&lt;/D&gt;&lt;D xsi:type="xsd:long"&gt;44326&lt;/D&gt;&lt;D xsi:type="xsd:long"&gt;44357&lt;/D&gt;&lt;D xsi:type="xsd:long"&gt;44386&lt;/D&gt;&lt;D xsi:type="xsd:long"&gt;44418&lt;/D&gt;&lt;D xsi:type="xsd:long"&gt;44449&lt;/D&gt;&lt;D xsi:type="xsd:long"&gt;44477&lt;/D&gt;&lt;D xsi:type="xsd:long"&gt;44510&lt;/D&gt;&lt;D xsi:type="xsd:long"&gt;44540&lt;/D&gt;&lt;D xsi:type="xsd:long"&gt;44571&lt;/D&gt;&lt;D xsi:type="xsd:long"&gt;44602&lt;/D&gt;&lt;D xsi:type="xsd:long"&gt;44630&lt;/D&gt;&lt;D xsi:type="xsd:long"&gt;44659&lt;/D&gt;&lt;D xsi:type="xsd:long"&gt;44691&lt;/D&gt;&lt;D xsi:type="xsd:long"&gt;44722&lt;/D&gt;&lt;D xsi:type="xsd:long"&gt;44750&lt;/D&gt;&lt;D xsi:type="xsd:long"&gt;44783&lt;/D&gt;&lt;D xsi:type="xsd:long"&gt;44813&lt;/D&gt;&lt;D xsi:type="xsd:long"&gt;44844&lt;/D&gt;&lt;D xsi:type="xsd:long"&gt;44875&lt;/D&gt;&lt;D xsi:type="xsd:long"&gt;44904&lt;/D&gt;&lt;D xsi:type="xsd:long"&gt;44936&lt;/D&gt;&lt;D xsi:type="xsd:long"&gt;44967&lt;/D&gt;&lt;D xsi:type="xsd:long"&gt;44995&lt;/D&gt;&lt;D xsi:type="xsd:long"&gt;45026&lt;/D&gt;&lt;D xsi:type="xsd:long"&gt;45056&lt;/D&gt;&lt;D xsi:type="xsd:long"&gt;45086&lt;/D&gt;&lt;D xsi:type="xsd:long"&gt;45117&lt;/D&gt;&lt;D xsi:type="xsd:long"&gt;45148&lt;/D&gt;&lt;D xsi:type="xsd:long"&gt;45177&lt;/D&gt;&lt;D xsi:type="xsd:long"&gt;45209&lt;/D&gt;&lt;D xsi:type="xsd:long"&gt;45240&lt;/D&gt;&lt;D xsi:type="xsd:long"&gt;45268&lt;/D&gt;&lt;D xsi:type="xsd:long"&gt;45301&lt;/D&gt;&lt;D xsi:type="xsd:long"&gt;45331&lt;/D&gt;&lt;D xsi:type="xsd:long"&gt;45359&lt;/D&gt;&lt;D xsi:type="xsd:long"&gt;45392&lt;/D&gt;&lt;D xsi:type="xsd:long"&gt;45422&lt;/D&gt;&lt;D xsi:type="xsd:long"&gt;45453&lt;/D&gt;&lt;D xsi:type="xsd:long"&gt;45483&lt;/D&gt;&lt;D xsi:type="xsd:long"&gt;45513&lt;/D&gt;&lt;D xsi:type="xsd:long"&gt;45545&lt;/D&gt;&lt;D xsi:type="xsd:long"&gt;45575&lt;/D&gt;&lt;/FQL&gt;&lt;FQL&gt;&lt;Q&gt;NI-FDS^FG_PRICE_CHANGE(0,-6AM)&lt;/Q&gt;&lt;R&gt;1&lt;/R&gt;&lt;C&gt;1&lt;/C&gt;&lt;D xsi:type="xsd:double"&gt;-7.72128060263654&lt;/D&gt;&lt;/FQL&gt;&lt;FQL&gt;&lt;Q&gt;FXI^PERCENT_CHANGE(FMA_EPS(+1,0,,,,"PORTAGG","MEAN"),FMA_EPS(+1,-3AM,,,,"PORTAGG","MEAN"))&lt;/Q&gt;&lt;R&gt;1&lt;/R&gt;&lt;C&gt;1&lt;/C&gt;&lt;D xsi:type="xsd:double"&gt;3.98108785600752&lt;/D&gt;&lt;/FQL&gt;&lt;FQL&gt;&lt;Q&gt;EWA^P_PRICE(0)/P_PRICE_LOW_PR(0,,,,,,"PRICE","INTRA","52W")-1&lt;/Q&gt;&lt;R&gt;1&lt;/R&gt;&lt;C&gt;1&lt;/C&gt;&lt;D xsi:type="xsd:double"&gt;0.2864126&lt;/D&gt;&lt;/FQL&gt;&lt;FQL&gt;&lt;Q&gt;EWL^FMA_COS_DOWN("EPS","1M",+1,0,,,"PORTAGG","MEANR")&lt;/Q&gt;&lt;R&gt;1&lt;/R&gt;&lt;C&gt;1&lt;/C&gt;&lt;D xsi:type="xsd:double"&gt;28&lt;/D&gt;&lt;/FQL&gt;&lt;FQL&gt;&lt;Q&gt;EWC^FG_ROE(0)&lt;/Q&gt;&lt;R&gt;1&lt;/R&gt;&lt;C&gt;1&lt;/C&gt;&lt;D xsi:type="xsd:double"&gt;10.7746299545691&lt;/D&gt;&lt;/FQL&gt;&lt;FQL&gt;&lt;Q&gt;TRYGB10Y-FDS^PCTCHG(FG_YIELD(0,,,,"YTM"),FG_YIELD(-3AM,,,,"YTM"))&lt;/Q&gt;&lt;R&gt;1&lt;/R&gt;&lt;C&gt;1&lt;/C&gt;&lt;D xsi:type="xsd:double"&gt;2.2292225&lt;/D&gt;&lt;/FQL&gt;&lt;FQL&gt;&lt;Q&gt;CC_DE^IMF_IFS_RCPI_Q(0)&lt;/Q&gt;&lt;R&gt;0&lt;/R&gt;&lt;C&gt;0&lt;/C&gt;&lt;/FQL&gt;&lt;FQL&gt;&lt;Q&gt;EWD^FMA_EVAL_EBIT(LTMA,NOW,NOW,M,"PORTAGG","MEANR")&lt;/Q&gt;&lt;R&gt;1&lt;/R&gt;&lt;C&gt;1&lt;/C&gt;&lt;D xsi:type="xsd:double"&gt;16.3848982998981&lt;/D&gt;&lt;/FQL&gt;&lt;FQL&gt;&lt;Q&gt;EWJ^FG_FCF_YIELD_NTM(0)&lt;/Q&gt;&lt;R&gt;1&lt;/R&gt;&lt;C&gt;1&lt;/C&gt;&lt;D xsi:type="xsd:double"&gt;4.19010525265888&lt;/D&gt;&lt;/FQL&gt;&lt;FQL&gt;&lt;Q&gt;TLT^FG_TOTAL_RETURNC(0,-1AM)&lt;/Q&gt;&lt;R&gt;1&lt;/R&gt;&lt;C&gt;1&lt;/C&gt;&lt;D xsi:type="xsd:double"&gt;-6.2651515&lt;/D&gt;&lt;/FQL&gt;&lt;FQL&gt;&lt;Q&gt;VWO^FG_TOTAL_RETURNC(0,-6AM)&lt;/Q&gt;&lt;R&gt;1&lt;/R&gt;&lt;C&gt;1&lt;/C&gt;&lt;D xsi:type="xsd:double"&gt;13.854778&lt;/D&gt;&lt;/FQL&gt;&lt;FQL&gt;&lt;Q&gt;CAGDPY@FR^EE_ACTUAL_ANNUAL(MED,0)&lt;/Q&gt;&lt;R&gt;1&lt;/R&gt;&lt;C&gt;1&lt;/C&gt;&lt;D xsi:type="xsd:double"&gt;-1.01851779779094&lt;/D&gt;&lt;/FQL&gt;&lt;FQL&gt;&lt;Q&gt;USDUSD^STD(FG_PRICE_CHANGE(0,-1AY,AM))&lt;/Q&gt;&lt;R&gt;1&lt;/R&gt;&lt;C&gt;1&lt;/C&gt;&lt;D xsi:type="xsd:double"&gt;0&lt;/D&gt;&lt;/FQL&gt;&lt;FQL&gt;&lt;Q&gt;EWN^FMA_DIV_YLD(NTMA,-10AY,0,AM,"PORTAGG","MEANR")&lt;/Q&gt;&lt;R&gt;121&lt;/R&gt;&lt;C&gt;1&lt;/C&gt;&lt;D xsi:type="xsd:double"&gt;3.17750860434438&lt;/D&gt;&lt;D xsi:type="xsd:double"&gt;3.09337213089655&lt;/D&gt;&lt;D xsi:type="xsd:double"&gt;3.05303064014128&lt;/D&gt;&lt;D xsi:type="xsd:double"&gt;3.13375663660281&lt;/D&gt;&lt;D xsi:type="xsd:double"&gt;2.90132679985404&lt;/D&gt;&lt;D xsi:type="xsd:double"&gt;2.69233941433434&lt;/D&gt;&lt;D xsi:type="xsd:double"&gt;2.58310347872124&lt;/D&gt;&lt;D xsi:type="xsd:double"&gt;2.74308993914674&lt;/D&gt;&lt;D xsi:type="xsd:double"&gt;2.90301813356943&lt;/D&gt;&lt;D xsi:type="xsd:double"&gt;2.92066189862663&lt;/D&gt;&lt;D xsi:type="xsd:double"&gt;3.01573246100988&lt;/D&gt;&lt;D xsi:type="xsd:double"&gt;3.45677340934576&lt;/D&gt;&lt;D xsi:type="xsd:double"&gt;3.46208639246176&lt;/D&gt;&lt;D xsi:type="xsd:double"&gt;3.18713642959754&lt;/D&gt;&lt;D xsi:type="xsd:double"&gt;3.31603019282455&lt;/D&gt;&lt;D xsi:type="xsd:double"&gt;3.33034751755042&lt;/D&gt;&lt;D xsi:type="xsd:double"&gt;3.61427746793388&lt;/D&gt;&lt;D xsi:type="xsd:double"&gt;3.37150763903849&lt;/D&gt;&lt;D xsi:type="xsd:double"&gt;3.37669772482865&lt;/D&gt;&lt;D xsi:type="xsd:double"&gt;3.38107009698861&lt;/D&gt;&lt;D xsi:type="xsd:double"&gt;3.2714917012433&lt;/D&gt;&lt;D xsi:type="xsd:double"&gt;3.35386268223975&lt;/D&gt;&lt;D xsi:type="xsd:double"&gt;3.15996090774538&lt;/D&gt;&lt;D xsi:type="xsd:double"&gt;3.15535955984215&lt;/D&gt;&lt;D xsi:type="xsd:double"&gt;3.0996177957562&lt;/D&gt;&lt;D xsi:type="xsd:double"&gt;3.18026900044491&lt;/D&gt;&lt;D xsi:type="xsd:double"&gt;3.04139651137152&lt;/D&gt;&lt;D xsi:type="xsd:double"&gt;2.95718109789035&lt;/D&gt;&lt;D xsi:type="xsd:double"&gt;2.915858114188&lt;/D&gt;&lt;D xsi:type="xsd:double"&gt;2.77039631952978&lt;/D&gt;&lt;D xsi:type="xsd:double"&gt;2.77118667090137&lt;/D&gt;&lt;D xsi:type="xsd:double"&gt;2.69064199766024&lt;/D&gt;&lt;D xsi:type="xsd:double"&gt;2.70111645765119&lt;/D&gt;&lt;D xsi:type="xsd:double"&gt;2.80965258103376&lt;/D&gt;&lt;D xsi:type="xsd:double"&gt;2.78796218209206&lt;/D&gt;&lt;D xsi:type="xsd:double"&gt;2.87125936927571&lt;/D&gt;&lt;D xsi:type="xsd:double"&gt;2.77266747017675&lt;/D&gt;&lt;D xsi:type="xsd:double"&gt;2.80115736908361&lt;/D&gt;&lt;D xsi:type="xsd:double"&gt;2.82185326854052&lt;/D&gt;&lt;D xsi:type="xsd:double"&gt;2.7916311140405&lt;/D&gt;&lt;D xsi:type="xsd:double"&gt;2.99428155186221&lt;/D&gt;&lt;D xsi:type="xsd:double"&gt;2.90740052526616&lt;/D&gt;&lt;D xsi:type="xsd:double"&gt;2.93984529197824&lt;/D&gt;&lt;D xsi:type="xsd:double"&gt;2.90221969567313&lt;/D&gt;&lt;D xsi:type="xsd:double"&gt;2.87028654803631&lt;/D&gt;&lt;D xsi:type="xsd:double"&gt;2.93194499626634&lt;/D&gt;&lt;D xsi:type="xsd:double"&gt;2.90400840329892&lt;/D&gt;&lt;D xsi:type="xsd:double"&gt;3.02938326996796&lt;/D&gt;&lt;D xsi:type="xsd:double"&gt;3.16112823293073&lt;/D&gt;&lt;D xsi:type="xsd:double"&gt;3.1656999123636&lt;/D&gt;&lt;D xsi:type="xsd:double"&gt;3.4110619147704&lt;/D&gt;&lt;D xsi:type="xsd:double"&gt;3.39810648815077&lt;/D&gt;&lt;D xsi:type="xsd:double"&gt;3.22128660039107&lt;/D&gt;&lt;D xsi:type="xsd:double"&gt;3.15724848194982&lt;/D&gt;&lt;D xsi:type="xsd:double"&gt;3.01332501797127&lt;/D&gt;&lt;D xsi:type="xsd:double"&gt;3.05710668139763&lt;/D&gt;&lt;D xsi:type="xsd:double"&gt;3.09011087386555&lt;/D&gt;&lt;D xsi:type="xsd:double"&gt;2.99043056489699&lt;/D&gt;&lt;D xsi:type="xsd:double"&gt;3.03754782768631&lt;/D&gt;&lt;D xsi:type="xsd:double"&gt;2.88655083830224&lt;/D&gt;&lt;D xsi:type="xsd:double"&gt;2.79729013007261&lt;/D&gt;&lt;D xsi:type="xsd:double"&gt;2.65550877340647&lt;/D&gt;&lt;D xsi:type="xsd:double"&gt;2.64349567728135&lt;/D&gt;&lt;D xsi:type="xsd:double"&gt;2.57652895081943&lt;/D&gt;&lt;D xsi:type="xsd:double"&gt;2.52785888725597&lt;/D&gt;&lt;D xsi:type="xsd:double"&gt;3.16175788108818&lt;/D&gt;&lt;D xsi:type="xsd:double"&gt;2.8833964806587&lt;/D&gt;&lt;D xsi:type="xsd:double"&gt;2.64932175362849&lt;/D&gt;&lt;D xsi:type="xsd:double"&gt;2.40758757670786&lt;/D&gt;&lt;D xsi:type="xsd:double"&gt;2.32345436308004&lt;/D&gt;&lt;D xsi:type="xsd:double"&gt;2.38053951739588&lt;/D&gt;&lt;D xsi:type="xsd:double"&gt;2.32938336202576&lt;/D&gt;&lt;D xsi:type="xsd:double"&gt;2.27544631956116&lt;/D&gt;&lt;D xsi:type="xsd:double"&gt;2.21172330571213&lt;/D&gt;&lt;D xsi:type="xsd:double"&gt;2.06267522394209&lt;/D&gt;&lt;D xsi:type="xsd:double"&gt;1.92727039383469&lt;/D&gt;&lt;D xsi:type="xsd:double"&gt;1.92511845706284&lt;/D&gt;&lt;D xsi:type="xsd:double"&gt;2.02969939822245&lt;/D&gt;&lt;D xsi:type="xsd:double"&gt;1.90472064936588&lt;/D&gt;&lt;D xsi:type="xsd:double"&gt;1.96103095109799&lt;/D&gt;&lt;D xsi:type="xsd:double"&gt;1.99471632744488&lt;/D&gt;&lt;D xsi:type="xsd:double"&gt;2.02574283996592&lt;/D&gt;&lt;D xsi:type="xsd:double"&gt;1.89752047246591&lt;/D&gt;&lt;D xsi:type="xsd:double"&gt;1.85198660892642&lt;/D&gt;&lt;D xsi:type="xsd:double"&gt;1.9842497175398&lt;/D&gt;&lt;D xsi:type="xsd:double"&gt;1.8582559584268&lt;/D&gt;&lt;D xsi:type="xsd:double"&gt;1.9770197803366&lt;/D&gt;&lt;D xsi:type="xsd:double"&gt;2.02692271781322&lt;/D&gt;&lt;D xsi:type="xsd:double"&gt;2.18074420490119&lt;/D&gt;&lt;D xsi:type="xsd:double"&gt;2.45972648534006&lt;/D&gt;&lt;D xsi:type="xsd:double"&gt;2.29944399687645&lt;/D&gt;&lt;D xsi:type="xsd:double"&gt;2.66211742094126&lt;/D&gt;&lt;D xsi:type="xsd:double"&gt;2.64469720276448&lt;/D&gt;&lt;D xsi:typ</t>
        </r>
      </text>
    </comment>
    <comment ref="A10" authorId="0" shapeId="0" xr:uid="{4D2D33AE-85D2-484C-8106-2E5A052254F6}">
      <text>
        <r>
          <rPr>
            <b/>
            <sz val="9"/>
            <color indexed="81"/>
            <rFont val="Tahoma"/>
            <charset val="1"/>
          </rPr>
          <t>e="xsd:double"&gt;3.35687439105119&lt;/D&gt;&lt;D xsi:type="xsd:double"&gt;3.08611033660124&lt;/D&gt;&lt;D xsi:type="xsd:double"&gt;3.67773049128445&lt;/D&gt;&lt;D xsi:type="xsd:double"&gt;3.07850427929858&lt;/D&gt;&lt;D xsi:type="xsd:double"&gt;2.74486090298105&lt;/D&gt;&lt;D xsi:type="xsd:double"&gt;2.64607514561409&lt;/D&gt;&lt;D xsi:type="xsd:double"&gt;2.61557931298847&lt;/D&gt;&lt;D xsi:type="xsd:double"&gt;2.58519450278685&lt;/D&gt;&lt;D xsi:type="xsd:double"&gt;2.72543759070081&lt;/D&gt;&lt;D xsi:type="xsd:double"&gt;2.67776125237901&lt;/D&gt;&lt;D xsi:type="xsd:double"&gt;2.69551150586662&lt;/D&gt;&lt;D xsi:type="xsd:double"&gt;2.6816749498208&lt;/D&gt;&lt;D xsi:type="xsd:double"&gt;2.7402987825312&lt;/D&gt;&lt;D xsi:type="xsd:double"&gt;2.72533044578919&lt;/D&gt;&lt;D xsi:type="xsd:double"&gt;2.95769710003352&lt;/D&gt;&lt;D xsi:type="xsd:double"&gt;2.98591651939419&lt;/D&gt;&lt;D xsi:type="xsd:double"&gt;2.91257420792312&lt;/D&gt;&lt;D xsi:type="xsd:double"&gt;2.72909087771923&lt;/D&gt;&lt;D xsi:type="xsd:double"&gt;2.72971061599483&lt;/D&gt;&lt;D xsi:type="xsd:double"&gt;2.47229034478904&lt;/D&gt;&lt;D xsi:type="xsd:double"&gt;2.56827217125521&lt;/D&gt;&lt;D xsi:type="xsd:double"&gt;2.51734957692911&lt;/D&gt;&lt;D xsi:type="xsd:double"&gt;2.46556235600193&lt;/D&gt;&lt;D xsi:type="xsd:double"&gt;2.41943689596561&lt;/D&gt;&lt;D xsi:type="xsd:double"&gt;2.44159962802335&lt;/D&gt;&lt;D xsi:type="xsd:double"&gt;2.67270415758778&lt;/D&gt;&lt;D xsi:type="xsd:double"&gt;2.75135226992118&lt;/D&gt;&lt;D xsi:type="xsd:double"&gt;2.60901443508295&lt;/D&gt;&lt;/FQL&gt;&lt;FQL&gt;&lt;Q&gt;EWG^FMA_PE(LTMA,-10AY,0,AM,"PORTAGG","MEANR")&lt;/Q&gt;&lt;R&gt;121&lt;/R&gt;&lt;C&gt;1&lt;/C&gt;&lt;D xsi:type="xsd:double"&gt;13.2688778334265&lt;/D&gt;&lt;D xsi:type="xsd:double"&gt;13.7736439463303&lt;/D&gt;&lt;D xsi:type="xsd:double"&gt;14.3185857588188&lt;/D&gt;&lt;D xsi:type="xsd:double"&gt;14.0789368329184&lt;/D&gt;&lt;D xsi:type="xsd:double"&gt;15.5307254768009&lt;/D&gt;&lt;D xsi:type="xsd:double"&gt;16.4628273565906&lt;/D&gt;&lt;D xsi:type="xsd:double"&gt;16.646122667963&lt;/D&gt;&lt;D xsi:type="xsd:double"&gt;16.2211010336008&lt;/D&gt;&lt;D xsi:type="xsd:double"&gt;15.7431464532222&lt;/D&gt;&lt;D xsi:type="xsd:double"&gt;15.5554574828692&lt;/D&gt;&lt;D xsi:type="xsd:double"&gt;15.5544534236072&lt;/D&gt;&lt;D xsi:type="xsd:double"&gt;14.2789617138508&lt;/D&gt;&lt;D xsi:type="xsd:double"&gt;13.9774515135673&lt;/D&gt;&lt;D xsi:type="xsd:double"&gt;14.4369272692036&lt;/D&gt;&lt;D xsi:type="xsd:double"&gt;14.0307707655437&lt;/D&gt;&lt;D xsi:type="xsd:double"&gt;12.8407409301555&lt;/D&gt;&lt;D xsi:type="xsd:double"&gt;11.9640017683158&lt;/D&gt;&lt;D xsi:type="xsd:double"&gt;12.6363150314532&lt;/D&gt;&lt;D xsi:type="xsd:double"&gt;12.6768696427742&lt;/D&gt;&lt;D xsi:type="xsd:double"&gt;12.8442611240172&lt;/D&gt;&lt;D xsi:type="xsd:double"&gt;12.7200029920131&lt;/D&gt;&lt;D xsi:type="xsd:double"&gt;12.6206342876968&lt;/D&gt;&lt;D xsi:type="xsd:double"&gt;13.3834389510508&lt;/D&gt;&lt;D xsi:type="xsd:double"&gt;13.5332344123155&lt;/D&gt;&lt;D xsi:type="xsd:double"&gt;13.7114014743591&lt;/D&gt;&lt;D xsi:type="xsd:double"&gt;13.6520576827131&lt;/D&gt;&lt;D xsi:type="xsd:double"&gt;14.3636267024595&lt;/D&gt;&lt;D xsi:type="xsd:double"&gt;14.8889003771866&lt;/D&gt;&lt;D xsi:type="xsd:double"&gt;14.9245788584118&lt;/D&gt;&lt;D xsi:type="xsd:double"&gt;14.9697675917959&lt;/D&gt;&lt;D xsi:type="xsd:double"&gt;14.9185666000797&lt;/D&gt;&lt;D xsi:type="xsd:double"&gt;14.9404741215434&lt;/D&gt;&lt;D xsi:type="xsd:double"&gt;14.8163297120057&lt;/D&gt;&lt;D xsi:type="xsd:double"&gt;14.5424832449412&lt;/D&gt;&lt;D xsi:type="xsd:double"&gt;14.148096896456&lt;/D&gt;&lt;D xsi:type="xsd:double"&gt;14.2073531703741&lt;/D&gt;&lt;D xsi:type="xsd:double"&gt;14.7253611853854&lt;/D&gt;&lt;D xsi:type="xsd:double"&gt;15.2540062124712&lt;/D&gt;&lt;D xsi:type="xsd:double"&gt;15.4888879527074&lt;/D&gt;&lt;D xsi:type="xsd:double"&gt;15.6091637023245&lt;/D&gt;&lt;D xsi:type="xsd:double"&gt;14.0776883634533&lt;/D&gt;&lt;D xsi:type="xsd:double"&gt;14.229153280713&lt;/D&gt;&lt;D xsi:type="xsd:double"&gt;14.139155638959&lt;/D&gt;&lt;D xsi:type="xsd:double"&gt;14.2354617258418&lt;/D&gt;&lt;D xsi:type="xsd:double"&gt;14.1196296975432&lt;/D&gt;&lt;D xsi:type="xsd:double"&gt;14.0667581632572&lt;/D&gt;&lt;D xsi:type="xsd:double"&gt;13.9825843129578&lt;/D&gt;&lt;D xsi:type="xsd:double"&gt;13.7498031183616&lt;/D&gt;&lt;D xsi:type="xsd:double"&gt;13.4143917234303&lt;/D&gt;&lt;D xsi:type="xsd:double"&gt;13.1517536795005&lt;/D&gt;&lt;D xsi:type="xsd:double"&gt;12.2488921903192&lt;/D&gt;&lt;D xsi:type="xsd:double"&gt;12.47694484853&lt;/D&gt;&lt;D xsi:type="xsd:double"&gt;12.6318446564247&lt;/D&gt;&lt;D xsi:type="xsd:double"&gt;13.1967730997372&lt;/D&gt;&lt;D xsi:type="xsd:double"&gt;13.249700055405&lt;/D&gt;&lt;D xsi:type="xsd:double"&gt;13.2771545266368&lt;/D&gt;&lt;D xsi:type="xsd:double"&gt;13.1821021361834&lt;/D&gt;&lt;D xsi:type="xsd:double"&gt;13.5173127466227&lt;/D&gt;&lt;D xsi:type="xsd:double"&gt;13.3144695032251&lt;/D&gt;&lt;D xsi:type="xsd:double"&gt;13.9455702542618&lt;/D&gt;&lt;D xsi:type="xsd:double"&gt;13.9016769578068&lt;/D&gt;&lt;D xsi:type="xsd:double"&gt;15.1694182595225&lt;/D&gt;&lt;D xsi:type="xsd:double"&gt;15.141784690349&lt;/D&gt;&lt;D xsi:type="xsd:double"&gt;15.7657294560425&lt;/D&gt;&lt;D xsi:type="xsd:double"&gt;15.5501724610897&lt;/D&gt;&lt;D xsi:type="xsd:double"&gt;13.7366134476458&lt;/D&gt;&lt;D xsi:type="xsd:double"&gt;14.2755371447749&lt;/D&gt;&lt;D xsi:type="xsd:double"&gt;15.2582534608364&lt;/D&gt;&lt;D xsi:type="xsd:double"&gt;17.2279519768765&lt;/D&gt;&lt;D xsi:type="xsd:double"&gt;18.4257868448707&lt;/D&gt;&lt;D xsi:type="xsd:double"&gt;19.1655117792265&lt;/D&gt;&lt;D xsi:type="xsd:double"&gt;20.4567843304227&lt;/D&gt;&lt;D xsi:type="xsd:double"&gt;20.6697172440498&lt;/D&gt;&lt;D xsi:type="xsd:double"&gt;20.3869870155489&lt;/D&gt;&lt;D xsi:type="xsd:double"&gt;20.9595620659785&lt;/D&gt;&lt;D xsi:type="xsd:double"&gt;22.3778802773774&lt;/D&gt;&lt;D xsi:type="xsd:double"&gt;21.2378971225286&lt;/D&gt;&lt;D xsi:type="xsd:double"&gt;20.2515462624353&lt;/D&gt;&lt;D xsi:type="xsd:double"&gt;19.9978889789909&lt;/D&gt;&lt;D xsi:type="xsd:double"&gt;19.1875270447972&lt;/D&gt;&lt;D xsi:type="xsd:double"&gt;18.7119468645825&lt;/D&gt;&lt;D xsi:type="xsd:double"&gt;18.1967916758844&lt;/D&gt;&lt;D xsi:type="xsd:double"&gt;17.3526349030299&lt;/D&gt;&lt;D xsi:type="xsd:double"&gt;16.620089408538&lt;/D&gt;&lt;D xsi:type="xsd:double"&gt;15.8636020501288&lt;/D&gt;&lt;D xsi:type="xsd:double"&gt;15.4334790938274&lt;/D&gt;&lt;D xsi:type="xsd:double"&gt;14.382121099526&lt;/D&gt;&lt;D xsi:type="xsd:double"&gt;13.9714910154924&lt;/D&gt;&lt;D xsi:type="xsd:double"&gt;13.5099659807709&lt;/D&gt;&lt;D xsi:type="xsd:double"&gt;12.3413183254683&lt;/D&gt;&lt;D xsi:type="xsd:double"&gt;12.3990685325358&lt;/D&gt;&lt;D xsi:type="xsd:double"&gt;11.9683411922673&lt;/D&gt;&lt;D xsi:type="xsd:double"&gt;11.8684936581831&lt;/D&gt;&lt;D xsi:type="xsd:double"&gt;11.4581765417236&lt;/D&gt;&lt;D xsi:type="xsd:double"&gt;11.3030930641877&lt;/D&gt;&lt;D xsi:type="xsd:double"&gt;10.8861633435855&lt;/D&gt;&lt;D xsi:type="xsd:double"&gt;10.0654127640999&lt;/D&gt;&lt;D xsi:type="xsd:double"&gt;10.9427132468282&lt;/D&gt;&lt;D xsi:type="xsd:double"&gt;10.8304330094286&lt;/D&gt;&lt;D xsi:type="xsd:double"&gt;11.1409201267487&lt;/D&gt;&lt;D xsi:type="xsd:double"&gt;11.5528098847402&lt;/D&gt;&lt;D xsi:type="xsd:double"&gt;11.3525927837404&lt;/D&gt;&lt;D xsi:type="xsd:double"&gt;11.3720208059723&lt;/D&gt;&lt;D xsi:type="xsd:double"&gt;11.3543554253988&lt;/D&gt;&lt;D xsi:type="xsd:double"&gt;11.232146150223&lt;/D&gt;&lt;D xsi:type="xsd:double"&gt;11.1153029141009&lt;/D&gt;&lt;D xsi:type="xsd:double"&gt;11.2895271259519&lt;/D&gt;&lt;D xsi:type="xsd:double"&gt;11.1951347308791&lt;/D&gt;&lt;D xsi:type="xsd:double"&gt;11.0782689072825&lt;/D&gt;&lt;D xsi:type="xsd:double"&gt;10.9770353651854&lt;/D&gt;&lt;D xsi:type="xsd:double"&gt;11.9231253787269&lt;/D&gt;&lt;D xsi:type="xsd:double"&gt;11.8885656600897&lt;/D&gt;&lt;D xsi:type="xsd:double"&gt;12.0273123054048&lt;/D&gt;&lt;D xsi:type="xsd:double"&gt;12.529621998841&lt;/D&gt;&lt;D xsi:type="xsd:double"&gt;12.5546326740262&lt;/D&gt;&lt;D xsi:type="xsd:double"&gt;12.6228355646793&lt;/D&gt;&lt;D xsi:type="xsd:double"&gt;12.5369221158547&lt;/D&gt;&lt;D xsi:type="xsd:double"&gt;12.5270491213926&lt;/D&gt;&lt;D xsi:type="xsd:double"&gt;12.3077672313687&lt;/D&gt;&lt;D xsi:type="xsd:double"&gt;12.7639111167391&lt;/D&gt;&lt;D xsi:type="xsd:double"&gt;13.5627497044331&lt;/D&gt;&lt;/FQL&gt;&lt;FQL&gt;&lt;Q&gt;BRENT-FDS^FG_PRICE_CHANGE(0,-6AM)&lt;/Q&gt;&lt;R&gt;1&lt;/R&gt;&lt;C&gt;1&lt;/C&gt;&lt;D xsi:type="xsd:double"&gt;0&lt;/D&gt;&lt;/FQL&gt;&lt;FQL&gt;&lt;Q&gt;EWU^FG_PRICE_MAVG(0,,,,60)&lt;/Q&gt;&lt;R&gt;1&lt;/R&gt;&lt;C&gt;1&lt;/C&gt;&lt;D xsi:type="xsd:double"&gt;36.52133&lt;/D&gt;&lt;/FQL&gt;&lt;FQL&gt;&lt;Q&gt;EWJ^FMA_ROE(NTMA,-20AY,NOW,FY,"PORTAGG","MEANR")&lt;/Q&gt;&lt;R&gt;20&lt;/R&gt;&lt;C&gt;1&lt;/C&gt;&lt;D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xsi:type="xsd:double"&gt;8.35596275667646&lt;/D&gt;&lt;D xsi:type="xsd:double"&gt;7.43859925247352&lt;/D&gt;&lt;D xsi:type="xsd:double"&gt;9.22076555096594&lt;/D&gt;&lt;D xsi:type="xsd:double"&gt;9.2254454729258&lt;/D&gt;&lt;D xsi:type="xsd:double"&gt;9.29976861764374&lt;/D&gt;&lt;/FQL&gt;&lt;FQL&gt;&lt;Q&gt;TRYTR7Y-FDS^FG_YIELD(-10AY,0,Y,,"YTM")&lt;/Q&gt;&lt;R&gt;10&lt;/R&gt;&lt;C&gt;1&lt;/C&gt;&lt;D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xsi:type="xsd:double"&gt;21.984322&lt;/D&gt;&lt;/FQL&gt;&lt;FQL&gt;&lt;Q&gt;WL-FDS^FG_PRICE(0)/MAX(FG_PRICE(0,-1AY))&lt;/Q&gt;&lt;R&gt;1&lt;/R&gt;&lt;C&gt;1&lt;/C&gt;&lt;D xsi:type="xsd:double"&gt;0.742336913806655&lt;/D&gt;&lt;/FQL&gt;&lt;FQL&gt;&lt;Q&gt;CPALM-FDS^FG_PRICE_CHANGE(0,-3AM)&lt;/Q&gt;&lt;R&gt;1&lt;/R&gt;&lt;C&gt;1&lt;/C&gt;&lt;D xsi:type="xsd:double"&gt;8.80440220110055&lt;/D&gt;&lt;/FQL&gt;&lt;FQL&gt;&lt;Q&gt;EWG^FG_PRICE(0)&lt;/Q&gt;&lt;R&gt;1&lt;/R&gt;&lt;C&gt;1&lt;/C&gt;&lt;D xsi:type="xsd:double"&gt;32.97&lt;/D&gt;&lt;/FQL&gt;&lt;FQL&gt;&lt;Q&gt;EWA^FMA_COS_UP("EPS","1M",+1,0,,,"PORTAGG","MEANR")&lt;/Q&gt;&lt;R&gt;1&lt;/R&gt;&lt;C&gt;1&lt;/C&gt;&lt;D xsi:type="xsd:double"&gt;20&lt;/D&gt;&lt;/FQL&gt;&lt;FQL&gt;&lt;Q&gt;REFNZOCR-FDS^(SUBARRAY(NOT_NA(NO_REPEAT_F(FG_YIELD(NOW,-10AY,D))),0,1)-SUBARRAY(NOT_NA(NO_REPEAT_F(FG_YIELD(NOW,-10AY,D))),1,1))*100&lt;/Q&gt;&lt;R&gt;1&lt;/R&gt;&lt;C&gt;1&lt;/C&gt;&lt;D xsi:type="xsd:double"&gt;-50&lt;/D&gt;&lt;/FQL&gt;&lt;FQL&gt;&lt;Q&gt;TRYNZ10Y-FDS^PCTCHG(FG_YIELD(0,,,,"YTM"),FG_YIELD(-1AM,,,,"YTM"))&lt;/Q&gt;&lt;R&gt;1&lt;/R&gt;&lt;C&gt;1&lt;/C&gt;&lt;D xsi:type="xsd:double"&gt;3.5143187&lt;/D&gt;&lt;/FQL&gt;&lt;FQL&gt;&lt;Q&gt;VGK^FMA_EVAL_EBITDA(NTMA,0,,,"PORTAGG","MEANR")&lt;/Q&gt;&lt;R&gt;1&lt;/R&gt;&lt;C&gt;1&lt;/C&gt;&lt;D xsi:type="xsd:double"&gt;9.05765139470749&lt;/D&gt;&lt;/FQL&gt;&lt;FQL&gt;&lt;Q&gt;EWJ^P_PRICE(0)/P_PRICE_HIGH_PR(0,,,USD,,,"PRICE","INTRA","52W")&lt;/Q&gt;&lt;R&gt;1&lt;/R&gt;&lt;C&gt;1&lt;/C&gt;&lt;D xsi:type="xsd:double"&gt;0.9680503&lt;/D&gt;&lt;/FQL&gt;&lt;FQL&gt;&lt;Q&gt;UUP^FG_TOTAL_RETURNC(0,-6AM)&lt;/Q&gt;&lt;R&gt;1&lt;/R&gt;&lt;C&gt;1&lt;/C&gt;&lt;D xsi:type="xsd:double"&gt;0.76949596&lt;/D&gt;&lt;/FQL&gt;&lt;FQL&gt;&lt;Q&gt;CAGDPY@CA^EE_ACTUAL_ANNUAL(MED,+1)&lt;/Q&gt;&lt;R&gt;1&lt;/R&gt;&lt;C&gt;1&lt;/C&gt;&lt;D xsi:type="xsd:double"&gt;-1&lt;/D&gt;&lt;/FQL&gt;&lt;FQL&gt;&lt;Q&gt;USDCHF^STD(FG_PRICE_CHANGE(0,-3AY,M))&lt;/Q&gt;&lt;R&gt;1&lt;/R&gt;&lt;C&gt;1&lt;/C&gt;&lt;D xsi:type="xsd:double"&gt;2.45675419118825&lt;/D&gt;&lt;/FQL&gt;&lt;FQL&gt;&lt;Q&gt;USDAUD^FG_PRICE_CHANGE(0,-1AM)&lt;/Q&gt;&lt;R&gt;1&lt;/R&gt;&lt;C&gt;1&lt;/C&gt;&lt;D xsi:type="xsd:double"&gt;-1.0934174&lt;/D&gt;&lt;/FQL&gt;&lt;FQL&gt;&lt;Q&gt;EWI^FG_TOTAL_RETURNC(-10AY,0,AM)&lt;/Q&gt;&lt;R&gt;121&lt;/R&gt;&lt;C&gt;1&lt;/C&gt;&lt;D xsi:type="xsd:double"&gt;-11.33005&lt;/D&gt;&lt;D xsi:type="xsd:double"&gt;-0.4166603&lt;/D&gt;&lt;D xsi:type="xsd:double"&gt;-0.9762943&lt;/D&gt;&lt;D xsi:type="xsd:double"&gt;-8.807219&lt;/D&gt;&lt;D xsi:type="xsd:double"&gt;8.63142&lt;/D&gt;&lt;D xsi:type="xsd:double"&gt;1.5748024&lt;/D&gt;&lt;D xsi:type="xsd:double"&gt;6.3424945&lt;/D&gt;&lt;D xsi:type="xsd:double"&gt;3.5785317&lt;/D&gt;&lt;D xsi:type="xsd:double"&gt;0.83173513&lt;/D&gt;&lt;D xsi:type="xsd:double"&gt;-1.2084305&lt;/D&gt;&lt;D xsi:type="xsd:double"&gt;3.7908435&lt;/D&gt;&lt;D xsi:type="xsd:double"&gt;-6.171286&lt;/D&gt;&lt;D xsi:type="xsd:double"&gt;2.2147655&lt;/D&gt;&lt;D xsi:type="xsd:double"&gt;-5.1214695&lt;/D&gt;&lt;D xsi:type="xsd:double"&gt;-3.1833887&lt;/D&gt;&lt;D xsi:type="xsd:double"&gt;-7.512653&lt;/D&gt;&lt;D xsi:type="xsd:double"&gt;-14.031005&lt;/D&gt;&lt;D xsi:type="xsd:double"&gt;8.746624&lt;/D&gt;&lt;D xsi:type="xsd:double"&gt;-2.487564&lt;/D&gt;&lt;D xsi:type="xsd:double"&gt;3.401363&lt;/D&gt;&lt;D xsi:type="xsd:double"&gt;-4.194081&lt;/D&gt;&lt;D xsi:type="xsd:double"&gt;-6.8619013&lt;/D&gt;&lt;D xsi:type="xsd:double"&gt;5.971563&lt;/D&gt;&lt;D xsi:type="xsd:double"&gt;2.0572424&lt;/D&gt;&lt;D xsi:type="xsd:double"&gt;-2.9798448&lt;/D&gt;&lt;D xsi:type="xsd:double"&gt;0.1355052&lt;/D&gt;&lt;D xsi:type="xsd:double"&gt;5.9539914&lt;/D&gt;&lt;D xsi:type="xsd:double"&gt;5.0472736&lt;/D&gt;&lt;D xsi:type="xsd:double"&gt;-3.1901896&lt;/D&gt;&lt;D xsi:type="xsd:double"&gt;4.267001&lt;/D&gt;&lt;D xsi:type="xsd:double"&gt;1.9043684&lt;/D&gt;&lt;D xsi:type="xsd:double"&gt;9.940362&lt;/D&gt;&lt;D xsi:type="xsd:double"&gt;2.0976543&lt;/D&gt;&lt;D xsi:type="xsd:double"&gt;2.0725489&lt;/D&gt;&lt;D xsi:type="xsd:double"&gt;5.0530076&lt;/D&gt;&lt;D xsi:type="xsd:double"&gt;3.0945182&lt;/D&gt;&lt;D xsi:type="xsd:double"&gt;1.3376832&lt;/D&gt;&lt;D xsi:type="xsd:double"&gt;-0.9014785&lt;/D&gt;&lt;D xsi:type="xsd:double"&gt;1.8518567&lt;/D&gt;&lt;D xsi:type="xsd:double"&gt;2.9251814&lt;/D&gt;&lt;D xsi:type="xsd:double"&gt;-1.2153327&lt;/D&gt;&lt;D xsi:type="xsd:double"&gt;2.7129412&lt;/D&gt;&lt;D xsi:type="xsd:double"&gt;2.3341417&lt;/D&gt;&lt;D xsi:type="xsd:double"&gt;0.2701044&lt;/D&gt;&lt;D xsi:type="xsd:double"&gt;-11.433702&lt;/D&gt;&lt;D xsi:type="xsd:double"&gt;3.1496048&lt;/D&gt;&lt;D xsi:type="xsd:double"&gt;-6.5005064&lt;/D&gt;&lt;D xsi:type="xsd:double"&gt;0.79250336&lt;/D&gt;&lt;D xsi:type="xsd:double"&gt;-6.325948&lt;/D&gt;&lt;D xsi:type="xsd:double"&gt;-2.8996527&lt;/D&gt;&lt;D xsi:type="xsd:double"&gt;-2.946955&lt;/D&gt;&lt;D xsi:type="xsd:double"&gt;5.501163&lt;/D&gt;&lt;D xsi:type="xsd:double"&gt;-0.54410696&lt;/D&gt;&lt;D xsi:type="xsd:double"&gt;4.7284007&lt;/D&gt;&lt;D xsi:type="xsd:double"&gt;4.925382&lt;/D&gt;&lt;D xsi:type="xsd:double"&gt;-2.7382672&lt;/D&gt;&lt;D xsi:type="xsd:double"&gt;-0.25594234&lt;/D&gt;&lt;D xsi:type="xsd:double"&gt;7.8421474&lt;/D&gt;&lt;D xsi:type="xsd:double"&gt;-8.793527&lt;/D&gt;&lt;D xsi:type="xsd:double"&gt;6.67181&lt;/D&gt;&lt;D xsi:type="xsd:double"&gt;-1.1207521&lt;/D&gt;&lt;D xsi:type="xsd:double"&gt;7.861054&lt;/D&gt;&lt;D xsi:type="xsd:double"&gt;-2.3389876&lt;/D&gt;&lt;D xsi:type="xsd:double"&gt;3.66714&lt;/D&gt;&lt;D xsi:type="xsd:double"&gt;0.7417321&lt;/D&gt;&lt;D xsi:type="xsd:double"&gt;-21.82061&lt;/D&gt;&lt;D xsi:type="xsd:double"&gt;-7.962328&lt;/D&gt;&lt;D xsi:type="xsd:double"&gt;-3.3023238&lt;/D&gt;&lt;D xsi:type="xsd:double"&gt;19.480515&lt;/D&gt;&lt;D xsi:type="xsd:double"&gt;1.1682391&lt;/D&gt;&lt;D xsi:type="xsd:double"&gt;2.8950572&lt;/D&gt;&lt;D xsi:type="xsd:double"&gt;-0.42985678&lt;/D&gt;&lt;D xsi:type="xsd:double"&gt;-0.9419143&lt;/D&gt;&lt;D xsi:type="xsd:double"&gt;6.7353487&lt;/D&gt;&lt;D xsi:type="xsd:double"&gt;8.537483&lt;/D&gt;&lt;D xsi:type="xsd:double"&gt;4.7569156&lt;/D&gt;&lt;D xsi:type="xsd:double"&gt;0.6583333&lt;/D&gt;&lt;D xsi:type="xsd:double"&gt;2.1909714&lt;/D&gt;&lt;D xsi:type="xsd:double"&gt;1.4080048&lt;/D&gt;&lt;D xsi:type="xsd:double"&gt;3.1555653&lt;/D&gt;&lt;D xsi:type="xsd:double"&gt;4.0988564&lt;/D&gt;&lt;D xsi:type="xsd:double"&gt;-4.1939316&lt;/D&gt;&lt;D xsi:type="xsd:double"&gt;2.9493928&lt;/D&gt;&lt;D xsi:type="xsd:double"&gt;-2.5934875&lt;/D&gt;&lt;D xsi:type="xsd:double"&gt;0&lt;/D&gt;&lt;D xsi:type="xsd:double"&gt;4.4891715&lt;/D&gt;&lt;D xsi:type="xsd:double"&gt;-3.4666598&lt;/D&gt;&lt;D xsi:type="xsd:double"&gt;2.9493093&lt;/D&gt;&lt;D xsi:type="xsd:double"&gt;-0.423342&lt;/D&gt;&lt;D xsi:type="xsd:double"&gt;-17.309444&lt;/D&gt;&lt;D xsi:type="xsd:double"&gt;7.0510507&lt;/D&gt;&lt;D xsi:type="xsd:double"&gt;-8.850771&lt;/D&gt;&lt;D xsi:type="xsd:double"&gt;-2.0122647&lt;/D&gt;&lt;D xsi:type="xsd:double"&gt;-6.1757684&lt;/D&gt;&lt;D xsi:type="xsd:double"&gt;5.527425&lt;/D&gt;&lt;D xsi:type="xsd:double"&gt;-4.7581015&lt;/D&gt;&lt;D xsi:type="xsd:double"&gt;-8.648193&lt;/D&gt;&lt;D xsi:type="xsd:double"&gt;22.977936&lt;/D&gt;&lt;D xsi:type="xsd:double"&gt;2.242148&lt;/D&gt;&lt;D xsi:type="xsd:double"&gt;7.328284&lt;/D&gt;&lt;D xsi:type="xsd:double"&gt;4.6664357&lt;/D&gt;&lt;D xsi:type="xsd:double"&gt;-2.1136105&lt;/D&gt;&lt;D xsi:type="xsd:double"&gt;4.352236&lt;/D&gt;&lt;D xsi:type="xsd:double"&gt;2.1661878&lt;/D&gt;&lt;D xsi:type="xsd:double"&gt;-1.9556761&lt;/D&gt;&lt;D xsi:type="xsd:double"&gt;4.3981433&lt;/D&gt;&lt;D xsi:type="xsd:double"&gt;1.9005299&lt;/D&gt;&lt;D xsi:type="xsd:double"&gt;-3.2639027&lt;/D&gt;&lt;D xsi:type="xsd:double"&gt;-2.3457646&lt;/D&gt;&lt;D xsi:type="xsd:double"&gt;2.5008202&lt;/D&gt;&lt;D xsi:type="xsd:double"&gt;7.126808&lt;/D&gt;&lt;D xsi:type="xsd:double"&gt;2.778864&lt;/D&gt;&lt;D xsi:type="xsd:double"&gt;0.20667315&lt;/D&gt;&lt;D xsi:type="xsd:double"&gt;8.043612&lt;/D&gt;&lt;D xsi:type="xsd:double"&gt;0&lt;/D&gt;&lt;D xsi:type="xsd:double"&gt;4.145074&lt;/D&gt;&lt;D xsi:type="xsd:double"&gt;0.1832962&lt;/D&gt;&lt;D xsi:type="xsd:double"&gt;-0.04118681&lt;/D&gt;&lt;D xsi:type="xsd:double"&gt;-4.715967&lt;/D&gt;&lt;D xsi:type="xsd:double"&gt;6.074238&lt;/D&gt;&lt;D xsi:type="xsd:double"&gt;0.82184076&lt;/D&gt;&lt;/FQL&gt;&lt;FQL&gt;&lt;Q&gt;EWU^FMA_PE(NTMA,-10AY,0,AM,"PORTAGG","MEANR")&lt;/Q&gt;&lt;R&gt;121&lt;/R&gt;&lt;C&gt;1&lt;/C&gt;&lt;D xsi:type="xsd:double"&gt;12.5069967406504&lt;/D&gt;&lt;D xsi:type="xsd:double"&gt;13.3682344024729&lt;/D&gt;&lt;D xsi:type="xsd:double"&gt;13.5265707874392&lt;/D&gt;&lt;D xsi:type="xsd:double"&gt;13.6574947514962&lt;/D&gt;&lt;D xsi:type="xsd:double"&gt;15.3690601617816&lt;/D&gt;&lt;D xsi:type="xsd:double"&gt;15.1393209975142&lt;/D&gt;&lt;D xsi:type="xsd:double"&gt;16.0803042769955&lt;/D&gt;&lt;D xsi:type="xsd:double"&gt;16.2399889226508&lt;/D&gt;&lt;D xsi:type="xsd:double"&gt;15.7210204279185&lt;/D&gt;&lt;D xsi:type="xsd:double"&gt;15.2118083680274&lt;/D&gt;&lt;D xsi:type="xsd:double"&gt;15.5322420518789&lt;/D&gt;&lt;D xsi:type="xsd:double"&gt;14.4025204648939&lt;/D&gt;&lt;D xsi:type="xsd:double"&gt;15.3093024904814&lt;/D&gt;&lt;D xsi:type="xsd:double"&gt;15.1305052727044&lt;/D&gt;&lt;D xsi:type="xsd:double"&gt;14.7860678665746&lt;/D&gt;&lt;D xsi:type="xsd:double"&gt;14.478192346495&lt;/D&gt;&lt;D xsi:type="xsd:double"&gt;14.7119954605602&lt;/D&gt;&lt;D xsi:type="xsd:double"&gt;15.685658567719&lt;/D&gt;&lt;D xsi:type="xsd:double"&gt;16.0768219390082&lt;/D&gt;&lt;D xsi:type="xsd:double"&gt;15.7799322127151&lt;/D&gt;&lt;D xsi:type="xsd:double"&gt;15.456618916032&lt;/D&gt;&lt;D xsi:type="xsd:double"&gt;15.8228981691241&lt;/D&gt;&lt;D xsi:type="xsd:double"&gt;16.2776280479523&lt;/D&gt;&lt;D xsi:type="xsd:double"&gt;15.7862466416168&lt;/D&gt;&lt;D xsi:type="xsd:double"&gt;15.6705292023807&lt;/D&gt;&lt;D xsi:type="xsd:double"&gt;14.5623518042711&lt;/D&gt;&lt;D xsi:type="xsd:double"&gt;14.4597164461922&lt;/D&gt;&lt;D xsi:type="xsd:double"&gt;14.4474256147103&lt;/D&gt;&lt;D xsi:type="xsd:double"&gt;14.5121104342617&lt;/D&gt;&lt;D xsi:type="xsd:double"&gt;14.3415333034341&lt;/D&gt;&lt;D xsi:type="xsd:double"&gt;14.4291196560243&lt;/D&gt;&lt;D xsi:type="xsd:double"&gt;14.6170322513567&lt;/D&gt;&lt;D xsi:type="xsd:double"&gt;14.7216397543999&lt;/D&gt;&lt;D xsi:type="xsd:double"&gt;14.4585460696683&lt;/D&gt;&lt;D xsi:type="xsd:double"&gt;14.6019277354142&lt;/D&gt;&lt;D xsi:type="xsd:double"&gt;14.5765965968323&lt;/D&gt;&lt;D xsi:type="xsd:double"&gt;14.6916617327664&lt;/D&gt;&lt;D xsi:type="xsd:double"&gt;14.3707702445482&lt;/D&gt;&lt;D xsi:type="xsd:double"&gt;14.248657304744&lt;/D&gt;&lt;D xsi:type="xsd:double"&gt;14.7831147352284&lt;/D&gt;&lt;D xsi:type="xsd:double"&gt;13.3277442334801&lt;/D&gt;&lt;D xsi:type="xsd:double"&gt;13.5669654160062&lt;/D&gt;&lt;D xsi:type="xsd:double"&gt;13.6285716562774&lt;/D&gt;&lt;D xsi:type="xsd:double"&gt;13.9432307864985&lt;/D&gt;&lt;D xsi:type="xsd:double"&gt;13.5361006103721&lt;/D&gt;&lt;D xsi:type="xsd:double"&gt;13.3537578674707&lt;/D&gt;&lt;D xsi:type="xsd:double"&gt;13.0323955034441&lt;/D&gt;&lt;D xsi:type="xsd:double"&gt;12.3787043064998&lt;/D&gt;&lt;D xsi:type="xsd:double"&gt;12.1807669923902&lt;/D&gt;&lt;D xsi:type="xsd:double"&gt;11.9317973522365&lt;/D&gt;&lt;D xsi:type="xsd:double"&gt;11.2012308328073&lt;/D&gt;&lt;D xsi:type="xsd:double"&gt;11.8911622682551&lt;/D&gt;&lt;D xsi:type="xsd:double"&gt;12.2460325682825&lt;/D&gt;&lt;D xsi:type="xsd:double"&gt;12.2764524275068&lt;/D&gt;&lt;D xsi:type="xsd:double"&gt;12.7722280718299&lt;/D&gt;&lt;D xsi:type="xsd:double"&gt;12.2672687034365&lt;/D&gt;&lt;D xsi:type="xsd:double"&gt;12.4824945027772&lt;/D&gt;&lt;D xsi:type="xsd:double"&gt;12.6253394094744&lt;/D&gt;&lt;D xsi:type="xsd:double"&gt;11.9980783945234&lt;/D&gt;&lt;D xsi:type="xsd:double"&gt;12.2337518635949&lt;/D&gt;&lt;D xsi:type="xsd:double"&gt;12.1319707275001&lt;/D&gt;&lt;D xsi:type="xsd:double"&gt;12.7834153666917&lt;/D&gt;&lt;D xsi:type="xsd:double"&gt;12.8551510883482&lt;/D&gt;&lt;D xsi:type="xsd:double"&gt;13.4535379660483&lt;/D&gt;&lt;D xsi:type="xsd:double"&gt;13.328649125926&lt;/D&gt;&lt;D xsi:type="xsd:double"&gt;10.9425650971771&lt;/D&gt;&lt;D xsi:type="xsd:double"&gt;13.2236845097982&lt;/D&gt;&lt;D xsi:type="xsd:double"&gt;15.1768329097885&lt;/D&gt;&lt;D xsi:type="xsd:double"&gt;16.6396832914669&lt;/D&gt;&lt;D xsi:type="xsd:double"&gt;15.6095062152737&lt;/D&gt;&lt;D xsi:type="xsd:double"&gt;15.4936604818005&lt;/D&gt;&lt;D xsi:type="xsd:double"&gt;15.06665929625&lt;/D&gt;&lt;D xsi:type="xsd:double"&gt;14.5756987535701&lt;/D&gt;&lt;D xsi:type="xsd:double"&gt;14.6897471213869&lt;/D&gt;&lt;D xsi:type="xsd:double"&gt;15.0428599376001&lt;/D&gt;&lt;D xsi:type="xsd:double"&gt;14.9625544765662&lt;/D&gt;&lt;D xsi:type="xsd:double"&gt;13.9497860023055&lt;/D&gt;&lt;D xsi:type="xsd:double"&gt;14.0687064162883&lt;/D&gt;&lt;D xsi:type="xsd:double"&gt;13.537777806701&lt;/D&gt;&lt;D xsi:type="xsd:double"&gt;13.531039130924&lt;/D&gt;&lt;D xsi:type="xsd:double"&gt;13.1455983827677&lt;/D&gt;&lt;D xsi:type="xsd:double"&gt;12.6535282981421&lt;/D&gt;&lt;D xsi:type="xsd:double"&gt;12.3308975946805&lt;/D&gt;&lt;D xsi:type="xsd:double"&gt;11.9751124005448&lt;/D&gt;&lt;D xsi:type="xsd:double"&gt;12.0657503984046&lt;/D&gt;&lt;D xsi:type="xsd:double"&gt;12.173651326979&lt;/D&gt;&lt;D xsi:type="xsd:double"&gt;11.9361464382373&lt;/D&gt;&lt;D xsi:type="xsd:double"&gt;12.3270580458184&lt;/D&gt;&lt;D xsi:type="xsd:double"&gt;12.4356130015112&lt;/D&gt;&lt;D xsi:type="xsd:double"&gt;11.2040346836649&lt;/D&gt;&lt;D xsi:type="xsd:double"&gt;11.3087864202269&lt;/D&gt;&lt;D xsi:type="xsd:double"&gt;10.0359817564934&lt;/D&gt;&lt;D xsi:type="xsd:double"&gt;9.98760131497984&lt;/D&gt;&lt;D xsi:type="xsd:double"&gt;9.52811548800769&lt;/D&gt;&lt;D xsi:type="xsd:double"&gt;9.92052047632204&lt;/D&gt;&lt;D xsi:type="xsd:double"&gt;9.31061818701549&lt;/D&gt;&lt;D xsi:type="xsd:double"&gt;8.62906101253465&lt;/D&gt;&lt;D xsi:type="xsd:double"&gt;9.43595809484935&lt;/D&gt;&lt;D xsi:type="xsd:double"&gt;9.94070450189598&lt;/D&gt;&lt;D xsi:type="xsd:double"&gt;10.1764661231911&lt;/D&gt;&lt;D xsi:type="xsd:double"&gt;10.5505285596105&lt;/D&gt;&lt;D xsi:type="xsd:double"&gt;10.3250423823631&lt;/D&gt;&lt;D xsi:type="xsd:double"&gt;10.5313128713114&lt;/D&gt;&lt;D xsi:type="xsd:double"&gt;10.5722062792296&lt;/D&gt;&lt;D xsi:type="xsd:double"&gt;10.296002146607&lt;/D&gt;&lt;D xsi:type="xsd:double"&gt;10.0559596361743&lt;/D&gt;&lt;D xsi:type="xsd:double"&gt;10.6240948144414&lt;/D&gt;&lt;D xsi:type="xsd:double"&gt;10.3378585775952&lt;/D&gt;&lt;D xsi:type="xsd:double"&gt;10.4725629140785&lt;/D&gt;&lt;D xsi:type="xsd:double"&gt;10.0694553593659&lt;/D&gt;&lt;D xsi:type="xsd:double"&gt;10.5578903094804&lt;/D&gt;&lt;D xsi:type="xsd:double"&gt;11.0197159235901&lt;/D&gt;&lt;D xsi:type="xsd:double"&gt;11.0042132630958&lt;/D&gt;&lt;D xsi:type="xsd:double"&gt;11.2962107557855&lt;/D&gt;&lt;D xsi:type="xsd:double"&gt;11.5005249173868&lt;/D&gt;&lt;D xsi:type="xsd:double"&gt;11.9264296934798&lt;/D&gt;&lt;D xsi:type="xsd:double"&gt;11.5530658362075&lt;/D&gt;&lt;D xsi:type="xsd:double"&gt;11.483708085937&lt;/D&gt;&lt;D xsi:type="xsd:double"&gt;11.3503517855252&lt;/D&gt;&lt;D xsi:type="xsd:double"&gt;11.4680706068349&lt;/D&gt;&lt;D xsi:type="xsd:double"&gt;11.7662455304602&lt;/D&gt;&lt;/FQL&gt;&lt;FQL&gt;&lt;Q&gt;TIOS-FDS^FG_PRICE_CHANGE(0,-1AM)&lt;/Q&gt;&lt;R&gt;1&lt;/R&gt;&lt;C&gt;1&lt;/C&gt;&lt;D xsi:type="xsd:double"&gt;15.9180543382997&lt;/D&gt;&lt;/FQL&gt;&lt;FQL&gt;&lt;Q&gt;EWD^FG_PRICE(0)&lt;/Q&gt;&lt;R&gt;1&lt;/R&gt;&lt;C&gt;1&lt;/C&gt;&lt;D xsi:type="xsd:double"&gt;41.25&lt;/D&gt;&lt;/FQL&gt;&lt;FQL&gt;&lt;Q&gt;VGK^FMA_PCT_ABOVE_MAVG(200,0,,,,"PORTAGG")&lt;/Q&gt;&lt;R&gt;1&lt;/R&gt;&lt;C&gt;1&lt;/C&gt;&lt;D xsi:type="xsd:double"&gt;63.370253164557&lt;/D&gt;&lt;/FQL&gt;&lt;FQL&gt;&lt;Q&gt;EWU^FG_TOTAL_RETURNC(0,-6AM)&lt;/Q&gt;&lt;R&gt;1&lt;/R&gt;&lt;C&gt;1&lt;/C&gt;&lt;D xsi:type="xsd:double"&gt;9.405589&lt;/D&gt;&lt;/FQL&gt;&lt;FQL&gt;&lt;Q&gt;ENZL^PERCENT_CHANGE(FMA_EPS(+1,0,,,,"PORTAGG","MEAN"),FMA_EPS(+1,-1AM,,,,"PORTAGG","MEAN"))&lt;/Q&gt;&lt;R&gt;1&lt;/R&gt;&lt;C&gt;1&lt;/C&gt;&lt;D xsi:type="xsd:double"&gt;-2.39118700679648&lt;/D&gt;&lt;/FQL&gt;&lt;FQL&gt;&lt;Q&gt;EWQ^SIZE(FG_CONSTITUENTS)&lt;/Q&gt;&lt;R&gt;1&lt;/R&gt;&lt;C&gt;1&lt;/C&gt;&lt;D xsi:type="xsd:long"&gt;61&lt;/D&gt;&lt;/FQL&gt;&lt;FQL&gt;&lt;Q&gt;EWC^FMA_RBICS_REV_CURRENT(30, LOC, "PORTAGG")&lt;/Q&gt;&lt;R&gt;1&lt;/R&gt;&lt;C&gt;1&lt;/C&gt;&lt;D xsi:type="xsd:double"&gt;42.35939599541&lt;/D&gt;&lt;/FQL&gt;&lt;FQL&gt;&lt;Q&gt;TRYAU10Y-FDS^FG_YIELD_NAME&lt;/Q&gt;&lt;R&gt;1&lt;/R&gt;&lt;C&gt;1&lt;/C&gt;&lt;D xsi:type="xsd:string"&gt;Australia Benchmark Bond - 10 Year&lt;/D&gt;&lt;/FQL&gt;&lt;FQL&gt;&lt;Q&gt;EWU^FMA_PE(NTMA,0,,,"PORTAGG","MEANR")&lt;/Q&gt;&lt;R&gt;1&lt;/R&gt;&lt;C&gt;1&lt;/C&gt;&lt;D xsi:type="xsd:double"&gt;11.7662455304602&lt;/D&gt;&lt;/FQL&gt;&lt;FQL&gt;&lt;Q&gt;EWC^FMA_DIV_YLD(NTMA,NOW,NOW,M,"PORTAGG","MEANR")&lt;/Q&gt;&lt;R&gt;1&lt;/R&gt;&lt;C&gt;1&lt;/C&gt;&lt;D xsi:type="xsd:double"&gt;3.05959736796896&lt;/D&gt;&lt;/FQL&gt;&lt;FQL&gt;&lt;Q&gt;EWC^FMA_ROE(NTMA,-20AY,NOW,FY,"PORTAGG","MEANR")&lt;/Q&gt;&lt;R&gt;20&lt;/R&gt;&lt;C&gt;1&lt;/C&gt;&lt;D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xsi:type="xsd:double"&gt;11.9757277563434&lt;/D&gt;&lt;D xsi:type="xsd:double"&gt;11.1869789498459&lt;/D&gt;&lt;D xsi:type="xsd:double"&gt;14.1059285156531&lt;/D&gt;&lt;D xsi:type="xsd:double"&gt;14.0067090394672&lt;/D&gt;&lt;D xsi:type="xsd:double"&gt;13.1479323697033&lt;/D&gt;&lt;/FQL&gt;&lt;FQL&gt;&lt;Q&gt;WL-FDS^FG_PRICE_CHANGE(0,-1AY)&lt;/Q&gt;&lt;R&gt;1&lt;/R&gt;&lt;C&gt;1&lt;/C&gt;&lt;D xsi:type="xsd:double"&gt;-21.2588578574406&lt;/D&gt;&lt;/FQL&gt;&lt;FQL&gt;&lt;Q&gt;CPALM-FDS^FG_PRICE_CHANGE(0,-1AM)&lt;/Q&gt;&lt;R&gt;1&lt;/R&gt;&lt;C&gt;1&lt;/C&gt;&lt;D xsi:type="xsd:double"&gt;9.26902788244159&lt;/D&gt;&lt;/FQL&gt;&lt;FQL&gt;&lt;Q&gt;TIOS-FDS^FG_PRICE_MAVG(0,,,,30)&lt;/Q&gt;&lt;R&gt;1&lt;/R&gt;&lt;C&gt;1&lt;/C&gt;&lt;D xsi:type="xsd:double"&gt;97.17067&lt;/D&gt;&lt;/FQL&gt;&lt;FQL&gt;&lt;Q&gt;EWC^FG_PRICE_MAVG(0,,,,60)&lt;/Q&gt;&lt;R&gt;1&lt;/R&gt;&lt;C&gt;1&lt;/C&gt;&lt;D xsi:type="xsd:double"&gt;39.703835&lt;/D&gt;&lt;/FQL&gt;&lt;FQL&gt;&lt;Q&gt;EWQ^FG_TOTAL_RETURNC(0,-6AM)&lt;/Q&gt;&lt;R&gt;1&lt;/R&gt;&lt;C&gt;1&lt;/C&gt;&lt;D xsi:type="xsd:double"&gt;-0.57070255&lt;/D&gt;&lt;/FQL&gt;&lt;FQL&gt;&lt;Q&gt;EWU^FG_TOTAL_RETURNC(0,-3AM)&lt;/Q&gt;&lt;R&gt;1&lt;/R&gt;&lt;C&gt;1&lt;/C&gt;&lt;D xsi:type="xsd:double"&gt;2.955258&lt;/D&gt;&lt;/FQL&gt;&lt;FQL&gt;&lt;Q&gt;REFNZOCR-FDS^FG_YIELD(NOW,,,0)&lt;/Q&gt;&lt;R&gt;1&lt;/R&gt;&lt;C&gt;1&lt;/C&gt;&lt;D xsi:type="xsd:double"&gt;4.75&lt;/D&gt;&lt;/FQL&gt;&lt;FQL&gt;&lt;Q&gt;TRYNZ10Y-FDS^FG_YIELD(0,,,,"YTM")&lt;/Q&gt;&lt;R&gt;1&lt;/R&gt;&lt;C&gt;1&lt;/C&gt;&lt;D xsi:type="xsd:double"&gt;4.3564&lt;/D&gt;&lt;/FQL&gt;&lt;FQL&gt;&lt;Q&gt;VGK^FG_FCF_YIELD_NTM(0)&lt;/Q&gt;&lt;R&gt;1&lt;/R&gt;&lt;C&gt;1&lt;/C&gt;&lt;D xsi:type="xsd:double"&gt;5.28323894400439&lt;/D&gt;&lt;/FQL&gt;&lt;FQL&gt;&lt;Q&gt;EWQ^FG_FCF_YIELD_NTM(0)&lt;/Q&gt;&lt;R&gt;1&lt;/R&gt;&lt;C&gt;1&lt;/C&gt;&lt;D xsi:type="xsd:double"&gt;5.79507333912418&lt;/D&gt;&lt;/FQL&gt;&lt;FQL&gt;&lt;Q&gt;UUP^FG_TOTAL_RETURNC(0,-3AM)&lt;/Q&gt;&lt;R&gt;1&lt;/R&gt;&lt;C&gt;1&lt;/C&gt;&lt;D xsi:type="xsd:double"&gt;-0.4492104&lt;/D&gt;&lt;/FQL&gt;&lt;FQL&gt;&lt;Q&gt;CAGDPY@AU^EE_ACTUAL_ANNUAL(MED,0)&lt;/Q&gt;&lt;R&gt;1&lt;/R&gt;&lt;C&gt;1&lt;/C&gt;&lt;D xsi:type="xsd:double"&gt;0.252467670960909&lt;/D&gt;&lt;/FQL&gt;&lt;FQL&gt;&lt;Q&gt;USDCHF^STD(FG_PRICE_CHANGE(0,-1AY,AM))&lt;/Q&gt;&lt;R&gt;1&lt;/R&gt;&lt;C&gt;1&lt;/C&gt;&lt;D xsi:type="xsd:double"&gt;2.33315713376982&lt;/D&gt;&lt;/FQL&gt;&lt;FQL&gt;&lt;Q&gt;USDAUD^FG_COMPANY_NAME&lt;/Q&gt;&lt;R&gt;1&lt;/R&gt;&lt;C&gt;1&lt;/C&gt;&lt;D xsi:type="xsd:string"&gt;Australian Dollar per U.S. Dollar&lt;/D&gt;&lt;/FQL&gt;&lt;FQL&gt;&lt;Q&gt;EWD^FG_TOTAL_RETURNC(-10AY,0,AM)&lt;/Q&gt;&lt;R&gt;121&lt;/R&gt;&lt;C&gt;1&lt;/C&gt;&lt;D xsi:type="xsd:double"&gt;-8.830553&lt;/D&gt;&lt;D xsi:type="xsd:double"&gt;7.2316766&lt;/D&gt;&lt;D xsi:type="xsd:double"&gt;0.33566952&lt;/D&gt;&lt;D xsi:type="xsd:double"&gt;-5.8526278&lt;/D&gt;&lt;D xsi:type="xsd:double"&gt;7.7448726&lt;/D&gt;&lt;D xsi:type="xsd:double"&gt;-0.84566474&lt;/D&gt;&lt;D xsi:type="xsd:double"&gt;2.314949&lt;/D&gt;&lt;D xsi:type="xsd:double"&gt;2.4709702&lt;/D&gt;&lt;D xsi:type="xsd:double"&gt;0.08716583&lt;/D&gt;&lt;D xsi:type="xsd:double"&gt;-2.8519332&lt;/D&gt;&lt;D xsi:type="xsd:double"&gt;-0.46396852&lt;/D&gt;&lt;D xsi:type="xsd:double"&gt;-4.692358&lt;/D&gt;&lt;D xsi:type="xsd:double"&gt;1.4020205&lt;/D&gt;&lt;D xsi:type="xsd:double"&gt;-4.4051466&lt;/D&gt;&lt;D xsi:type="xsd:double"&gt;-2.522707&lt;/D&gt;&lt;D xsi:type="xsd:double"&gt;-6.3697042&lt;/D&gt;&lt;D xsi:type="xsd:double"&gt;-2.9878318&lt;/D&gt;&lt;D xsi:type="xsd:double"&gt;8.326996&lt;/D&gt;&lt;D xsi:type="xsd:double"&gt;3.6855102&lt;/D&gt;&lt;D xsi:type="xsd:double"&gt;-0.47394037&lt;/D&gt;&lt;D xsi:type="xsd:double"&gt;-3.0952394&lt;/D&gt;&lt;D xsi:type="xsd:double"&gt;-2.3171425&lt;/D&gt;&lt;D xsi:type="xsd:double"&gt;7.2469115&lt;/D&gt;&lt;D xsi:type="xsd:double"&gt;0.4179716&lt;/D&gt;&lt;D xsi:type="xsd:double"&gt;1.6302466&lt;/D&gt;&lt;D xsi:type="xsd:double"&gt;-4.914671&lt;/D&gt;&lt;D xsi:type="xsd:double"&gt;3.3022285&lt;/D&gt;&lt;D xsi:type="xsd:double"&gt;-0.121968985&lt;/D&gt;&lt;D xsi:type="xsd:double"&gt;6.158662&lt;/D&gt;&lt;D xsi:type="xsd:double"&gt;0.8521795&lt;/D&gt;&lt;D xsi:type="xsd:double"&gt;0.81248283&lt;/D&gt;&lt;D xsi:type="xsd:double"&gt;8.123791&lt;/D&gt;&lt;D xsi:type="xsd:double"&gt;2.265942&lt;/D&gt;&lt;D xsi:type="xsd:double"&gt;2.3009896&lt;/D&gt;&lt;D xsi:type="xsd:double"&gt;-1.1367023&lt;/D&gt;&lt;D xsi:type="xsd:double"&gt;2.9481173&lt;/D&gt;&lt;D xsi:type="xsd:double"&gt;4.1523457&lt;/D&gt;&lt;D xsi:type="xsd:double"&gt;-3.959304&lt;/D&gt;&lt;D xsi:type="xsd:double"&gt;-2.8056085&lt;/D&gt;&lt;D xsi:type="xsd:double"&gt;4.7792315&lt;/D&gt;&lt;D xsi:type="xsd:double"&gt;-5.16752&lt;/D&gt;&lt;D xsi:type="xsd:double"&gt;3.1736493&lt;/D&gt;&lt;D xsi:type="xsd:double"&gt;-3.1050503&lt;/D&gt;&lt;D xsi:type="xsd:double"&gt;3.174603&lt;/D&gt;&lt;D xsi:type="xsd:double"&gt;-4.1509447&lt;/D&gt;&lt;D xsi:type="xsd:double"&gt;-0.6968677&lt;/D&gt;&lt;D xsi:type="xsd:double"&gt;-0.60644746&lt;/D&gt;&lt;D xsi:type="xsd:double"&gt;1.1560678&lt;/D&gt;&lt;D xsi:type="xsd:double"&gt;-3.2698452&lt;/D&gt;&lt;D xsi:type="xsd:double"&gt;-2.5927126&lt;/D&gt;&lt;D xsi:type="xsd:double"&gt;-5.525607&lt;/D&gt;&lt;D xsi:type="xsd:double"&gt;5.0555825&lt;/D&gt;&lt;D xsi:type="xsd:double"&gt;-0.10190606&lt;/D&gt;&lt;D xsi:type="xsd:double"&gt;0&lt;/D&gt;&lt;D xsi:type="xsd:double"&gt;8.568514&lt;/D&gt;&lt;D xsi:type="xsd:double"&gt;-3.883493&lt;/D&gt;&lt;D xsi:type="xsd:double"&gt;-0.35842657&lt;/D&gt;&lt;D xsi:type="xsd:double"&gt;3.2015562&lt;/D&gt;&lt;D xsi:type="xsd:double"&gt;-7.1615458&lt;/D&gt;&lt;D xsi:type="xsd:double"&gt;4.0507317&lt;/D&gt;&lt;D xsi:type="xsd:double"&gt;-1.8618882&lt;/D&gt;&lt;D xsi:type="xsd:double"&gt;11.107278&lt;/D&gt;&lt;D xsi:type="xsd:double"&gt;-0.40359497&lt;/D&gt;&lt;D xsi:type="xsd:double"&gt;2.8632164&lt;/D&gt;&lt;D xsi:type="xsd:double"&gt;3.0070543&lt;/D&gt;&lt;D xsi:type="xsd:double"&gt;-14.26869&lt;/D&gt;&lt;D xsi:type="xsd:double"&gt;-7.539958&lt;/D&gt;&lt;D xsi:type="xsd:double"&gt;4.284096&lt;/D&gt;&lt;D xsi:type="xsd:double"&gt;15.17117&lt;/D&gt;&lt;D xsi:type="xsd:double"&gt;1.8837929&lt;/D&gt;&lt;D xsi:type="xsd:double"&gt;8.009863&lt;/D&gt;&lt;D xsi:type="xsd:double"&gt;0.7986307&lt;/D&gt;&lt;D xsi:type="xsd:double"&gt;3.282404&lt;/D&gt;&lt;D xsi:type="xsd:double"&gt;4.164386&lt;/D&gt;&lt;D xsi:type="xsd:double"&gt;4.2609096&lt;/D&gt;&lt;D xsi:type="xsd:double"&gt;6.5686345&lt;/D&gt;&lt;D xsi:type="xsd:double"&gt;0.739336&lt;/D&gt;&lt;D xsi:type="xsd:double"&gt;4.9479127&lt;/D&gt;&lt;D xsi:type="xsd:double"&gt;6.226027&lt;/D&gt;&lt;D xsi:type="xsd:double"&gt;1.8262863&lt;/D&gt;&lt;D xsi:type="xsd:double"&gt;3.0329466&lt;/D&gt;&lt;D xsi:type="xsd:double"&gt;-2.091962&lt;/D&gt;&lt;D xsi:type="xsd:double"&gt;1.9462585&lt;/D&gt;&lt;D xsi:type="xsd:double"&gt;-1.1620641&lt;/D&gt;&lt;D xsi:type="xsd:double"&gt;-5.6686997&lt;/D&gt;&lt;D xsi:type="xsd:double"&gt;6.721568&lt;/D&gt;&lt;D xsi:type="xsd:double"&gt;-3.4202278&lt;/D&gt;&lt;D xsi:type="xsd:double"&gt;-0.37494302&lt;/D&gt;&lt;D xsi:type="xsd:double"&gt;-6.215066&lt;/D&gt;&lt;D xsi:type="xsd:double"&gt;-13.921332&lt;/D&gt;&lt;D xsi:type="xsd:double"&gt;8.69565&lt;/D&gt;&lt;D xsi:type="xsd:double"&gt;-15.133757&lt;/D&gt;&lt;D xsi:type="xsd:double"&gt;3.018105&lt;/D&gt;&lt;D xsi:type="xsd:double"&gt;-6.776607&lt;/D&gt;&lt;D xsi:type="xsd:double"&gt;9.456408&lt;/D&gt;&lt;D xsi:type="xsd:double"&gt;-9.491623&lt;/D&gt;&lt;D xsi:type="xsd:double"&gt;-12.305194&lt;/D&gt;&lt;D xsi:type="xsd:double"&gt;22.325062&lt;/D&gt;&lt;D xsi:type="xsd:double"&gt;2.6331663&lt;/D&gt;&lt;D xsi:type="xsd:double"&gt;2.6774526&lt;/D&gt;&lt;D xsi:type="xsd:double"&gt;0.924325&lt;/D&gt;&lt;D xsi:type="xsd:double"&gt;-4.092729&lt;/D&gt;&lt;D xsi:type="xsd:double"&gt;4.2972326&lt;/D&gt;&lt;D xsi:type="xsd:double"&gt;3.6623716&lt;/D&gt;&lt;D xsi:type="xsd:double"&gt;-2.5945306&lt;/D&gt;&lt;D xsi:type="xsd:double"&gt;-2.0544112&lt;/D&gt;&lt;D xsi:type="xsd:double"&gt;0.3616333&lt;/D&gt;&lt;D xsi:type="xsd:double"&gt;-5.707693&lt;/D&gt;&lt;D xsi:type="xsd:double"&gt;3.2406092&lt;/D&gt;&lt;D xsi:type="xsd:double"&gt;-2.4578094&lt;/D&gt;&lt;D xsi:type="xsd:double"&gt;13.721919&lt;/D&gt;&lt;D xsi:type="xsd:double"&gt;3.2900572&lt;/D&gt;&lt;D xsi:type="xsd:double"&gt;-0.31779408&lt;/D&gt;&lt;D xsi:type="xsd:double"&gt;7.9702497&lt;/D&gt;&lt;D xsi:type="xsd:double"&gt;-2.1161437&lt;/D&gt;&lt;D xsi:type="xsd:double"&gt;2.6897907&lt;/D&gt;&lt;D xsi:type="xsd:double"&gt;2.2031903&lt;/D&gt;&lt;D xsi:type="xsd:double"&gt;-1.7959893&lt;/D&gt;&lt;D xsi:type="xsd:double"&gt;-3.469634&lt;/D&gt;&lt;D xsi:type="xsd:double"&gt;3.1322122&lt;/D&gt;&lt;D xsi:type="xsd:double"&gt;2.6885748&lt;/D&gt;&lt;/FQL&gt;&lt;FQL&gt;&lt;Q&gt;EWJ^FMA_PE(NTMA,-10AY,0,AM,"PORTAGG","MEANR")&lt;/Q&gt;&lt;R&gt;121&lt;/R&gt;&lt;C&gt;1&lt;/C&gt;&lt;D xsi:type="xsd:double"&gt;13.1596564540028&lt;/D&gt;&lt;D xsi:type="xsd:double"&gt;14.2348501942781&lt;/D&gt;&lt;D xsi:type="xsd:double"&gt;14.3515045209307&lt;/D&gt;&lt;D xsi:type="xsd:double"&gt;13.9224536986246&lt;/D&gt;&lt;D xsi:type="xsd:double"&gt;14.1759531701167&lt;/D&gt;&lt;D xsi:type="xsd:double"&gt;15.0907442056912&lt;/D&gt;&lt;D xsi:type="xsd:double"&gt;15.6172877626872&lt;/D&gt;&lt;D xsi:type="xsd:double"&gt;15.6655521225723&lt;/D&gt;&lt;D xsi:type="xsd:double"&gt;15.7111346986389&lt;/D&gt;&lt;D xsi:type="xsd:double"&gt;14.9094105664143&lt;/D&gt;&lt;D xsi:type="xsd:double"&gt;15.7302822678771&lt;/D&gt;&lt;D xsi:type="xsd:double"&gt;13.6711587563328&lt;/D&gt;&lt;D xsi:type="xsd:double"&gt;14.0086136298185&lt;/D&gt;&lt;D xsi:type="xsd:double"&gt;14.6770749080851&lt;/D&gt;&lt;D xsi:type="xsd:double"&gt;14.1073430395091&lt;/D&gt;&lt;D xsi:type="xsd:double"&gt;13.0983679938856&lt;/D&gt;&lt;D xsi:type="xsd:double"&gt;11.6158548247573&lt;/D&gt;&lt;D xsi:type="xsd:double"&gt;12.8786262943877&lt;/D&gt;&lt;D xsi:type="xsd:double"&gt;12.2559847001336&lt;/D&gt;&lt;D xsi:type="xsd:double"&gt;12.9012524133861&lt;/D&gt;&lt;D xsi:type="xsd:double"&gt;13.3577855484663&lt;/D&gt;&lt;D xsi:type="xsd:double"&gt;12.3165579992413&lt;/D&gt;&lt;D xsi:type="xsd:double"&gt;13.3602050472577&lt;/D&gt;&lt;D xsi:type="xsd:double"&gt;13.6231945826808&lt;/D&gt;&lt;D xsi:type="xsd:double"&gt;13.5033881848967&lt;/D&gt;&lt;D xsi:type="xsd:double"&gt;13.6532610901625&lt;/D&gt;&lt;D xsi:type="xsd:double"&gt;14.9883334209233&lt;/D&gt;&lt;D xsi:type="xsd:double"&gt;14.7820907026508&lt;/D&gt;&lt;D xsi:type="xsd:double"&gt;14.4869528859572&lt;/D&gt;&lt;D xsi:type="xsd:double"&gt;14.403819184986&lt;/D&gt;&lt;D xsi:type="xsd:double"&gt;13.6272017892668&lt;/D&gt;&lt;D xsi:type="xsd:double"&gt;14.3133403420407&lt;/D&gt;&lt;D xsi:type="xsd:double"&gt;14.354416422436&lt;/D&gt;&lt;D xsi:type="xsd:double"&gt;14.2478179376808&lt;/D&gt;&lt;D xsi:type="xsd:double"&gt;14.0537503239473&lt;/D&gt;&lt;D xsi:type="xsd:double"&gt;13.4253563579144&lt;/D&gt;&lt;D xsi:type="xsd:double"&gt;14.0863461659261&lt;/D&gt;&lt;D xsi:type="xsd:double"&gt;14.8770236369231&lt;/D&gt;&lt;D xsi:type="xsd:double"&gt;14.6920993836785&lt;/D&gt;&lt;D xsi:type="xsd:double"&gt;15.4347957727105&lt;/D&gt;&lt;D xsi:type="xsd:double"&gt;13.7244013862978&lt;/D&gt;&lt;D xsi:type="xsd:double"&gt;12.8410379803821&lt;/D&gt;&lt;D xsi:type="xsd:double"&gt;12.8749093218365&lt;/D&gt;&lt;D xsi:type="xsd:double"&gt;13.204714784503&lt;/D&gt;&lt;D xsi:type="xsd:double"&gt;13.1813628221858&lt;/D&gt;&lt;D xsi:type="xsd:double"&gt;12.6940026336606&lt;/D&gt;&lt;D xsi:type="xsd:double"&gt;12.6502865565222&lt;/D&gt;&lt;D xsi:type="xsd:double"&gt;12.3222871711925&lt;/D&gt;&lt;D xsi:type="xsd:double"&gt;12.8739052819073&lt;/D&gt;&lt;D xsi:type="xsd:double"&gt;12.1830320458456&lt;/D&gt;&lt;D xsi:type="xsd:double"&gt;11.7242302959575&lt;/D&gt;&lt;D xsi:type="xsd:double"&gt;11.3728932215834&lt;/D&gt;&lt;D xsi:type="xsd:double"&gt;11.7839178368175&lt;/D&gt;&lt;D xsi:type="xsd:double"&gt;12.2742177536373&lt;/D&gt;&lt;D xsi:type="xsd:double"&gt;12.6209077557948&lt;/D&gt;&lt;D xsi:type="xsd:double"&gt;12.2375211438426&lt;/D&gt;&lt;D xsi:type="xsd:double"&gt;12.60878723247&lt;/D&gt;&lt;D xsi:type="xsd:double"&gt;12.8918913879648&lt;/D&gt;&lt;D xsi:type="xsd:double"&gt;12.3916945396858&lt;/D&gt;&lt;D xsi:type="xsd:double"&gt;13.005077038184&lt;/D&gt;&lt;D xsi:type="xsd:double"&gt;13.1436641591845&lt;/D&gt;&lt;D xsi:type="xsd:double"&gt;14.1530596557073&lt;/D&gt;&lt;D xsi:type="xsd:double"&gt;14.519836871723&lt;/D&gt;&lt;D xsi:type="xsd:double"&gt;14.6490002560617&lt;/D&gt;&lt;D xsi:type="xsd:double"&gt;14.470356953469&lt;/D&gt;&lt;D xsi:type="xsd:double"&gt;12.1975827091651&lt;/D&gt;&lt;D xsi:type="xsd:double"&gt;12.8765983326473&lt;/D&gt;&lt;D xsi:type="xsd:double"&gt;14.1449653118645&lt;/D&gt;&lt;D xsi:type="xsd:double"&gt;17.6494059989912&lt;/D&gt;&lt;D xsi:type="xsd:double"&gt;17.4938275640481&lt;/D&gt;&lt;D xsi:type="xsd:double"&gt;17.5389163926897&lt;/D&gt;&lt;D xsi:type="xsd:double"&gt;18.248791972295&lt;/D&gt;&lt;D xsi:type="xsd:double"&gt;18.2031708163965&lt;/D&gt;&lt;D xsi:type="xsd:double"&gt;18.2222250597988&lt;/D&gt;&lt;D xsi:type="xsd:double"&gt;18.4423464930611&lt;/D&gt;&lt;D xsi:type="xsd:double"&gt;18.7375307412026&lt;/D&gt;&lt;D xsi:type="xsd:double"&gt;18.94610995967&lt;/D&gt;&lt;D xsi:type="xsd:double"&gt;17.6926798300769&lt;/D&gt;&lt;D xsi:type="xsd:double"&gt;17.4869290977317&lt;/D&gt;&lt;D xsi:type="xsd:double"&gt;17.0465354769301&lt;/D&gt;&lt;D xsi:type="xsd:double"&gt;16.5219742734506&lt;/D&gt;&lt;D xsi:type="xsd:double"&gt;15.8682683562565&lt;/D&gt;&lt;D xsi:type="xsd:double"&gt;15.683768596583&lt;/D&gt;&lt;D xsi:type="xsd:double"&gt;16.123061930533&lt;/D&gt;&lt;D xsi:type="xsd:double"&gt;14.9001993999562&lt;/D&gt;&lt;D xsi:type="xsd:double"&gt;15.1456646567666&lt;/D&gt;&lt;D xsi:type="xsd:double"&gt;14.5322838142895&lt;/D&gt;&lt;D xsi:type="xsd:double"&gt;14.5282574032674&lt;/D&gt;&lt;D xsi:type="xsd:double"&gt;13.9360191654003&lt;/D&gt;&lt;D xsi:type="xsd:double"&gt;12.5678715681522&lt;/D&gt;&lt;D xsi:type="xsd:double"&gt;12.8972630022551&lt;/D&gt;&lt;D xsi:type="xsd:double"&gt;12.5257431740914&lt;/D&gt;&lt;D xsi:type="xsd:double"&gt;12.9388348699746&lt;/D&gt;&lt;D xsi:type="xsd:double"&gt;12.4498842631036&lt;/D&gt;&lt;D xsi:type="xsd:double"&gt;12.7066666920002&lt;/D&gt;&lt;D xsi:type="xsd:double"&gt;12.8495887410578&lt;/D&gt;&lt;D xsi:type="xsd:double"&gt;12.3257235383455&lt;/D&gt;&lt;D xsi:type</t>
        </r>
      </text>
    </comment>
    <comment ref="A11" authorId="0" shapeId="0" xr:uid="{7402E741-029D-4D7F-92C9-5C89810F1BA5}">
      <text>
        <r>
          <rPr>
            <b/>
            <sz val="9"/>
            <color indexed="81"/>
            <rFont val="Tahoma"/>
            <charset val="1"/>
          </rPr>
          <t>="xsd:double"&gt;12.5806909278066&lt;/D&gt;&lt;D xsi:type="xsd:double"&gt;12.7492761601255&lt;/D&gt;&lt;D xsi:type="xsd:double"&gt;12.2009900492721&lt;/D&gt;&lt;D xsi:type="xsd:double"&gt;13.0462940553299&lt;/D&gt;&lt;D xsi:type="xsd:double"&gt;13.2766270515348&lt;/D&gt;&lt;D xsi:type="xsd:double"&gt;12.9856037968699&lt;/D&gt;&lt;D xsi:type="xsd:double"&gt;13.6469971423368&lt;/D&gt;&lt;D xsi:type="xsd:double"&gt;14.5563966304962&lt;/D&gt;&lt;D xsi:type="xsd:double"&gt;14.4979469564559&lt;/D&gt;&lt;D xsi:type="xsd:double"&gt;14.5508512128072&lt;/D&gt;&lt;D xsi:type="xsd:double"&gt;14.6696799136915&lt;/D&gt;&lt;D xsi:type="xsd:double"&gt;14.2647832911644&lt;/D&gt;&lt;D xsi:type="xsd:double"&gt;14.2218300733146&lt;/D&gt;&lt;D xsi:type="xsd:double"&gt;13.8724791178044&lt;/D&gt;&lt;D xsi:type="xsd:double"&gt;14.4292071881691&lt;/D&gt;&lt;D xsi:type="xsd:double"&gt;15.0151267428909&lt;/D&gt;&lt;D xsi:type="xsd:double"&gt;15.7410850725616&lt;/D&gt;&lt;D xsi:type="xsd:double"&gt;15.6331983994444&lt;/D&gt;&lt;D xsi:type="xsd:double"&gt;15.3196723341446&lt;/D&gt;&lt;D xsi:type="xsd:double"&gt;15.6251234781144&lt;/D&gt;&lt;D xsi:type="xsd:double"&gt;16.1976720999962&lt;/D&gt;&lt;D xsi:type="xsd:double"&gt;13.4280572021481&lt;/D&gt;&lt;D xsi:type="xsd:double"&gt;13.7924225587945&lt;/D&gt;&lt;D xsi:type="xsd:double"&gt;14.6427122957341&lt;/D&gt;&lt;/FQL&gt;&lt;FQL&gt;&lt;Q&gt;EWN^FG_PRICE(0)&lt;/Q&gt;&lt;R&gt;1&lt;/R&gt;&lt;C&gt;1&lt;/C&gt;&lt;D xsi:type="xsd:double"&gt;49.81&lt;/D&gt;&lt;/FQL&gt;&lt;FQL&gt;&lt;Q&gt;EWI^FG_TOTAL_RETURNC(0,-12AM)&lt;/Q&gt;&lt;R&gt;1&lt;/R&gt;&lt;C&gt;1&lt;/C&gt;&lt;D xsi:type="xsd:double"&gt;29.85685&lt;/D&gt;&lt;/FQL&gt;&lt;FQL&gt;&lt;Q&gt;EWG^PERCENT_CHANGE(FMA_EPS(+1,0,,,,"PORTAGG","MEAN"),FMA_EPS(+1,-3AM,,,,"PORTAGG","MEAN"))&lt;/Q&gt;&lt;R&gt;1&lt;/R&gt;&lt;C&gt;1&lt;/C&gt;&lt;D xsi:type="xsd:double"&gt;-5.43731706655441&lt;/D&gt;&lt;/FQL&gt;&lt;FQL&gt;&lt;Q&gt;ENZL^FMA_PCT_ABOVE_MAVG(200,0,,,,"PORTAGG")&lt;/Q&gt;&lt;R&gt;1&lt;/R&gt;&lt;C&gt;1&lt;/C&gt;&lt;D xsi:type="xsd:double"&gt;46.1538461538462&lt;/D&gt;&lt;/FQL&gt;&lt;FQL&gt;&lt;Q&gt;EWQ^FMA_COS_DOWN("EPS","1M",+1,0,,,"PORTAGG","MEANR")&lt;/Q&gt;&lt;R&gt;1&lt;/R&gt;&lt;C&gt;1&lt;/C&gt;&lt;D xsi:type="xsd:double"&gt;33&lt;/D&gt;&lt;/FQL&gt;&lt;FQL&gt;&lt;Q&gt;ENZL^FMA_COS_DOWN("EPS","1M",+1,0,,,"PORTAGG","MEANR")&lt;/Q&gt;&lt;R&gt;1&lt;/R&gt;&lt;C&gt;1&lt;/C&gt;&lt;D xsi:type="xsd:double"&gt;9&lt;/D&gt;&lt;/FQL&gt;&lt;FQL&gt;&lt;Q&gt;REFFFUND-FDS^FG_YIELD(NOW,,,0)&lt;/Q&gt;&lt;R&gt;1&lt;/R&gt;&lt;C&gt;1&lt;/C&gt;&lt;D xsi:type="xsd:double"&gt;5&lt;/D&gt;&lt;/FQL&gt;&lt;FQL&gt;&lt;Q&gt;EWL^FMA_EVAL_EBIT(LTMA,NOW,NOW,M,"PORTAGG","MEANR")&lt;/Q&gt;&lt;R&gt;1&lt;/R&gt;&lt;C&gt;1&lt;/C&gt;&lt;D xsi:type="xsd:double"&gt;16.9517241256236&lt;/D&gt;&lt;/FQL&gt;&lt;FQL&gt;&lt;Q&gt;EWC^FMA_PE(NTMA,0,,,"PORTAGG","MEANR")&lt;/Q&gt;&lt;R&gt;1&lt;/R&gt;&lt;C&gt;1&lt;/C&gt;&lt;D xsi:type="xsd:double"&gt;15.1541694550378&lt;/D&gt;&lt;/FQL&gt;&lt;FQL&gt;&lt;Q&gt;TRYTW10Y-FDS^FG_YIELD(-10AY,0,Y,,"YTM")&lt;/Q&gt;&lt;R&gt;10&lt;/R&gt;&lt;C&gt;1&lt;/C&gt;&lt;D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xsi:type="xsd:double"&gt;1.211&lt;/D&gt;&lt;/FQL&gt;&lt;FQL&gt;&lt;Q&gt;USDJPY^STD(FG_PRICE_CHANGE(0,-3AY,M))&lt;/Q&gt;&lt;R&gt;1&lt;/R&gt;&lt;C&gt;1&lt;/C&gt;&lt;D xsi:type="xsd:double"&gt;3.37764504980135&lt;/D&gt;&lt;/FQL&gt;&lt;FQL&gt;&lt;Q&gt;SPY^FG_TOTAL_RETURNC(-10AY,0,AM)&lt;/Q&gt;&lt;R&gt;121&lt;/R&gt;&lt;C&gt;1&lt;/C&gt;&lt;D xsi:type="xsd:double"&gt;-4.317677&lt;/D&gt;&lt;D xsi:type="xsd:double"&gt;7.0536375&lt;/D&gt;&lt;D xsi:type="xsd:double"&gt;-0.40194988&lt;/D&gt;&lt;D xsi:type="xsd:double"&gt;1.0889769&lt;/D&gt;&lt;D xsi:type="xsd:double"&gt;1.2533665&lt;/D&gt;&lt;D xsi:type="xsd:double"&gt;-0.8848727&lt;/D&gt;&lt;D xsi:type="xsd:double"&gt;2.9218316&lt;/D&gt;&lt;D xsi:type="xsd:double"&gt;0.75223446&lt;/D&gt;&lt;D xsi:type="xsd:double"&gt;-0.316602&lt;/D&gt;&lt;D xsi:type="xsd:double"&gt;-1.1643529&lt;/D&gt;&lt;D xsi:type="xsd:double"&gt;1.4893055&lt;/D&gt;&lt;D xsi:type="xsd:double"&gt;-6.990552&lt;/D&gt;&lt;D xsi:type="xsd:double"&gt;3.3416033&lt;/D&gt;&lt;D xsi:type="xsd:double"&gt;3.5911202&lt;/D&gt;&lt;D xsi:type="xsd:double"&gt;-1.2897968&lt;/D&gt;&lt;D xsi:type="xsd:double"&gt;-6.2099876&lt;/D&gt;&lt;D xsi:type="xsd:double"&gt;-3.466493&lt;/D&gt;&lt;D xsi:type="xsd:double"&gt;7.702267&lt;/D&gt;&lt;D xsi:type="xsd:double"&gt;3.011644&lt;/D&gt;&lt;D xsi:type="xsd:double"&gt;1.9319296&lt;/D&gt;&lt;D xsi:type="xsd:double"&gt;0.77717304&lt;/D&gt;&lt;D xsi:type="xsd:double"&gt;1.7567635&lt;/D&gt;&lt;D xsi:type="xsd:double"&gt;2.3465872&lt;/D&gt;&lt;D xsi:type="xsd:double"&gt;-2.0033062&lt;/D&gt;&lt;D xsi:type="xsd:double"&gt;1.864326&lt;/D&gt;&lt;D xsi:type="xsd:double"&gt;0.35158396&lt;/D&gt;&lt;D xsi:type="xsd:double"&gt;4.420984&lt;/D&gt;&lt;D xsi:type="xsd:double"&gt;0.5683303&lt;/D&gt;&lt;D xsi:type="xsd:double"&gt;2.2299647&lt;/D&gt;&lt;D xsi:type="xsd:double"&gt;2.6694298&lt;/D&gt;&lt;D xsi:type="xsd:double"&gt;-0.55713654&lt;/D&gt;&lt;D xsi:type="xsd:double"&gt;1.9248724&lt;/D&gt;&lt;D xsi:type="xsd:double"&gt;1.4757991&lt;/D&gt;&lt;D xsi:type="xsd:double"&gt;0.05824566&lt;/D&gt;&lt;D xsi:type="xsd:double"&gt;0.573504&lt;/D&gt;&lt;D xsi:type="xsd:double"&gt;1.1568785&lt;/D&gt;&lt;D xsi:type="xsd:double"&gt;3.7721992&lt;/D&gt;&lt;D xsi:type="xsd:double"&gt;1.3628125&lt;/D&gt;&lt;D xsi:type="xsd:double"&gt;2.8749704&lt;/D&gt;&lt;D xsi:type="xsd:double"&gt;3.7662983&lt;/D&gt;&lt;D xsi:type="xsd:double"&gt;-4.603821&lt;/D&gt;&lt;D xsi:type="xsd:double"&gt;6.642449&lt;/D&gt;&lt;D xsi:type="xsd:double"&gt;-4.539543&lt;/D&gt;&lt;D xsi:type="xsd:double"&gt;2.59099&lt;/D&gt;&lt;D xsi:type="xsd:double"&gt;2.268219&lt;/D&gt;&lt;D xsi:type="xsd:double"&gt;0.70581436&lt;/D&gt;&lt;D xsi:type="xsd:double"&gt;1.5274286&lt;/D&gt;&lt;D xsi:type="xsd:double"&gt;1.7445922&lt;/D&gt;&lt;D xsi:type="xsd:double"&gt;-2.9640436&lt;/D&gt;&lt;D xsi:type="xsd:double"&gt;-0.19402504&lt;/D&gt;&lt;D xsi:type="xsd:double"&gt;-4.928714&lt;/D&gt;&lt;D xsi:type="xsd:double"&gt;-1.3807595&lt;/D&gt;&lt;D xsi:type="xsd:double"&gt;4.4769764&lt;/D&gt;&lt;D xsi:type="xsd:double"&gt;1.475203&lt;/D&gt;&lt;D xsi:type="xsd:double"&gt;5.4994345&lt;/D&gt;&lt;D xsi:type="xsd:double"&gt;-0.065904856&lt;/D&gt;&lt;D xsi:type="xsd:double"&gt;0.30198097&lt;/D&gt;&lt;D xsi:type="xsd:double"&gt;3.8391829&lt;/D&gt;&lt;D xsi:type="xsd:double"&gt;-2.3408413&lt;/D&gt;&lt;D xsi:type="xsd:double"&gt;2.2323608&lt;/D&gt;&lt;D xsi:type="xsd:double"&gt;-1.1839747&lt;/D&gt;&lt;D xsi:type="xsd:double"&gt;5.3539753&lt;/D&gt;&lt;D xsi:type="xsd:double"&gt;1.4857292&lt;/D&gt;&lt;D xsi:type="xsd:double"&gt;4.3933153&lt;/D&gt;&lt;D xsi:type="xsd:double"&gt;2.753985&lt;/D&gt;&lt;D xsi:type="xsd:double"&gt;-13.82215&lt;/D&gt;&lt;D xsi:type="xsd:double"&gt;-2.9508948&lt;/D&gt;&lt;D xsi:type="xsd:double"&gt;5.1186204&lt;/D&gt;&lt;D xsi:type="xsd:double"&gt;9.082198&lt;/D&gt;&lt;D xsi:type="xsd:double"&gt;-0.0012993813&lt;/D&gt;&lt;D xsi:type="xsd:double"&gt;5.661392&lt;/D&gt;&lt;D xsi:type="xsd:double"&gt;-0.5006373&lt;/D&gt;&lt;D xsi:type="xsd:double"&gt;4.3022633&lt;/D&gt;&lt;D xsi:type="xsd:double"&gt;2.0729423&lt;/D&gt;&lt;D xsi:type="xsd:double"&gt;3.5843372&lt;/D&gt;&lt;D xsi:type="xsd:double"&gt;4.406965&lt;/D&gt;&lt;D xsi:type="xsd:double"&gt;2.3133755&lt;/D&gt;&lt;D xsi:type="xsd:double"&gt;-0.12817979&lt;/D&gt;&lt;D xsi:type="xsd:double"&gt;5.9705377&lt;/D&gt;&lt;D xsi:type="xsd:double"&gt;1.567483&lt;/D&gt;&lt;D xsi:type="xsd:double"&gt;1.3566494&lt;/D&gt;&lt;D xsi:type="xsd:double"&gt;3.1524777&lt;/D&gt;&lt;D xsi:type="xsd:double"&gt;1.6440153&lt;/D&gt;&lt;D xsi:type="xsd:double"&gt;0.6234765&lt;/D&gt;&lt;D xsi:type="xsd:double"&gt;-1.3836563&lt;/D&gt;&lt;D xsi:type="xsd:double"&gt;5.8831573&lt;/D&gt;&lt;D xsi:type="xsd:double"&gt;1.5357375&lt;/D&gt;&lt;D xsi:type="xsd:double"&gt;-0.75912476&lt;/D&gt;&lt;D xsi:type="xsd:double"&gt;-3.4779072&lt;/D&gt;&lt;D xsi:type="xsd:double"&gt;-5.3057966&lt;/D&gt;&lt;D xsi:type="xsd:double"&gt;5.515027&lt;/D&gt;&lt;D xsi:type="xsd:double"&gt;-10.831827&lt;/D&gt;&lt;D xsi:type="xsd:double"&gt;-2.3277998&lt;/D&gt;&lt;D xsi:type="xsd:double"&gt;0.13986826&lt;/D&gt;&lt;D xsi:type="xsd:double"&gt;8.058238&lt;/D&gt;&lt;D xsi:type="xsd:double"&gt;-3.188169&lt;/D&gt;&lt;D xsi:type="xsd:double"&gt;-11.089367&lt;/D&gt;&lt;D xsi:type="xsd:double"&gt;9.630024&lt;/D&gt;&lt;D xsi:type="xsd:double"&gt;-0.35724044&lt;/D&gt;&lt;D xsi:type="xsd:double"&gt;-0.22494197&lt;/D&gt;&lt;D xsi:type="xsd:double"&gt;4.470277&lt;/D&gt;&lt;D xsi:type="xsd:double"&gt;-5.423486&lt;/D&gt;&lt;D xsi:type="xsd:double"&gt;6.5512657&lt;/D&gt;&lt;D xsi:type="xsd:double"&gt;0.7910013&lt;/D&gt;&lt;D xsi:type="xsd:double"&gt;4.129827&lt;/D&gt;&lt;D xsi:type="xsd:double"&gt;2.6515841&lt;/D&gt;&lt;D xsi:type="xsd:double"&gt;1.4215589&lt;/D&gt;&lt;D xsi:type="xsd:double"&gt;-0.087463856&lt;/D&gt;&lt;D xsi:type="xsd:double"&gt;-2.116263&lt;/D&gt;&lt;D xsi:type="xsd:double"&gt;1.3968706&lt;/D&gt;&lt;D xsi:type="xsd:double"&gt;4.446113&lt;/D&gt;&lt;D xsi:type="xsd:double"&gt;3.9755344&lt;/D&gt;&lt;D xsi:type="xsd:double"&gt;5.170393&lt;/D&gt;&lt;D xsi:type="xsd:double"&gt;2.0989656&lt;/D&gt;&lt;D xsi:type="xsd:double"&gt;0.7833123&lt;/D&gt;&lt;D xsi:type="xsd:double"&gt;1.3070941&lt;/D&gt;&lt;D xsi:type="xsd:double"&gt;2.8453946&lt;/D&gt;&lt;D xsi:type="xsd:double"&gt;5.1288724&lt;/D&gt;&lt;D xsi:type="xsd:double"&gt;-5.047035&lt;/D&gt;&lt;D xsi:type="xsd:double"&gt;2.9644012&lt;/D&gt;&lt;D xsi:type="xsd:double"&gt;5.3043485&lt;/D&gt;&lt;/FQL&gt;&lt;FQL&gt;&lt;Q&gt;WL-FDS^FG_PRICE_CHANGE(0,-6AM)&lt;/Q&gt;&lt;R&gt;1&lt;/R&gt;&lt;C&gt;1&lt;/C&gt;&lt;D xsi:type="xsd:double"&gt;-10.403162055336&lt;/D&gt;&lt;/FQL&gt;&lt;FQL&gt;&lt;Q&gt;CPALM-FDS^FG_PRICE_MAVG(0,,,,30)&lt;/Q&gt;&lt;R&gt;1&lt;/R&gt;&lt;C&gt;1&lt;/C&gt;&lt;D xsi:type="xsd:double"&gt;4101.1&lt;/D&gt;&lt;/FQL&gt;&lt;FQL&gt;&lt;Q&gt;TIOS-FDS^FG_PRICE(0)&lt;/Q&gt;&lt;R&gt;1&lt;/R&gt;&lt;C&gt;1&lt;/C&gt;&lt;D xsi:type="xsd:double"&gt;105.81&lt;/D&gt;&lt;/FQL&gt;&lt;FQL&gt;&lt;Q&gt;EWQ^FG_TOTAL_RETURNC(0,-3AM)&lt;/Q&gt;&lt;R&gt;1&lt;/R&gt;&lt;C&gt;1&lt;/C&gt;&lt;D xsi:type="xsd:double"&gt;1.397872&lt;/D&gt;&lt;/FQL&gt;&lt;FQL&gt;&lt;Q&gt;EWC^FG_TOTAL_RETURNC(0,-12AM)&lt;/Q&gt;&lt;R&gt;1&lt;/R&gt;&lt;C&gt;1&lt;/C&gt;&lt;D xsi:type="xsd:double"&gt;26.792622&lt;/D&gt;&lt;/FQL&gt;&lt;FQL&gt;&lt;Q&gt;ENZL^FMA_COS_UP("EPS","1M",+1,0,,,"PORTAGG","MEANR")&lt;/Q&gt;&lt;R&gt;1&lt;/R&gt;&lt;C&gt;1&lt;/C&gt;&lt;D xsi:type="xsd:double"&gt;6&lt;/D&gt;&lt;/FQL&gt;&lt;FQL&gt;&lt;Q&gt;ENZL^FMA_RBICS_REV_CURRENT(30, LOC, "PORTAGG")&lt;/Q&gt;&lt;R&gt;1&lt;/R&gt;&lt;C&gt;1&lt;/C&gt;&lt;D xsi:type="xsd:double"&gt;25.6286998493894&lt;/D&gt;&lt;/FQL&gt;&lt;FQL&gt;&lt;Q&gt;REFNZOCR-FDS^PROPER_NAME(0,,,"SECURITY","NAME")&lt;/Q&gt;&lt;R&gt;1&lt;/R&gt;&lt;C&gt;1&lt;/C&gt;&lt;D xsi:type="xsd:string"&gt;New Zealand Official Cash Rate&lt;/D&gt;&lt;/FQL&gt;&lt;FQL&gt;&lt;Q&gt;CC_IT^IMF_IFS_RCPI_Q(0)&lt;/Q&gt;&lt;R&gt;0&lt;/R&gt;&lt;C&gt;0&lt;/C&gt;&lt;/FQL&gt;&lt;FQL&gt;&lt;Q&gt;VGK^FG_PE_NTM(0,,,90,0)&lt;/Q&gt;&lt;R&gt;1&lt;/R&gt;&lt;C&gt;1&lt;/C&gt;&lt;D xsi:type="xsd:double"&gt;13.3519132854373&lt;/D&gt;&lt;/FQL&gt;&lt;FQL&gt;&lt;Q&gt;EWQ^FMA_DIV_YLD(NTMA,NOW,NOW,M,"PORTAGG","MEANR")&lt;/Q&gt;&lt;R&gt;1&lt;/R&gt;&lt;C&gt;1&lt;/C&gt;&lt;D xsi:type="xsd:double"&gt;3.3334973095883&lt;/D&gt;&lt;/FQL&gt;&lt;FQL&gt;&lt;Q&gt;UUP^FG_TOTAL_RETURNC(0,-1AM)&lt;/Q&gt;&lt;R&gt;1&lt;/R&gt;&lt;C&gt;1&lt;/C&gt;&lt;D xsi:type="xsd:double"&gt;1.7661572&lt;/D&gt;&lt;/FQL&gt;&lt;FQL&gt;&lt;Q&gt;EWA^JULIAN(FMA_EPS(NTMA,-20AY,0,CY,,"PORTAGG","MEANR").DATES)&lt;/Q&gt;&lt;R&gt;20&lt;/R&gt;&lt;C&gt;1&lt;/C&gt;&lt;D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xsi:type="xsd:long"&gt;45289&lt;/D&gt;&lt;/FQL&gt;&lt;FQL&gt;&lt;Q&gt;QQQ^FMA_PE(NTMA,-10AY,0,AM,"PORTAGG","MEANR")&lt;/Q&gt;&lt;R&gt;121&lt;/R&gt;&lt;C&gt;1&lt;/C&gt;&lt;D xsi:type="xsd:double"&gt;16.5901439608725&lt;/D&gt;&lt;D xsi:type="xsd:double"&gt;17.7542634818969&lt;/D&gt;&lt;D xsi:type="xsd:double"&gt;17.7157118459008&lt;/D&gt;&lt;D xsi:type="xsd:double"&gt;17.3055562398709&lt;/D&gt;&lt;D xsi:type="xsd:double"&gt;17.4618490885612&lt;/D&gt;&lt;D xsi:type="xsd:double"&gt;17.5616234018456&lt;/D&gt;&lt;D xsi:type="xsd:double"&gt;17.9983431695291&lt;/D&gt;&lt;D xsi:type="xsd:double"&gt;17.9212162539688&lt;/D&gt;&lt;D xsi:type="xsd:double"&gt;17.8939772916578&lt;/D&gt;&lt;D xsi:type="xsd:double"&gt;17.511051871763&lt;/D&gt;&lt;D xsi:type="xsd:double"&gt;18.5317018966568&lt;/D&gt;&lt;D xsi:type="xsd:double"&gt;17.3173277196674&lt;/D&gt;&lt;D xsi:type="xsd:double"&gt;17.5754550150943&lt;/D&gt;&lt;D xsi:type="xsd:double"&gt;18.6062006333666&lt;/D&gt;&lt;D xsi:type="xsd:double"&gt;18.5253809263405&lt;/D&gt;&lt;D xsi:type="xsd:double"&gt;17.1676831615518&lt;/D&gt;&lt;D xsi:type="xsd:double"&gt;16.036064303295&lt;/D&gt;&lt;D xsi:type="xsd:double"&gt;17.1494882371007&lt;/D&gt;&lt;D xsi:type="xsd:double"&gt;17.8141347752068&lt;/D&gt;&lt;D xsi:type="xsd:double"&gt;17.6951421334751&lt;/D&gt;&lt;D xsi:type="xsd:double"&gt;17.7249180260534&lt;/D&gt;&lt;D xsi:type="xsd:double"&gt;18.0707212014765&lt;/D&gt;&lt;D xsi:type="xsd:double"&gt;18.7743464120286&lt;/D&gt;&lt;D xsi:type="xsd:double"&gt;18.0902057284532&lt;/D&gt;&lt;D xsi:type="xsd:double"&gt;18.667457270171&lt;/D&gt;&lt;D xsi:type="xsd:double"&gt;17.9481401275038&lt;/D&gt;&lt;D xsi:type="xsd:double"&gt;18.283669809778&lt;/D&gt;&lt;D xsi:type="xsd:double"&gt;18.625242175816&lt;/D&gt;&lt;D xsi:type="xsd:double"&gt;19.7525406103705&lt;/D&gt;&lt;D xsi:type="xsd:double"&gt;20.1288580166441&lt;/D&gt;&lt;D xsi:type="xsd:double"&gt;20.0312069924662&lt;/D&gt;&lt;D xsi:type="xsd:double"&gt;20.7036815632882&lt;/D&gt;&lt;D xsi:type="xsd:double"&gt;20.6409360776652&lt;/D&gt;&lt;D xsi:type="xsd:double"&gt;20.1562729470282&lt;/D&gt;&lt;D xsi:type="xsd:double"&gt;20.2349447714514&lt;/D&gt;&lt;D xsi:type="xsd:double"&gt;20.3825895832153&lt;/D&gt;&lt;D xsi:type="xsd:double"&gt;20.5715336803528&lt;/D&gt;&lt;D xsi:type="xsd:double"&gt;20.8736426741464&lt;/D&gt;&lt;D xsi:type="xsd:double"&gt;20.7410190621417&lt;/D&gt;&lt;D xsi:type="xsd:double"&gt;21.4900796357237&lt;/D&gt;&lt;D xsi:type="xsd:double"&gt;19.6565314103086&lt;/D&gt;&lt;D xsi:type="xsd:double"&gt;21.4751158155038&lt;/D&gt;&lt;D xsi:type="xsd:double"&gt;19.8141075187075&lt;/D&gt;&lt;D xsi:type="xsd:double"&gt;20.2538161366082&lt;/D&gt;&lt;D xsi:type="xsd:double"&gt;20.533937046742&lt;/D&gt;&lt;D xsi:type="xsd:double"&gt;20.7299839734026&lt;/D&gt;&lt;D xsi:type="xsd:double"&gt;20.58621890021&lt;/D&gt;&lt;D xsi:type="xsd:double"&gt;20.469385006738&lt;/D&gt;&lt;D xsi:type="xsd:double"&gt;19.2509187775619&lt;/D&gt;&lt;D xsi:type="xsd:double"&gt;19.046710566254&lt;/D&gt;&lt;D xsi:type="xsd:double"&gt;18.0603638148176&lt;/D&gt;&lt;D xsi:type="xsd:double"&gt;18.1895434987969&lt;/D&gt;&lt;D xsi:type="xsd:double"&gt;19.1144461451171&lt;/D&gt;&lt;D xsi:type="xsd:double"&gt;19.4137676772964&lt;/D&gt;&lt;D xsi:type="xsd:double"&gt;20.9203269834761&lt;/D&gt;&lt;D xsi:type="xsd:double"&gt;20.7155399203374&lt;/D&gt;&lt;D xsi:type="xsd:double"&gt;20.3100710610695&lt;/D&gt;&lt;D xsi:type="xsd:double"&gt;21.354296505445&lt;/D&gt;&lt;D xsi:type="xsd:double"&gt;20.4747554945385&lt;/D&gt;&lt;D xsi:type="xsd:double"&gt;20.7085666850997&lt;/D&gt;&lt;D xsi:type="xsd:double"&gt;20.3407458145719&lt;/D&gt;&lt;D xsi:type="xsd:double"&gt;21.5592615953269&lt;/D&gt;&lt;D xsi:type="xsd:double"&gt;21.7903131284707&lt;/D&gt;&lt;D xsi:type="xsd:double"&gt;23.2526541301789&lt;/D&gt;&lt;D xsi:type="xsd:double"&gt;24.1190824985422&lt;/D&gt;&lt;D xsi:type="xsd:double"&gt;21.1630242391824&lt;/D&gt;&lt;D xsi:type="xsd:double"&gt;22.2789830535801&lt;/D&gt;&lt;D xsi:type="xsd:double"&gt;26.4652694783612&lt;/D&gt;&lt;D xsi:type="xsd:double"&gt;28.6885403006824&lt;/D&gt;&lt;D xsi:type="xsd:double"&gt;30.0704990253564&lt;/D&gt;&lt;D xsi:type="xsd:double"&gt;29.1158354530695&lt;/D&gt;&lt;D xsi:type="xsd:double"&gt;28.8384015044785&lt;/D&gt;&lt;D xsi:type="xsd:double"&gt;29.8249898283859&lt;/D&gt;&lt;D xsi:type="xsd:double"&gt;28.5007802372487&lt;/D&gt;&lt;D xsi:type="xsd:double"&gt;29.7320869680613&lt;/D&gt;&lt;D xsi:type="xsd:double"&gt;30.4213250733489&lt;/D&gt;&lt;D xsi:type="xsd:double"&gt;29.979607517192&lt;/D&gt;&lt;D xsi:type="xsd:double"&gt;27.3462694567649&lt;/D&gt;&lt;D xsi:type="xsd:double"&gt;29.4433189404585&lt;/D&gt;&lt;D xsi:type="xsd:double"&gt;26.5919889068204&lt;/D&gt;&lt;D xsi:type="xsd:double"&gt;27.3373692792006&lt;/D&gt;&lt;D xsi:type="xsd:double"&gt;28.7357353794872&lt;/D&gt;&lt;D xsi:type="xsd:double"&gt;27.8780198151389&lt;/D&gt;&lt;D xsi:type="xsd:double"&gt;28.255653540649&lt;/D&gt;&lt;D xsi:type="xsd:double"&gt;27.2112019988192&lt;/D&gt;&lt;D xsi:type="xsd:double"&gt;29.0169090333466&lt;/D&gt;&lt;D xsi:type="xsd:double"&gt;29.1991785879014&lt;/D&gt;&lt;D xsi:type="xsd:double"&gt;27.803756632249&lt;/D&gt;&lt;D xsi:type="xsd:double"&gt;25.8754439120398&lt;/D&gt;&lt;D xsi:type="xsd:double"&gt;23.5540193912305&lt;/D&gt;&lt;D xsi:type="xsd:double"&gt;24.6582484833749&lt;/D&gt;&lt;D xsi:type="xsd:double"&gt;21.4400118889892&lt;/D&gt;&lt;D xsi:type="xsd:double"&gt;20.3747036709115&lt;/D&gt;&lt;D xsi:type="xsd:double"&gt;21.0093636070233&lt;/D&gt;&lt;D xsi:type="xsd:double"&gt;23.8638720348001&lt;/D&gt;&lt;D xsi:type="xsd:double"&gt;22.3201814697857&lt;/D&gt;&lt;D xsi:type="xsd:double"&gt;19.4732403811371&lt;/D&gt;&lt;D xsi:type="xsd:double"&gt;21.6202133886292&lt;/D&gt;&lt;D xsi:type="xsd:double"&gt;21.4621614337919&lt;/D&gt;&lt;D xsi:type="xsd:double"&gt;21.3687634427487&lt;/D&gt;&lt;D xsi:type="xsd:double"&gt;23.7901628041199&lt;/D&gt;&lt;D xsi:type="xsd:double"&gt;22.621173889249&lt;/D&gt;&lt;D xsi:type="xsd:double"&gt;24.7309578560297&lt;/D&gt;&lt;D xsi:type="xsd:double"&gt;24.647090059938&lt;/D&gt;&lt;D xsi:type="xsd:double"&gt;26.0804306599118&lt;/D&gt;&lt;D xsi:type="xsd:double"&gt;26.4252102467692&lt;/D&gt;&lt;D xsi:type="xsd:double"&gt;24.6262468442585&lt;/D&gt;&lt;D xsi:type="xsd:double"&gt;24.227072319739&lt;/D&gt;&lt;D xsi:type="xsd:double"&gt;23.7248790045432&lt;/D&gt;&lt;D xsi:type="xsd:double"&gt;23.9881125280385&lt;/D&gt;&lt;D xsi:type="xsd:double"&gt;24.3238824355007&lt;/D&gt;&lt;D xsi:type="xsd:double"&gt;24.9423846835608&lt;/D&gt;&lt;D xsi:type="xsd:double"&gt;26.3882214354545&lt;/D&gt;&lt;D xsi:type="xsd:double"&gt;26.06590558511&lt;/D&gt;&lt;D xsi:type="xsd:double"&gt;25.7336665498792&lt;/D&gt;&lt;D xsi:type="xsd:double"&gt;25.6603157991357&lt;/D&gt;&lt;D xsi:type="xsd:double"&gt;26.3280817844768&lt;/D&gt;&lt;D xsi:type="xsd:double"&gt;28.1265258742724&lt;/D&gt;&lt;D xsi:type="xsd:double"&gt;25.201484433206&lt;/D&gt;&lt;D xsi:type="xsd:double"&gt;25.0808556463801&lt;/D&gt;&lt;D xsi:type="xsd:double"&gt;26.6065593247422&lt;/D&gt;&lt;/FQL&gt;&lt;FQL&gt;&lt;Q&gt;QQQ^P_PRICE(0)/P_PRICE_LOW_PR(0,,,,,,"PRICE","INTRA","52W")-1&lt;/Q&gt;&lt;R&gt;1&lt;/R&gt;&lt;C&gt;1&lt;/C&gt;&lt;D xsi:type="xsd:double"&gt;0.4388491&lt;/D&gt;&lt;/FQL&gt;&lt;FQL&gt;&lt;Q&gt;EWG^P_PRICE(0)/P_PRICE_HIGH_PR(0,,,,,,"PRICE","INTRA","52W")&lt;/Q&gt;&lt;R&gt;1&lt;/R&gt;&lt;C&gt;1&lt;/C&gt;&lt;D xsi:type="xsd:double"&gt;0.9662955&lt;/D&gt;&lt;/FQL&gt;&lt;FQL&gt;&lt;Q&gt;URTH^FMA_COS_UP("EPS","1M",+1,0,,,"PORTAGG","MEANR")&lt;/Q&gt;&lt;R&gt;1&lt;/R&gt;&lt;C&gt;1&lt;/C&gt;&lt;D xsi:type="xsd:double"&gt;461&lt;/D&gt;&lt;/FQL&gt;&lt;FQL&gt;&lt;Q&gt;EWC^FMA_COS_UP("EPS","1M",+1,0,,,"PORTAGG","MEANR")&lt;/Q&gt;&lt;R&gt;1&lt;/R&gt;&lt;C&gt;1&lt;/C&gt;&lt;D xsi:type="xsd:double"&gt;17&lt;/D&gt;&lt;/FQL&gt;&lt;FQL&gt;&lt;Q&gt;REFSEREPO-FDS^PROPER_NAME(0,,,"SECURITY","NAME")&lt;/Q&gt;&lt;R&gt;1&lt;/R&gt;&lt;C&gt;1&lt;/C&gt;&lt;D xsi:type="xsd:string"&gt;Sweden Repo Rate&lt;/D&gt;&lt;/FQL&gt;&lt;FQL&gt;&lt;Q&gt;TRYFR10Y-FDS^PCTCHG(FG_YIELD(0,,,,"YTM"),FG_YIELD(-3AM,,,,"YTM"))&lt;/Q&gt;&lt;R&gt;1&lt;/R&gt;&lt;C&gt;1&lt;/C&gt;&lt;D xsi:type="xsd:double"&gt;-4.5297203&lt;/D&gt;&lt;/FQL&gt;&lt;FQL&gt;&lt;Q&gt;VGK^FG_PE(0)&lt;/Q&gt;&lt;R&gt;1&lt;/R&gt;&lt;C&gt;1&lt;/C&gt;&lt;D xsi:type="xsd:double"&gt;15.5204531278484&lt;/D&gt;&lt;/FQL&gt;&lt;FQL&gt;&lt;Q&gt;TIPSCL10Y-FDS^FG_YIELD(-10AY,0,Y,,"YTM")&lt;/Q&gt;&lt;R&gt;10&lt;/R&gt;&lt;C&gt;1&lt;/C&gt;&lt;D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xsi:type="xsd:string"&gt;@NA&lt;/D&gt;&lt;/FQL&gt;&lt;FQL&gt;&lt;Q&gt;USDSEK^STD(FG_PRICE_CHANGE(0,-3AY,M))&lt;/Q&gt;&lt;R&gt;1&lt;/R&gt;&lt;C&gt;1&lt;/C&gt;&lt;D xsi:type="xsd:double"&gt;3.09688558121638&lt;/D&gt;&lt;/FQL&gt;&lt;FQL&gt;&lt;Q&gt;EWG^FMA_PE(NTMA,-10AY,0,AM,"PORTAGG","MEANR")&lt;/Q&gt;&lt;R&gt;121&lt;/R&gt;&lt;C&gt;1&lt;/C&gt;&lt;D xsi:type="xsd:double"&gt;11.6096709554332&lt;/D&gt;&lt;D xsi:type="xsd:double"&gt;12.3322228696792&lt;/D&gt;&lt;D xsi:type="xsd:double"&gt;12.8673341128946&lt;/D&gt;&lt;D xsi:type="xsd:double"&gt;12.6855910791261&lt;/D&gt;&lt;D xsi:type="xsd:double"&gt;14.0119793969656&lt;/D&gt;&lt;D xsi:type="xsd:double"&gt;14.9152380634161&lt;/D&gt;&lt;D xsi:type="xsd:double"&gt;15.90603691566&lt;/D&gt;&lt;D xsi:type="xsd:double"&gt;14.6688245783557&lt;/D&gt;&lt;D xsi:type="xsd:double"&gt;13.8215909352669&lt;/D&gt;&lt;D xsi:type="xsd:double"&gt;13.7483321944471&lt;/D&gt;&lt;D xsi:type="xsd:double"&gt;14.0351103746554&lt;/D&gt;&lt;D xsi:type="xsd:double"&gt;12.3840701168731&lt;/D&gt;&lt;D xsi:type="xsd:double"&gt;12.4114362948476&lt;/D&gt;&lt;D xsi:type="xsd:double"&gt;13.3922846500725&lt;/D&gt;&lt;D xsi:type="xsd:double"&gt;13.2191283003824&lt;/D&gt;&lt;D xsi:type="xsd:double"&gt;12.2409557785978&lt;/D&gt;&lt;D xsi:type="xsd:double"&gt;11.4376041952361&lt;/D&gt;&lt;D xsi:type="xsd:double"&gt;12.1193977217236&lt;/D&gt;&lt;D xsi:type="xsd:double"&gt;12.2846244642165&lt;/D&gt;&lt;D xsi:type="xsd:double"&gt;12.614360605848&lt;/D&gt;&lt;D xsi:type="xsd:double"&gt;12.1514418532897&lt;/D&gt;&lt;D xsi:type="xsd:double"&gt;11.9039448117217&lt;/D&gt;&lt;D xsi:type="xsd:double"&gt;13.0817964837037&lt;/D&gt;&lt;D xsi:type="xsd:double"&gt;12.9826707681633&lt;/D&gt;&lt;D xsi:type="xsd:double"&gt;12.9825574645606&lt;/D&gt;&lt;D xsi:type="xsd:double"&gt;12.776257625875&lt;/D&gt;&lt;D xsi:type="xsd:double"&gt;13.3932021891696&lt;/D&gt;&lt;D xsi:type="xsd:double"&gt;13.7269771511453&lt;/D&gt;&lt;D xsi:type="xsd:double"&gt;13.6297623685621&lt;/D&gt;&lt;D xsi:type="xsd:double"&gt;13.8574938465021&lt;/D&gt;&lt;D xsi:type="xsd:double"&gt;13.9147520356091&lt;/D&gt;&lt;D xsi:type="xsd:double"&gt;14.1207003881358&lt;/D&gt;&lt;D xsi:type="xsd:double"&gt;13.8798517892156&lt;/D&gt;&lt;D xsi:type="xsd:double"&gt;13.4189719808436&lt;/D&gt;&lt;D xsi:type="xsd:double"&gt;12.9212402320784&lt;/D&gt;&lt;D xsi:type="xsd:double"&gt;13.1499492739105&lt;/D&gt;&lt;D xsi:type="xsd:double"&gt;13.7727249913494&lt;/D&gt;&lt;D xsi:type="xsd:double"&gt;13.9711759856291&lt;/D&gt;&lt;D xsi:type="xsd:double"&gt;14.0260587045394&lt;/D&gt;&lt;D xsi:type="xsd:double"&gt;14.085503635684&lt;/D&gt;&lt;D xsi:type="xsd:double"&gt;12.8299170612557&lt;/D&gt;&lt;D xsi:type="xsd:double"&gt;13.0889529675841&lt;/D&gt;&lt;D xsi:type="xsd:double"&gt;13.0286778422922&lt;/D&gt;&lt;D xsi:type="xsd:double"&gt;13.4574494409853&lt;/D&gt;&lt;D xsi:type="xsd:double"&gt;13.2196760785122&lt;/D&gt;&lt;D xsi:type="xsd:double"&gt;13.0568403837525&lt;/D&gt;&lt;D xsi:type="xsd:double"&gt;12.8581373553285&lt;/D&gt;&lt;D xsi:type="xsd:double"&gt;12.4493361990123&lt;/D&gt;&lt;D xsi:type="xsd:double"&gt;12.0630522753752&lt;/D&gt;&lt;D xsi:type="xsd:double"&gt;11.8044807401602&lt;/D&gt;&lt;D xsi:type="xsd:double"&gt;11.017072992491&lt;/D&gt;&lt;D xsi:type="xsd:double"&gt;11.3461000411944&lt;/D&gt;&lt;D xsi:type="xsd:double"&gt;11.5165417422748&lt;/D&gt;&lt;D xsi:type="xsd:double"&gt;12.092177694284&lt;/D&gt;&lt;D xsi:type="xsd:double"&gt;12.5255092790734&lt;/D&gt;&lt;D xsi:type="xsd:double"&gt;12.5783091446634&lt;/D&gt;&lt;D xsi:type="xsd:double"&gt;12.3245450903022&lt;/D&gt;&lt;D xsi:type="xsd:double"&gt;12.8429912687792&lt;/D&gt;&lt;D xsi:type="xsd:double"&gt;12.3727481152197&lt;/D&gt;&lt;D xsi:type="xsd:double"&gt;13.0068305893212&lt;/D&gt;&lt;D xsi:type="xsd:double"&gt;12.7660276084239&lt;/D&gt;&lt;D xsi:type="xsd:double"&gt;13.9046102450747&lt;/D&gt;&lt;D xsi:type="xsd:double"&gt;13.9097997195863&lt;/D&gt;&lt;D xsi:type="xsd:double"&gt;14.3552463434219&lt;/D&gt;&lt;D xsi:type="xsd:double"&gt;14.2846625665125&lt;/D&gt;&lt;D xsi:type="xsd:double"&gt;11.2975790141452&lt;/D&gt;&lt;D xsi:type="xsd:double"&gt;13.5012910233363&lt;/D&gt;&lt;D xsi:type="xsd:double"&gt;15.4067254308842&lt;/D&gt;&lt;D xsi:type="xsd:double"&gt;18.1082310982423&lt;/D&gt;&lt;D xsi:type="xsd:double"&gt;18.3088966874919&lt;/D&gt;&lt;D xsi:type="xsd:double"&gt;17.7846211514635&lt;/D&gt;&lt;D xsi:type="xsd:double"&gt;17.8125197431535&lt;/D&gt;&lt;D xsi:type="xsd:double"&gt;16.9529287792555&lt;/D&gt;&lt;D xsi:type="xsd:double"&gt;16.0988856790401&lt;/D&gt;&lt;D xsi:type="xsd:double"&gt;15.9091754496083&lt;/D&gt;&lt;D xsi:type="xsd:double"&gt;16.325465735516&lt;/D&gt;&lt;D xsi:type="xsd:double"&gt;15.7293981969273&lt;/D&gt;&lt;D xsi:type="xsd:double"&gt;15.9451270949455&lt;/D&gt;&lt;D xsi:type="xsd:double"&gt;16.2404691146104&lt;/D&gt;&lt;D xsi:type="xsd:double"&gt;15.0228168277239&lt;/D&gt;&lt;D xsi:type="xsd:double"&gt;14.906025225215&lt;/D&gt;&lt;D xsi:type="xsd:double"&gt;14.7022818048261&lt;/D&gt;&lt;D xsi:type="xsd:double"&gt;14.3035767612305&lt;/D&gt;&lt;D xsi:type="xsd:double"&gt;14.027002608384&lt;/D&gt;&lt;D xsi:type="xsd:double"&gt;13.4697489292329&lt;/D&gt;&lt;D xsi:type="xsd:double"&gt;13.7975803239446&lt;/D&gt;&lt;D xsi:type="xsd:double"&gt;13.2990535872434&lt;/D&gt;&lt;D xsi:type="xsd:double"&gt;13.2489271858406&lt;/D&gt;&lt;D xsi:type="xsd:double"&gt;12.8811534980349&lt;/D&gt;&lt;D xsi:type="xsd:double"&gt;10.9197567392477&lt;/D&gt;&lt;D xsi:type="xsd:double"&gt;11.4808807463767&lt;/D&gt;&lt;D xsi:type="xsd:double"&gt;10.4462636436047&lt;/D&gt;&lt;D xsi:type="xsd:double"&gt;10.4900520455481&lt;/D&gt;&lt;D xsi:type="xsd:double"&gt;9.9710957874304&lt;/D&gt;&lt;D xsi:type="xsd:double"&gt;10.2816269863541&lt;/D&gt;&lt;D xsi:type="xsd:double"&gt;9.81141012351717&lt;/D&gt;&lt;D xsi:type="xsd:double"&gt;9.09004240353661&lt;/D&gt;&lt;D xsi:type="xsd:double"&gt;10.6158473128396&lt;/D&gt;&lt;D xsi:type="xsd:double"&gt;10.7051481635387&lt;/D&gt;&lt;D xsi:type="xsd:double"&gt;11.1723573388769&lt;/D&gt;&lt;D xsi:type="xsd:double"&gt;11.6378150501039&lt;/D&gt;&lt;D xsi:type="xsd:double"&gt;11.4717203195541&lt;/D&gt;&lt;D xsi:type="xsd:double"&gt;11.3051289608862&lt;/D&gt;&lt;D xsi:type="xsd:double"&gt;11.1204686685577&lt;/D&gt;&lt;D xsi:type="xsd:double"&gt;10.7653955714364&lt;/D&gt;&lt;D xsi:type="xsd:double"&gt;10.4800260548622&lt;/D&gt;&lt;D xsi:type="xsd:double"&gt;10.7618871847397&lt;/D&gt;&lt;D xsi:type="xsd:double"&gt;10.5586058455335&lt;/D&gt;&lt;D xsi:type="xsd:double"&gt;10.3307907506891&lt;/D&gt;&lt;D xsi:type="xsd:double"&gt;10.2565263951604&lt;/D&gt;&lt;D xsi:type="xsd:double"&gt;11.2520710888988&lt;/D&gt;&lt;D xsi:type="xsd:double"&gt;11.1056645261025&lt;/D&gt;&lt;D xsi:type="xsd:double"&gt;11.5231804189401&lt;/D&gt;&lt;D xsi:type="xsd:double"&gt;12.1052798238637&lt;/D&gt;&lt;D xsi:type="xsd:double"&gt;12.1244358058902&lt;/D&gt;&lt;D xsi:type="xsd:double"&gt;12.2298676344571&lt;/D&gt;&lt;D xsi:type="xsd:double"&gt;11.9094761336316&lt;/D&gt;&lt;D xsi:type="xsd:double"&gt;11.8197673018375&lt;/D&gt;&lt;D xsi:type="xsd:double"&gt;11.3643988686421&lt;/D&gt;&lt;D xsi:type="xsd:double"&gt;11.9026416758248&lt;/D&gt;&lt;D xsi:type="xsd:double"&gt;12.7094869372742&lt;/D&gt;&lt;/FQL&gt;&lt;FQL&gt;&lt;Q&gt;ENZL^FG_PRICE_MAVG(0,,,,60)&lt;/Q&gt;&lt;R&gt;1&lt;/R&gt;&lt;C&gt;1&lt;/C&gt;&lt;D xsi:type="xsd:double"&gt;48.112865&lt;/D&gt;&lt;/FQL&gt;&lt;FQL&gt;&lt;Q&gt;EWI^P_PRICE(0)/P_PRICE_HIGH_PR(0,,,,,,"PRICE","INTRA","52W")&lt;/Q&gt;&lt;R&gt;1&lt;/R&gt;&lt;C&gt;1&lt;/C&gt;&lt;D xsi:type="xsd:double"&gt;0.9596265&lt;/D&gt;&lt;/FQL&gt;&lt;FQL&gt;&lt;Q&gt;EWL^FG_ROE(0)&lt;/Q&gt;&lt;R&gt;1&lt;/R&gt;&lt;C&gt;1&lt;/C&gt;&lt;D xsi:type="xsd:double"&gt;18.7237416047353&lt;/D&gt;&lt;/FQL&gt;&lt;FQL&gt;&lt;Q&gt;TRYJP10Y-FDS^FG_YIELD(0,,,,"YTM")&lt;/Q&gt;&lt;R&gt;1&lt;/R&gt;&lt;C&gt;1&lt;/C&gt;&lt;D xsi:type="xsd:double"&gt;0.9448&lt;/D&gt;&lt;/FQL&gt;&lt;FQL&gt;&lt;Q&gt;QQQ^FMA_DIV_YLD(NTMA,NOW,NOW,M,"PORTAGG","MEANR")&lt;/Q&gt;&lt;R&gt;1&lt;/R&gt;&lt;C&gt;1&lt;/C&gt;&lt;D xsi:type="xsd:double"&gt;0.817342229199014&lt;/D&gt;&lt;/FQL&gt;&lt;FQL&gt;&lt;Q&gt;EWC^FMA_PE(LTM,0,,,"PORTAGG","MEANR")&lt;/Q&gt;&lt;R&gt;1&lt;/R&gt;&lt;C&gt;1&lt;/C&gt;&lt;D xsi:type="xsd:double"&gt;18.9730944971374&lt;/D&gt;&lt;/FQL&gt;&lt;FQL&gt;&lt;Q&gt;VWO^FG_TOTAL_RETURNC(0,-3AM)&lt;/Q&gt;&lt;R&gt;1&lt;/R&gt;&lt;C&gt;1&lt;/C&gt;&lt;D xsi:type="xsd:double"&gt;6.4887404&lt;/D&gt;&lt;/FQL&gt;&lt;FQL&gt;&lt;Q&gt;EWD^P_PRICE_RETURNS_PR('52W',2,-10AY,0,AM)&lt;/Q&gt;&lt;R&gt;121&lt;/R&gt;&lt;C&gt;1&lt;/C&gt;&lt;D xsi:type="xsd:double"&gt;-6.553382&lt;/D&gt;&lt;D xsi:type="xsd:double"&gt;0.68012476&lt;/D&gt;&lt;D xsi:type="xsd:double"&gt;1.4394879&lt;/D&gt;&lt;D xsi:type="xsd:double"&gt;-8.944845&lt;/D&gt;&lt;D xsi:type="xsd:double"&gt;-1.9768178&lt;/D&gt;&lt;D xsi:type="xsd:double"&gt;-7.257408&lt;/D&gt;&lt;D xsi:type="xsd:double"&gt;-2.75082&lt;/D&gt;&lt;D xsi:type="xsd:double"&gt;-2.3932338&lt;/D&gt;&lt;D xsi:type="xsd:double"&gt;-3.6008537&lt;/D&gt;&lt;D xsi:type="xsd:double"&gt;-1.910758&lt;/D&gt;&lt;D xsi:type="xsd:double"&gt;0.4997015&lt;/D&gt;&lt;D xsi:type="xsd:double"&gt;-4.587573&lt;/D&gt;&lt;D xsi:type="xsd:double"&gt;4.783976&lt;/D&gt;&lt;D xsi:type="xsd:double"&gt;-5.3951025&lt;/D&gt;&lt;D xsi:type="xsd:double"&gt;-8.090221&lt;/D&gt;&lt;D xsi:type="xsd:double"&gt;-8.713836&lt;/D&gt;&lt;D xsi:type="xsd:double"&gt;-17.700077&lt;/D&gt;&lt;D xsi:type="xsd:double"&gt;-10.08659&lt;/D&gt;&lt;D xsi:type="xsd:double"&gt;-9.555304&lt;/D&gt;&lt;D xsi:type="xsd:double"&gt;-11.500782&lt;/D&gt;&lt;D xsi:type="xsd:double"&gt;-14.314735&lt;/D&gt;&lt;D xsi:type="xsd:double"&gt;-8.942324&lt;/D&gt;&lt;D xsi:type="xsd:double"&gt;-7.168621&lt;/D&gt;&lt;D xsi:type="xsd:double"&gt;-1.2248933&lt;/D&gt;&lt;D xsi:type="xsd:double"&gt;-1.9709349&lt;/D&gt;&lt;D xsi:type="xsd:double"&gt;-2.4934292&lt;/D&gt;&lt;D xsi:type="xsd:double"&gt;2.0305753&lt;/D&gt;&lt;D xsi:type="xsd:double"&gt;10.228443&lt;/D&gt;&lt;D xsi:type="xsd:double"&gt;20.621014&lt;/D&gt;&lt;D xsi:type="xsd:double"&gt;12.297869&lt;/D&gt;&lt;D xsi:type="xsd:double"&gt;9.186184&lt;/D&gt;&lt;D xsi:type="xsd:double"&gt;18.61844&lt;/D&gt;&lt;D xsi:type="xsd:double"&gt;20.242893&lt;/D&gt;&lt;D xsi:type="xsd:double"&gt;31.09907&lt;/D&gt;&lt;D xsi:type="xsd:double"&gt;20.850908&lt;/D&gt;&lt;D xsi:type="xsd:double"&gt;21.659327&lt;/D&gt;&lt;D xsi:type="xsd:double"&gt;26.97053&lt;/D&gt;&lt;D xsi:type="xsd:double"&gt;28.246271&lt;/D&gt;&lt;D xsi:type="xsd:double"&gt;21.465492&lt;/D&gt;&lt;D xsi:type="xsd:double"&gt;26.584768&lt;/D&gt;&lt;D xsi:type="xsd:double"&gt;13.227749&lt;/D&gt;&lt;D xsi:type="xsd:double"&gt;16.135132&lt;/D&gt;&lt;D xsi:type="xsd:double"&gt;11.18685&lt;/D&gt;&lt;D xsi:type="xsd:double"&gt;6.09746&lt;/D&gt;&lt;D xsi:type="xsd:double"&gt;-0.2399087&lt;/D&gt;&lt;D xsi:type="xsd:double"&gt;-3.473872&lt;/D&gt;&lt;D xsi:type="xsd:double"&gt;-2.956158&lt;/D&gt;&lt;D xsi:type="xsd:double"&gt;-4.645419&lt;/D&gt;&lt;D xsi:type="xsd:double"&gt;-11.440664&lt;/D&gt;&lt;D xsi:type="xsd:double"&gt;-10.334551&lt;/D&gt;&lt;D xsi:type="xsd:double"&gt;-12.694132&lt;/D&gt;&lt;D xsi:type="xsd:double"&gt;-12.463856&lt;/D&gt;&lt;D xsi:type="xsd:double"&gt;-7.2045383&lt;/D&gt;&lt;D xsi:type="xsd:double"&gt;-9.733838&lt;/D&gt;&lt;D xsi:type="xsd:double"&gt;0.14320612&lt;/D&gt;&lt;D xsi:type="xsd:double"&gt;-6.7075253&lt;/D&gt;&lt;D xsi:type="xsd:double"&gt;-3.016156&lt;/D&gt;&lt;D xsi:type="xsd:double"&gt;0.7912159&lt;/D&gt;&lt;D xsi:type="xsd:double"&gt;-8.0124855&lt;/D&gt;&lt;D xsi:type="xsd:double"&gt;-3.1620622&lt;/D&gt;&lt;D xsi:type="xsd:double"&gt;-1.7525375&lt;/D&gt;&lt;D xsi:type="xsd:double"&gt;11.129546&lt;/D&gt;&lt;D xsi:type="xsd:double"&gt;18.141354&lt;/D&gt;&lt;D xsi:type="xsd:double"&gt;15.675902&lt;/D&gt;&lt;D xsi:type="xsd:double"&gt;19.275892&lt;/D&gt;&lt;D xsi:type="xsd:double"&gt;2.2567868&lt;/D&gt;&lt;D xsi:type="xsd:double"&gt;-12.200266&lt;/D&gt;&lt;D xsi:type="xsd:double"&gt;-5.6687713&lt;/D&gt;&lt;D xsi:type="xsd:double"&gt;9.2108135&lt;/D&gt;&lt;D xsi:type="xsd:double"&gt;7.8163147&lt;/D&gt;&lt;D xsi:type="xsd:double"&gt;25.435375&lt;/D&gt;&lt;D xsi:type="xsd:double"&gt;21.514904&lt;/D&gt;&lt;D xsi:type="xsd:double"&gt;29.537846&lt;/D&gt;&lt;D xsi:type="xsd:double"&gt;19.893288&lt;/D&gt;&lt;D xsi:type="xsd:double"&gt;25.50838&lt;/D&gt;&lt;D xsi:type="xsd:double"&gt;27.832962&lt;/D&gt;&lt;D xsi:type="xsd:double"&gt;27.166916&lt;/D&gt;&lt;D xsi:type="xsd:double"&gt;55.671276&lt;/D&gt;&lt;D xsi:type="xsd:double"&gt;78.84852&lt;/D&gt;&lt;D xsi:type="xsd:double"&gt;74.63334&lt;/D&gt;&lt;D xsi:type="xsd:double"&gt;56.228233&lt;/D&gt;&lt;D xsi:type="xsd:double"&gt;51.862846&lt;/D&gt;&lt;D xsi:type="xsd:double"&gt;41.70352&lt;/D&gt;&lt;D xsi:type="xsd:double"&gt;38.947166&lt;/D&gt;&lt;D xsi:type="xsd:double"&gt;27.569199&lt;/D&gt;&lt;D xsi:type="xsd:double"&gt;30.020596&lt;/D&gt;&lt;D xsi:type="xsd:double"&gt;20.441675&lt;/D&gt;&lt;D xsi:type="xsd:double"&gt;12.594199&lt;/D&gt;&lt;D xsi:type="xsd:double"&gt;4.8214197&lt;/D&gt;&lt;D xsi:type="xsd:double"&gt;-14.025092&lt;/D&gt;&lt;D xsi:type="xsd:double"&gt;-11.348539&lt;/D&gt;&lt;D xsi:type="xsd:double"&gt;-26.679062&lt;/D&gt;&lt;D xsi:type="xsd:double"&gt;-26.68963&lt;/D&gt;&lt;D xsi:type="xsd:double"&gt;-29.345364&lt;/D&gt;&lt;D xsi:type="xsd:double"&gt;-25.055134&lt;/D&gt;&lt;D xsi:type="xsd:double"&gt;-31.514894&lt;/D&gt;&lt;D xsi:type="xsd:double"&gt;-36.19936&lt;/D&gt;&lt;D xsi:type="xsd:double"&gt;-26.871227&lt;/D&gt;&lt;D xsi:type="xsd:double"&gt;-22.220505&lt;/D&gt;&lt;D xsi:type="xsd:double"&gt;-19.90667&lt;/D&gt;&lt;D xsi:type="xsd:double"&gt;-13.809562&lt;/D&gt;&lt;D xsi:type="xsd:double"&gt;-3.968203&lt;/D&gt;&lt;D xsi:type="xsd:double"&gt;-7.85417&lt;/D&gt;&lt;D xsi:type="xsd:double"&gt;12.55424&lt;/D&gt;&lt;D xsi:type="xsd:double"&gt;3.5046816&lt;/D&gt;&lt;D xsi:type="xsd:double"&gt;11.812819&lt;/D&gt;&lt;D xsi:type="xsd:double"&gt;2.522254&lt;/D&gt;&lt;D xsi:type="xsd:double"&gt;10.318589&lt;/D&gt;&lt;D xsi:type="xsd:double"&gt;25.742554&lt;/D&gt;&lt;D xsi:type="xsd:double"&gt;0.267303&lt;/D&gt;&lt;D xsi:type="xsd:double"&gt;11.825943&lt;/D&gt;&lt;D xsi:type="xsd:double"&gt;11.76331&lt;/D&gt;&lt;D xsi:type="xsd:double"&gt;8.219683&lt;/D&gt;&lt;D xsi:type="xsd:double"&gt;19.631077&lt;/D&gt;&lt;D xsi:type="xsd:double"&gt;16.630436&lt;/D&gt;&lt;D xsi:type="xsd:double"&gt;15.536189&lt;/D&gt;&lt;D xsi:type="xsd:double"&gt;21.226942&lt;/D&gt;&lt;D xsi:type="xsd:double"&gt;21.546782&lt;/D&gt;&lt;D xsi:type="xsd:double"&gt;17.075527&lt;/D&gt;&lt;D xsi:type="xsd:double"&gt;27.866804&lt;/D&gt;&lt;D xsi:type="xsd:double"&gt;27.183104&lt;/D&gt;&lt;/FQL&gt;&lt;FQL&gt;&lt;Q&gt;PLATI-FDS^MAX(FG_PRICE(0,-5AY))&lt;/Q&gt;&lt;R&gt;1&lt;/R&gt;&lt;C&gt;1&lt;/C&gt;&lt;D xsi:type="xsd:double"&gt;1272.59&lt;/D&gt;&lt;/FQL&gt;&lt;FQL&gt;&lt;Q&gt;ENZL^FG_PRICE_MAVG(0,,,,30)&lt;/Q&gt;&lt;R&gt;1&lt;/R&gt;&lt;C&gt;1&lt;/C&gt;&lt;D xsi:type="xsd:double"&gt;49.2245&lt;/D&gt;&lt;/FQL&gt;&lt;FQL&gt;&lt;Q&gt;QQQ^P_PRICE(0)/P_PRICE_HIGH_PR(0,,,,,,"PRICE","INTRA","52W")&lt;/Q&gt;&lt;R&gt;1&lt;/R&gt;&lt;C&gt;1&lt;/C&gt;&lt;D xsi:type="xsd:double"&gt;0.9782928&lt;/D&gt;&lt;/FQL&gt;&lt;FQL&gt;&lt;Q&gt;EWG^FG_TOTAL_RETURNC(0,-6AM)&lt;/Q&gt;&lt;R&gt;1&lt;/R&gt;&lt;C&gt;1&lt;/C&gt;&lt;D xsi:type="xsd:double"&gt;9.083748&lt;/D&gt;&lt;/FQL&gt;&lt;FQL&gt;&lt;Q&gt;VWO^FMA_COS_DOWN("EPS","1M",+1,0,,,"PORTAGG","MEANR")&lt;/Q&gt;&lt;R&gt;1&lt;/R&gt;&lt;C&gt;1&lt;/C&gt;&lt;D xsi:type="xsd:double"&gt;1673&lt;/D&gt;&lt;/FQL&gt;&lt;FQL&gt;&lt;Q&gt;EWA^SIZE(FG_CONSTITUENTS)&lt;/Q&gt;&lt;R&gt;1&lt;/R&gt;&lt;C&gt;1&lt;/C&gt;&lt;D xsi:type="xsd:long"&gt;58&lt;/D&gt;&lt;/FQL&gt;&lt;FQL&gt;&lt;Q&gt;TRYFR10Y-FDS^PCTCHG(FG_YIELD(0,,,,"YTM"),FG_YIELD(-1AM,,,,"YTM"))&lt;/Q&gt;&lt;R&gt;1&lt;/R&gt;&lt;C&gt;1&lt;/C&gt;&lt;D xsi:type="xsd:double"&gt;5.2357845&lt;/D&gt;&lt;/FQL&gt;&lt;FQL&gt;&lt;Q&gt;TRYPL10Y-FDS^FG_YIELD(-10AY,0,Y,,"YTM")&lt;/Q&gt;&lt;R&gt;10&lt;/R&gt;&lt;C&gt;1&lt;/C&gt;&lt;D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xsi:type="xsd:double"&gt;5.1912&lt;/D&gt;&lt;/FQL&gt;&lt;FQL&gt;&lt;Q&gt;USDSEK^STD(FG_PRICE_CHANGE(0,-1AY,AM))&lt;/Q&gt;&lt;R&gt;1&lt;/R&gt;&lt;C&gt;1&lt;/C&gt;&lt;D xsi:type="xsd:double"&gt;2.50056184817487&lt;/D&gt;&lt;/FQL&gt;&lt;FQL&gt;&lt;Q&gt;USDJPY^STD(FG_PRICE_CHANGE(0,-1AY,AM))&lt;/Q&gt;&lt;R&gt;1&lt;/R&gt;&lt;C&gt;1&lt;/C&gt;&lt;D xsi:type="xsd:double"&gt;3.81529190459367&lt;/D&gt;&lt;/FQL&gt;&lt;FQL&gt;&lt;Q&gt;EWC^FMA_PE(NTMA,-10AY,0,AM,"PORTAGG","MEANR")&lt;/Q&gt;&lt;R&gt;121&lt;/R&gt;&lt;C&gt;1&lt;/C&gt;&lt;D xsi:type="xsd:double"&gt;13.7566973440183&lt;/D&gt;&lt;D xsi:type="xsd:double"&gt;14.4961538297778&lt;/D&gt;&lt;D xsi:type="xsd:double"&gt;14.163553278652&lt;/D&gt;&lt;D xsi:type="xsd:double"&gt;15.3149830697429&lt;/D&gt;&lt;D xsi:type="xsd:double"&gt;17.1668296670561&lt;/D&gt;&lt;D xsi:type="xsd:double"&gt;16.7952980664127&lt;/D&gt;&lt;D xsi:type="xsd:double"&gt;17.3889493103798&lt;/D&gt;&lt;D xsi:type="xsd:double"&gt;17.1771213709161&lt;/D&gt;&lt;D xsi:type="xsd:double"&gt;16.3827491163269&lt;/D&gt;&lt;D xsi:type="xsd:double"&gt;15.6507552079045&lt;/D&gt;&lt;D xsi:type="xsd:double"&gt;15.6626179360086&lt;/D&gt;&lt;D xsi:type="xsd:double"&gt;14.7188560537906&lt;/D&gt;&lt;D xsi:type="xsd:double"&gt;15.2171116414363&lt;/D&gt;&lt;D xsi:type="xsd:double"&gt;14.6794671900369&lt;/D&gt;&lt;D xsi:type="xsd:double"&gt;14.1293784432487&lt;/D&gt;&lt;D xsi:type="xsd:double"&gt;13.5282801551715&lt;/D&gt;&lt;D xsi:type="xsd:double"&gt;13.8693354854468&lt;/D&gt;&lt;D xsi:type="xsd:double"&gt;15.5426313059011&lt;/D&gt;&lt;D xsi:type="xsd:double"&gt;15.8352969578041&lt;/D&gt;&lt;D xsi:type="xsd:double"&gt;16.3319031122379&lt;/D&gt;&lt;D xsi:type="xsd:double"&gt;16.5638660182303&lt;/D&gt;&lt;D xsi:type="xsd:double"&gt;16.4029094886006&lt;/D&gt;&lt;D xsi:type="xsd:double"&gt;16.5680291866617&lt;/D&gt;&lt;D xsi:type="xsd:double"&gt;16.10554107775&lt;/D&gt;&lt;D xsi:type="xsd:double"&gt;15.9399348352821&lt;/D&gt;&lt;D xsi:type="xsd:double"&gt;15.8670374170439&lt;/D&gt;&lt;D xsi:type="xsd:double"&gt;15.9969482324079&lt;/D&gt;&lt;D xsi:type="xsd:double"&gt;15.858563549602&lt;/D&gt;&lt;D xsi:type="xsd:double"&gt;16.2379249672495&lt;/D&gt;&lt;D xsi:type="xsd:double"&gt;15.9114596927576&lt;/D&gt;&lt;D xsi:type="xsd:double"&gt;15.9971221015344&lt;/D&gt;&lt;D xsi:type="xsd:double"&gt;15.7027537348644&lt;/D&gt;&lt;D xsi:type="xsd:double"&gt;15.5265470273275&lt;/D&gt;&lt;D xsi:type="xsd:double"&gt;15.2055743308275&lt;/D&gt;&lt;D xsi:type="xsd:double"&gt;15.4971021786761&lt;/D&gt;&lt;D xsi:type="xsd:double"&gt;15.1299249058398&lt;/D&gt;&lt;D xsi:type="xsd:double"&gt;15.8466197926337&lt;/D&gt;&lt;D xsi:type="xsd:double"&gt;15.9309487680888&lt;/D&gt;&lt;D xsi:type="xsd:double"&gt;15.9796193354354&lt;/D&gt;&lt;D xsi:type="xsd:double"&gt;15.8240900131907&lt;/D&gt;&lt;D xsi:type="xsd:double"&gt;14.2710920811937&lt;/D&gt;&lt;D xsi:type="xsd:double"&gt;14.4567043259723&lt;/D&gt;&lt;D xsi:type="xsd:double"&gt;14.0264182832337&lt;/D&gt;&lt;D xsi:type="xsd:double"&gt;14.3031467433876&lt;/D&gt;&lt;D xsi:type="xsd:double"&gt;14.3269042801475&lt;/D&gt;&lt;D xsi:type="xsd:double"&gt;14.3670195530267&lt;/D&gt;&lt;D xsi:type="xsd:double"&gt;14.0206898622599&lt;/D&gt;&lt;D xsi:type="xsd:double"&gt;13.5688684543185&lt;/D&gt;&lt;D xsi:type="xsd:double"&gt;13.0040120982706&lt;/D&gt;&lt;D xsi:type="xsd:double"&gt;12.6934806330384&lt;/D&gt;&lt;D xsi:type="xsd:double"&gt;12.4344308084367&lt;/D&gt;&lt;D xsi:type="xsd:double"&gt;12.8895885173287&lt;/D&gt;&lt;D xsi:type="xsd:double"&gt;13.7901929408963&lt;/D&gt;&lt;D xsi:type="xsd:double"&gt;14.0913009231824&lt;/D&gt;&lt;D xsi:type="xsd:double"&gt;14.2561660236706&lt;/D&gt;&lt;D xsi:type="xsd:double"&gt;13.600233920858&lt;/D&gt;&lt;D xsi:type="xsd:double"&gt;13.5133292787628&lt;/D&gt;&lt;D xsi:type="xsd:double"&gt;13.7470011066811&lt;/D&gt;&lt;D xsi:type="xsd:double"&gt;13.5866796270719&lt;/D&gt;&lt;D xsi:type="xsd:double"&gt;13.8140448100549&lt;/D&gt;&lt;D xsi:type="xsd:double"&gt;13.7808432945878&lt;/D&gt;&lt;D xsi:type="xsd:double"&gt;14.3355643494388&lt;/D&gt;&lt;D xsi:type="xsd:double"&gt;14.3092439021199&lt;/D&gt;&lt;D xsi:type="xsd:double"&gt;14.4889496441341&lt;/D&gt;&lt;D xsi:type="xsd:double"&gt;14.8852713026777&lt;/D&gt;&lt;D xsi:type="xsd:double"&gt;12.8963119213779&lt;/D&gt;&lt;D xsi:type="xsd:double"&gt;14.739156522208&lt;/D&gt;&lt;D xsi:type="xsd:double"&gt;17.5154752031938&lt;/D&gt;&lt;D xsi:type="xsd:double"&gt;18.3914770846797&lt;/D&gt;&lt;D xsi:type="xsd:double"&gt;17.6472966748418&lt;/D&gt;&lt;D xsi:type="xsd:double"&gt;17.7624349433124&lt;/D&gt;&lt;D xsi:type="xsd:double"&gt;16.748064497538&lt;/D&gt;&lt;D xsi:type="xsd:double"&gt;16.5473284371172&lt;/D&gt;&lt;D xsi:type="xsd:double"&gt;16.0641053060908&lt;/D&gt;&lt;D xsi:type="xsd:double"&gt;16.3205097610856&lt;/D&gt;&lt;D xsi:type="xsd:double"&gt;16.3437249867352&lt;/D&gt;&lt;D xsi:type="xsd:double"&gt;16.3449151169686&lt;/D&gt;&lt;D xsi:type="xsd:double"&gt;15.5920370517961&lt;/D&gt;&lt;D xsi:type="xsd:double"&gt;15.6409555612935&lt;/D&gt;&lt;D xsi:type="xsd:double"&gt;15.5574822964608&lt;/D&gt;&lt;D xsi:type="xsd:double"&gt;15.5579459665104&lt;/D&gt;&lt;D xsi:type="xsd:double"&gt;15.5617168209765&lt;/D&gt;&lt;D xsi:type="xsd:double"&gt;15.1139027426649&lt;/D&gt;&lt;D xsi:type="xsd:double"&gt;14.8977069740418&lt;/D&gt;&lt;D xsi:type="xsd:double"&gt;14.6150248342319&lt;/D&gt;&lt;D xsi:type="xsd:double"&gt;15.0012347867152&lt;/D&gt;&lt;D xsi:type="xsd:double"&gt;14.2429091366219&lt;/D&gt;&lt;D xsi:type="xsd:double"&gt;14.2930664774868&lt;/D&gt;&lt;D xsi:type="xsd:double"&gt;14.407609947282&lt;/D&gt;&lt;D xsi:type="xsd:double"&gt;13.6329563434892&lt;/D&gt;&lt;D xsi:type="xs</t>
        </r>
      </text>
    </comment>
    <comment ref="A12" authorId="0" shapeId="0" xr:uid="{0D2E3264-44D1-4CC0-B07F-98C96B020878}">
      <text>
        <r>
          <rPr>
            <b/>
            <sz val="9"/>
            <color indexed="81"/>
            <rFont val="Tahoma"/>
            <charset val="1"/>
          </rPr>
          <t>d:double"&gt;13.495896714076&lt;/D&gt;&lt;D xsi:type="xsd:double"&gt;11.9674306529634&lt;/D&gt;&lt;D xsi:type="xsd:double"&gt;12.0821571333851&lt;/D&gt;&lt;D xsi:type="xsd:double"&gt;11.279735166765&lt;/D&gt;&lt;D xsi:type="xsd:double"&gt;11.7123333279419&lt;/D&gt;&lt;D xsi:type="xsd:double"&gt;11.6474776765777&lt;/D&gt;&lt;D xsi:type="xsd:double"&gt;10.8650297917191&lt;/D&gt;&lt;D xsi:type="xsd:double"&gt;11.9041280729635&lt;/D&gt;&lt;D xsi:type="xsd:double"&gt;12.18361533525&lt;/D&gt;&lt;D xsi:type="xsd:double"&gt;12.3352943063707&lt;/D&gt;&lt;D xsi:type="xsd:double"&gt;12.9065813934905&lt;/D&gt;&lt;D xsi:type="xsd:double"&gt;12.496565070677&lt;/D&gt;&lt;D xsi:type="xsd:double"&gt;12.8255412911427&lt;/D&gt;&lt;D xsi:type="xsd:double"&gt;13.0190594790966&lt;/D&gt;&lt;D xsi:type="xsd:double"&gt;12.8811052985638&lt;/D&gt;&lt;D xsi:type="xsd:double"&gt;12.797823432768&lt;/D&gt;&lt;D xsi:type="xsd:double"&gt;13.2642290132814&lt;/D&gt;&lt;D xsi:type="xsd:double"&gt;13.0281649025912&lt;/D&gt;&lt;D xsi:type="xsd:double"&gt;12.5605926312051&lt;/D&gt;&lt;D xsi:type="xsd:double"&gt;12.5111284538912&lt;/D&gt;&lt;D xsi:type="xsd:double"&gt;13.1980148696957&lt;/D&gt;&lt;D xsi:type="xsd:double"&gt;13.685874922948&lt;/D&gt;&lt;D xsi:type="xsd:double"&gt;13.9234353852866&lt;/D&gt;&lt;D xsi:type="xsd:double"&gt;14.4847162392186&lt;/D&gt;&lt;D xsi:type="xsd:double"&gt;14.6071454725791&lt;/D&gt;&lt;D xsi:type="xsd:double"&gt;14.4697108219788&lt;/D&gt;&lt;D xsi:type="xsd:double"&gt;14.1141082299651&lt;/D&gt;&lt;D xsi:type="xsd:double"&gt;14.1450539545351&lt;/D&gt;&lt;D xsi:type="xsd:double"&gt;13.9518396610339&lt;/D&gt;&lt;D xsi:type="xsd:double"&gt;14.3662828622184&lt;/D&gt;&lt;D xsi:type="xsd:double"&gt;15.1541694550378&lt;/D&gt;&lt;/FQL&gt;&lt;FQL&gt;&lt;Q&gt;EWI^FG_TOTAL_RETURNC(0,-6AM)&lt;/Q&gt;&lt;R&gt;1&lt;/R&gt;&lt;C&gt;1&lt;/C&gt;&lt;D xsi:type="xsd:double"&gt;6.277144&lt;/D&gt;&lt;/FQL&gt;&lt;FQL&gt;&lt;Q&gt;EWA^FG_ROE(0)&lt;/Q&gt;&lt;R&gt;1&lt;/R&gt;&lt;C&gt;1&lt;/C&gt;&lt;D xsi:type="xsd:double"&gt;13.1041761514924&lt;/D&gt;&lt;/FQL&gt;&lt;FQL&gt;&lt;Q&gt;TRYJP10Y-FDS^FG_YIELD_NAME&lt;/Q&gt;&lt;R&gt;1&lt;/R&gt;&lt;C&gt;1&lt;/C&gt;&lt;D xsi:type="xsd:string"&gt;Japan Benchmark Bond - 10 Year&lt;/D&gt;&lt;/FQL&gt;&lt;FQL&gt;&lt;Q&gt;EWI^FMA_DIV_YLD(NTMA,NOW,NOW,M,"PORTAGG","MEANR")&lt;/Q&gt;&lt;R&gt;1&lt;/R&gt;&lt;C&gt;1&lt;/C&gt;&lt;D xsi:type="xsd:double"&gt;5.3259539231314&lt;/D&gt;&lt;/FQL&gt;&lt;FQL&gt;&lt;Q&gt;QQQ^FMA_PE(NTMA,0,,,"PORTAGG","MEANR")&lt;/Q&gt;&lt;R&gt;1&lt;/R&gt;&lt;C&gt;1&lt;/C&gt;&lt;D xsi:type="xsd:double"&gt;26.6065593247422&lt;/D&gt;&lt;/FQL&gt;&lt;FQL&gt;&lt;Q&gt;EWC^JULIAN(FMA_DIV_YLD(NTMA,NOW,NOW,M,"PORTAGG","MEANR").DATES)&lt;/Q&gt;&lt;R&gt;1&lt;/R&gt;&lt;C&gt;1&lt;/C&gt;&lt;D xsi:type="xsd:long"&gt;45565&lt;/D&gt;&lt;/FQL&gt;&lt;FQL&gt;&lt;Q&gt;VWO^FG_TOTAL_RETURNC(0,-1AM)&lt;/Q&gt;&lt;R&gt;1&lt;/R&gt;&lt;C&gt;1&lt;/C&gt;&lt;D xsi:type="xsd:double"&gt;9.729695&lt;/D&gt;&lt;/FQL&gt;&lt;FQL&gt;&lt;Q&gt;EWN^P_PRICE_RETURNS_PR('52W',2,-10AY,0,AM)&lt;/Q&gt;&lt;R&gt;121&lt;/R&gt;&lt;C&gt;1&lt;/C&gt;&lt;D xsi:type="xsd:double"&gt;-2.4849296&lt;/D&gt;&lt;D xsi:type="xsd:double"&gt;-1.330167&lt;/D&gt;&lt;D xsi:type="xsd:double"&gt;0.53493977&lt;/D&gt;&lt;D xsi:type="xsd:double"&gt;-8.207637&lt;/D&gt;&lt;D xsi:type="xsd:double"&gt;-1.375562&lt;/D&gt;&lt;D xsi:type="xsd:double"&gt;-1.1589408&lt;/D&gt;&lt;D xsi:type="xsd:double"&gt;3.0173182&lt;/D&gt;&lt;D xsi:type="xsd:double"&gt;5.2827597&lt;/D&gt;&lt;D xsi:type="xsd:double"&gt;3.6243558&lt;/D&gt;&lt;D xsi:type="xsd:double"&gt;7.196021&lt;/D&gt;&lt;D xsi:type="xsd:double"&gt;15.481461&lt;/D&gt;&lt;D xsi:type="xsd:double"&gt;-0.12072921&lt;/D&gt;&lt;D xsi:type="xsd:double"&gt;7.2202563&lt;/D&gt;&lt;D xsi:type="xsd:double"&gt;5.049777&lt;/D&gt;&lt;D xsi:type="xsd:double"&gt;-0.5097449&lt;/D&gt;&lt;D xsi:type="xsd:double"&gt;-2.1757126&lt;/D&gt;&lt;D xsi:type="xsd:double"&gt;-7.919222&lt;/D&gt;&lt;D xsi:type="xsd:double"&gt;-2.7115166&lt;/D&gt;&lt;D xsi:type="xsd:double"&gt;-4.965651&lt;/D&gt;&lt;D xsi:type="xsd:double"&gt;-5.4931936&lt;/D&gt;&lt;D xsi:type="xsd:double"&gt;-7.898712&lt;/D&gt;&lt;D xsi:type="xsd:double"&gt;-5.3663254&lt;/D&gt;&lt;D xsi:type="xsd:double"&gt;-6.9832745&lt;/D&gt;&lt;D xsi:type="xsd:double"&gt;3.6751628&lt;/D&gt;&lt;D xsi:type="xsd:double"&gt;3.8633943&lt;/D&gt;&lt;D xsi:type="xsd:double"&gt;-0.9019315&lt;/D&gt;&lt;D xsi:type="xsd:double"&gt;1.5625954&lt;/D&gt;&lt;D xsi:type="xsd:double"&gt;11.702108&lt;/D&gt;&lt;D xsi:type="xsd:double"&gt;17.984486&lt;/D&gt;&lt;D xsi:type="xsd:double"&gt;15.488922&lt;/D&gt;&lt;D xsi:type="xsd:double"&gt;13.134098&lt;/D&gt;&lt;D xsi:type="xsd:double"&gt;20.323765&lt;/D&gt;&lt;D xsi:type="xsd:double"&gt;21.517765&lt;/D&gt;&lt;D xsi:type="xsd:double"&gt;31.156015&lt;/D&gt;&lt;D xsi:type="xsd:double"&gt;27.279043&lt;/D&gt;&lt;D xsi:type="xsd:double"&gt;26.156734&lt;/D&gt;&lt;D xsi:type="xsd:double"&gt;30.40707&lt;/D&gt;&lt;D xsi:type="xsd:double"&gt;33.53286&lt;/D&gt;&lt;D xsi:type="xsd:double"&gt;35.27832&lt;/D&gt;&lt;D xsi:type="xsd:double"&gt;35.132336&lt;/D&gt;&lt;D xsi:type="xsd:double"&gt;26.326252&lt;/D&gt;&lt;D xsi:type="xsd:double"&gt;26.626896&lt;/D&gt;&lt;D xsi:type="xsd:double"&gt;24.076271&lt;/D&gt;&lt;D xsi:type="xsd:double"&gt;13.521803&lt;/D&gt;&lt;D xsi:type="xsd:double"&gt;10.677874&lt;/D&gt;&lt;D xsi:type="xsd:double"&gt;9.496557&lt;/D&gt;&lt;D xsi:type="xsd:double"&gt;3.142178&lt;/D&gt;&lt;D xsi:type="xsd:double"&gt;-0.47155023&lt;/D&gt;&lt;D xsi:type="xsd:double"&gt;-8.060646&lt;/D&gt;&lt;D xsi:type="xsd:double"&gt;-5.803454&lt;/D&gt;&lt;D xsi:type="xsd:double"&gt;-12.176681&lt;/D&gt;&lt;D xsi:type="xsd:double"&gt;-13.907999&lt;/D&gt;&lt;D xsi:type="xsd:double"&gt;-6.189698&lt;/D&gt;&lt;D xsi:type="xsd:double"&gt;-8.77577&lt;/D&gt;&lt;D xsi:type="xsd:double"&gt;-3.9905488&lt;/D&gt;&lt;D xsi:type="xsd:double"&gt;-1.9816041&lt;/D&gt;&lt;D xsi:type="xsd:double"&gt;-1.9168258&lt;/D&gt;&lt;D xsi:type="xsd:double"&gt;1.503396&lt;/D&gt;&lt;D xsi:type="xsd:double"&gt;-1.450938&lt;/D&gt;&lt;D xsi:type="xsd:double"&gt;7.050717&lt;/D&gt;&lt;D xsi:type="xsd:double"&gt;12.350023&lt;/D&gt;&lt;D xsi:type="xsd:double"&gt;17.135239&lt;/D&gt;&lt;D xsi:type="xsd:double"&gt;25.086546&lt;/D&gt;&lt;D xsi:type="xsd:double"&gt;27.43156&lt;/D&gt;&lt;D xsi:type="xsd:double"&gt;22.866678&lt;/D&gt;&lt;D xsi:type="xsd:double"&gt;3.8404346&lt;/D&gt;&lt;D xsi:type="xsd:double"&gt;-7.4298024&lt;/D&gt;&lt;D xsi:type="xsd:double"&gt;-3.877008&lt;/D&gt;&lt;D xsi:type="xsd:double"&gt;8.577192&lt;/D&gt;&lt;D xsi:type="xsd:double"&gt;11.679733&lt;/D&gt;&lt;D xsi:type="xsd:double"&gt;16.600777&lt;/D&gt;&lt;D xsi:type="xsd:double"&gt;12.255526&lt;/D&gt;&lt;D xsi:type="xsd:double"&gt;20.052124&lt;/D&gt;&lt;D xsi:type="xsd:double"&gt;16.053247&lt;/D&gt;&lt;D xsi:type="xsd:double"&gt;23.546553&lt;/D&gt;&lt;D xsi:type="xsd:double"&gt;28.189968&lt;/D&gt;&lt;D xsi:type="xsd:double"&gt;31.56984&lt;/D&gt;&lt;D xsi:type="xsd:double"&gt;53.93039&lt;/D&gt;&lt;D xsi:type="xsd:double"&gt;75.71104&lt;/D&gt;&lt;D xsi:type="xsd:double"&gt;68.12257&lt;/D&gt;&lt;D xsi:type="xsd:double"&gt;54.8277&lt;/D&gt;&lt;D xsi:type="xsd:double"&gt;44.11527&lt;/D&gt;&lt;D xsi:type="xsd:double"&gt;47.170403&lt;/D&gt;&lt;D xsi:type="xsd:double"&gt;53.066372&lt;/D&gt;&lt;D xsi:type="xsd:double"&gt;38.260616&lt;/D&gt;&lt;D xsi:type="xsd:double"&gt;40.49567&lt;/D&gt;&lt;D xsi:type="xsd:double"&gt;23.57031&lt;/D&gt;&lt;D xsi:type="xsd:double"&gt;13.613737&lt;/D&gt;&lt;D xsi:type="xsd:double"&gt;5.747509&lt;/D&gt;&lt;D xsi:type="xsd:double"&gt;-11.261392&lt;/D&gt;&lt;D xsi:type="xsd:double"&gt;-13.505405&lt;/D&gt;&lt;D xsi:type="xsd:double"&gt;-24.06993&lt;/D&gt;&lt;D xsi:type="xsd:double"&gt;-25.249928&lt;/D&gt;&lt;D xsi:type="xsd:double"&gt;-25.740265&lt;/D&gt;&lt;D xsi:type="xsd:double"&gt;-23.775303&lt;/D&gt;&lt;D xsi:type="xsd:double"&gt;-32.93848&lt;/D&gt;&lt;D xsi:type="xsd:double"&gt;-36.667614&lt;/D&gt;&lt;D xsi:type="xsd:double"&gt;-28.79235&lt;/D&gt;&lt;D xsi:type="xsd:double"&gt;-19.519901&lt;/D&gt;&lt;D xsi:type="xsd:double"&gt;-14.04956&lt;/D&gt;&lt;D xsi:type="xsd:double"&gt;-8.766669&lt;/D&gt;&lt;D xsi:type="xsd:double"&gt;3.4733295&lt;/D&gt;&lt;D xsi:type="xsd:double"&gt;4.500413&lt;/D&gt;&lt;D xsi:type="xsd:double"&gt;18.269836&lt;/D&gt;&lt;D xsi:type="xsd:double"&gt;13.539516&lt;/D&gt;&lt;D xsi:type="xsd:double"&gt;25.753033&lt;/D&gt;&lt;D xsi:type="xsd:double"&gt;16.230345&lt;/D&gt;&lt;D xsi:type="xsd:double"&gt;19.212364&lt;/D&gt;&lt;D xsi:type="xsd:double"&gt;27.293003&lt;/D&gt;&lt;D xsi:type="xsd:double"&gt;11.475682&lt;/D&gt;&lt;D xsi:type="xsd:double"&gt;12.038064&lt;/D&gt;&lt;D xsi:type="xsd:double"&gt;8.308804&lt;/D&gt;&lt;D xsi:type="xsd:double"&gt;14.585436&lt;/D&gt;&lt;D xsi:type="xsd:double"&gt;22.209942&lt;/D&gt;&lt;D xsi:type="xsd:double"&gt;19.854128&lt;/D&gt;&lt;D xsi:type="xsd:double"&gt;23.071516&lt;/D&gt;&lt;D xsi:type="xsd:double"&gt;24.960995&lt;/D&gt;&lt;D xsi:type="xsd:double"&gt;24.411892&lt;/D&gt;&lt;D xsi:type="xsd:double"&gt;12.735594&lt;/D&gt;&lt;D xsi:type="xsd:double"&gt;22.57247&lt;/D&gt;&lt;D xsi:type="xsd:double"&gt;32.011856&lt;/D&gt;&lt;/FQL&gt;&lt;FQL&gt;&lt;Q&gt;PLATI-FDS^FG_PRICE_CHANGE(0,-6AM)&lt;/Q&gt;&lt;R&gt;1&lt;/R&gt;&lt;C&gt;1&lt;/C&gt;&lt;D xsi:type="xsd:double"&gt;-1.43737166324436&lt;/D&gt;&lt;/FQL&gt;&lt;FQL&gt;&lt;Q&gt;QQQ^FG_TOTAL_RETURNC(0,-6AM)&lt;/Q&gt;&lt;R&gt;1&lt;/R&gt;&lt;C&gt;1&lt;/C&gt;&lt;D xsi:type="xsd:double"&gt;12.706804&lt;/D&gt;&lt;/FQL&gt;&lt;FQL&gt;&lt;Q&gt;VWO^FMA_COS_UP("EPS","1M",+1,0,,,"PORTAGG","MEANR")&lt;/Q&gt;&lt;R&gt;1&lt;/R&gt;&lt;C&gt;1&lt;/C&gt;&lt;D xsi:type="xsd:double"&gt;1023&lt;/D&gt;&lt;/FQL&gt;&lt;FQL&gt;&lt;Q&gt;EWA^FMA_COS_DOWN("EPS","1M",+1,0,,,"PORTAGG","MEANR")&lt;/Q&gt;&lt;R&gt;1&lt;/R&gt;&lt;C&gt;1&lt;/C&gt;&lt;D xsi:type="xsd:double"&gt;21&lt;/D&gt;&lt;/FQL&gt;&lt;FQL&gt;&lt;Q&gt;TRYZA10Y-FDS^FG_YIELD(-10AY,0,Y,,"YTM")&lt;/Q&gt;&lt;R&gt;10&lt;/R&gt;&lt;C&gt;1&lt;/C&gt;&lt;D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xsi:type="xsd:double"&gt;11.358896&lt;/D&gt;&lt;/FQL&gt;&lt;FQL&gt;&lt;Q&gt;USDSEK^FG_PRICE_CHANGE(0,-3AM)&lt;/Q&gt;&lt;R&gt;1&lt;/R&gt;&lt;C&gt;1&lt;/C&gt;&lt;D xsi:type="xsd:double"&gt;-1.3379812&lt;/D&gt;&lt;/FQL&gt;&lt;FQL&gt;&lt;Q&gt;USDJPY^FG_PRICE_CHANGE(0,-1AM)&lt;/Q&gt;&lt;R&gt;1&lt;/R&gt;&lt;C&gt;1&lt;/C&gt;&lt;D xsi:type="xsd:double"&gt;4.218495&lt;/D&gt;&lt;/FQL&gt;&lt;FQL&gt;&lt;Q&gt;EWA^FMA_PE(NTMA,-10AY,0,AM,"PORTAGG","MEANR")&lt;/Q&gt;&lt;R&gt;121&lt;/R&gt;&lt;C&gt;1&lt;/C&gt;&lt;D xsi:type="xsd:double"&gt;13.6405203794069&lt;/D&gt;&lt;D xsi:type="xsd:double"&gt;14.529828862178&lt;/D&gt;&lt;D xsi:type="xsd:double"&gt;13.8925110949012&lt;/D&gt;&lt;D xsi:type="xsd:double"&gt;14.7910246106693&lt;/D&gt;&lt;D xsi:type="xsd:double"&gt;15.8678252016966&lt;/D&gt;&lt;D xsi:type="xsd:double"&gt;15.9332707117885&lt;/D&gt;&lt;D xsi:type="xsd:double"&gt;16.5830151988825&lt;/D&gt;&lt;D xsi:type="xsd:double"&gt;15.7971097554148&lt;/D&gt;&lt;D xsi:type="xsd:double"&gt;15.1096914407228&lt;/D&gt;&lt;D xsi:type="xsd:double"&gt;15.1095200696876&lt;/D&gt;&lt;D xsi:type="xsd:double"&gt;15.2705616668897&lt;/D&gt;&lt;D xsi:type="xsd:double"&gt;14.3888205600947&lt;/D&gt;&lt;D xsi:type="xsd:double"&gt;15.1554685743865&lt;/D&gt;&lt;D xsi:type="xsd:double"&gt;14.6490035125322&lt;/D&gt;&lt;D xsi:type="xsd:double"&gt;14.7222252919837&lt;/D&gt;&lt;D xsi:type="xsd:double"&gt;14.7537417655739&lt;/D&gt;&lt;D xsi:type="xsd:double"&gt;14.634864082599&lt;/D&gt;&lt;D xsi:type="xsd:double"&gt;16.0386380993704&lt;/D&gt;&lt;D xsi:type="xsd:double"&gt;15.180061713093&lt;/D&gt;&lt;D xsi:type="xsd:double"&gt;16.5048115340846&lt;/D&gt;&lt;D xsi:type="xsd:double"&gt;16.2466950378194&lt;/D&gt;&lt;D xsi:type="xsd:double"&gt;15.8447968025185&lt;/D&gt;&lt;D xsi:type="xsd:double"&gt;16.8205787757673&lt;/D&gt;&lt;D xsi:type="xsd:double"&gt;16.0677382127277&lt;/D&gt;&lt;D xsi:type="xsd:double"&gt;16.3508186620603&lt;/D&gt;&lt;D xsi:type="xsd:double"&gt;15.7552767289479&lt;/D&gt;&lt;D xsi:type="xsd:double"&gt;15.902515362013&lt;/D&gt;&lt;D xsi:type="xsd:double"&gt;16.0346676788765&lt;/D&gt;&lt;D xsi:type="xsd:double"&gt;15.8687074156165&lt;/D&gt;&lt;D xsi:type="xsd:double"&gt;15.8277049015119&lt;/D&gt;&lt;D xsi:type="xsd:double"&gt;15.86670887229&lt;/D&gt;&lt;D xsi:type="xsd:double"&gt;15.7162903584114&lt;/D&gt;&lt;D xsi:type="xsd:double"&gt;15.1595002902089&lt;/D&gt;&lt;D xsi:type="xsd:double"&gt;15.4125797310084&lt;/D&gt;&lt;D xsi:type="xsd:double"&gt;15.7335522429332&lt;/D&gt;&lt;D xsi:type="xsd:double"&gt;15.4872101366758&lt;/D&gt;&lt;D xsi:type="xsd:double"&gt;15.5026492649646&lt;/D&gt;&lt;D xsi:type="xsd:double"&gt;16.131743422553&lt;/D&gt;&lt;D xsi:type="xsd:double"&gt;15.8265540934873&lt;/D&gt;&lt;D xsi:type="xsd:double"&gt;16.0678956809964&lt;/D&gt;&lt;D xsi:type="xsd:double"&gt;15.1562252732907&lt;/D&gt;&lt;D xsi:type="xsd:double"&gt;15.4056068152723&lt;/D&gt;&lt;D xsi:type="xsd:double"&gt;15.0185315281788&lt;/D&gt;&lt;D xsi:type="xsd:double"&gt;15.5050758409514&lt;/D&gt;&lt;D xsi:type="xsd:double"&gt;15.1273524531377&lt;/D&gt;&lt;D xsi:type="xsd:double"&gt;15.5889312015321&lt;/D&gt;&lt;D xsi:type="xsd:double"&gt;15.6011103556455&lt;/D&gt;&lt;D xsi:type="xsd:double"&gt;15.1368618157131&lt;/D&gt;&lt;D xsi:type="xsd:double"&gt;14.7915732256755&lt;/D&gt;&lt;D xsi:type="xsd:double"&gt;14.647037538523&lt;/D&gt;&lt;D xsi:type="xsd:double"&gt;13.7525711148668&lt;/D&gt;&lt;D xsi:type="xsd:double"&gt;14.4589771833495&lt;/D&gt;&lt;D xsi:type="xsd:double"&gt;15.1140590559393&lt;/D&gt;&lt;D xsi:type="xsd:double"&gt;15.3585800957746&lt;/D&gt;&lt;D xsi:type="xsd:double"&gt;15.2907990340283&lt;/D&gt;&lt;D xsi:type="xsd:double"&gt;15.3891090344512&lt;/D&gt;&lt;D xsi:type="xsd:double"&gt;15.7152381166912&lt;/D&gt;&lt;D xsi:type="xsd:double"&gt;16.2097583359711&lt;/D&gt;&lt;D xsi:type="xsd:double"&gt;15.9716847105929&lt;/D&gt;&lt;D xsi:type="xsd:double"&gt;16.3792181469808&lt;/D&gt;&lt;D xsi:type="xsd:double"&gt;16.3432771261366&lt;/D&gt;&lt;D xsi:type="xsd:double"&gt;17.1427874278303&lt;/D&gt;&lt;D xsi:type="xsd:double"&gt;17.0762344788642&lt;/D&gt;&lt;D xsi:type="xsd:double"&gt;17.697331403597&lt;/D&gt;&lt;D xsi:type="xsd:double"&gt;17.8650604446792&lt;/D&gt;&lt;D xsi:type="xsd:double"&gt;15.3669756657172&lt;/D&gt;&lt;D xsi:type="xsd:double"&gt;15.7640648566904&lt;/D&gt;&lt;D xsi:type="xsd:double"&gt;17.2274025715214&lt;/D&gt;&lt;D xsi:type="xsd:double"&gt;20.0862533019999&lt;/D&gt;&lt;D xsi:type="xsd:double"&gt;18.816503994584&lt;/D&gt;&lt;D xsi:type="xsd:double"&gt;19.4039736882239&lt;/D&gt;&lt;D xsi:type="xsd:double"&gt;18.76139342823&lt;/D&gt;&lt;D xsi:type="xsd:double"&gt;18.7865480733202&lt;/D&gt;&lt;D xsi:type="xsd:double"&gt;18.9931715955601&lt;/D&gt;&lt;D xsi:type="xsd:double"&gt;19.5435602018833&lt;/D&gt;&lt;D xsi:type="xsd:double"&gt;19.5204763641&lt;/D&gt;&lt;D xsi:type="xsd:double"&gt;19.1321302553531&lt;/D&gt;&lt;D xsi:type="xsd:double"&gt;17.9858568569926&lt;/D&gt;&lt;D xsi:type="xsd:double"&gt;18.0821954365405&lt;/D&gt;&lt;D xsi:type="xsd:double"&gt;18.3177047158715&lt;/D&gt;&lt;D xsi:type="xsd:double"&gt;18.1539880325078&lt;/D&gt;&lt;D xsi:type="xsd:double"&gt;17.0199912323442&lt;/D&gt;&lt;D xsi:type="xsd:double"&gt;17.1944690428751&lt;/D&gt;&lt;D xsi:type="xsd:double"&gt;17.0164735625138&lt;/D&gt;&lt;D xsi:type="xsd:double"&gt;17.2444094765758&lt;/D&gt;&lt;D xsi:type="xsd:double"&gt;17.5434208886583&lt;/D&gt;&lt;D xsi:type="xsd:double"&gt;17.2270474759571&lt;/D&gt;&lt;D xsi:type="xsd:double"&gt;17.4472078546057&lt;/D&gt;&lt;D xsi:type="xsd:double"&gt;16.1968657372221&lt;/D&gt;&lt;D xsi:type="xsd:double"&gt;15.7181026865518&lt;/D&gt;&lt;D xsi:type="xsd:double"&gt;15.8310059309749&lt;/D&gt;&lt;D xsi:type="xsd:double"&gt;14.0792301557747&lt;/D&gt;&lt;D xsi:type="xsd:double"&gt;13.4533685306735&lt;/D&gt;&lt;D xsi:type="xsd:double"&gt;12.8841516760802&lt;/D&gt;&lt;D xsi:type="xsd:double"&gt;13.9733215717494&lt;/D&gt;&lt;D xsi:type="xsd:double"&gt;13.6558920110344&lt;/D&gt;&lt;D xsi:type="xsd:double"&gt;12.9164373293252&lt;/D&gt;&lt;D xsi:type="xsd:double"&gt;13.7926379894771&lt;/D&gt;&lt;D xsi:type="xsd:double"&gt;14.4531920800488&lt;/D&gt;&lt;D xsi:type="xsd:double"&gt;14.1149120716356&lt;/D&gt;&lt;D xsi:type="xsd:double"&gt;14.8224426982472&lt;/D&gt;&lt;D xsi:type="xsd:double"&gt;14.1321606836372&lt;/D&gt;&lt;D xsi:type="xsd:double"&gt;14.3884451329306&lt;/D&gt;&lt;D xsi:type="xsd:double"&gt;14.6961351592795&lt;/D&gt;&lt;D xsi:type="xsd:double"&gt;14.5726792864749&lt;/D&gt;&lt;D xsi:type="xsd:double"&gt;14.5302908587397&lt;/D&gt;&lt;D xsi:type="xsd:double"&gt;15.4728930189153&lt;/D&gt;&lt;D xsi:type="xsd:double"&gt;15.2086868676319&lt;/D&gt;&lt;D xsi:type="xsd:double"&gt;14.7586350456813&lt;/D&gt;&lt;D xsi:type="xsd:double"&gt;14.7527074569694&lt;/D&gt;&lt;D xsi:type="xsd:double"&gt;15.4203288241175&lt;/D&gt;&lt;D xsi:type="xsd:double"&gt;16.0791192881205&lt;/D&gt;&lt;D xsi:type="xsd:double"&gt;16.435808331911&lt;/D&gt;&lt;D xsi:type="xsd:double"&gt;16.9445942902939&lt;/D&gt;&lt;D xsi:type="xsd:double"&gt;16.760596456496&lt;/D&gt;&lt;D xsi:type="xsd:double"&gt;16.6287835251922&lt;/D&gt;&lt;D xsi:type="xsd:double"&gt;16.9405763039269&lt;/D&gt;&lt;D xsi:type="xsd:double"&gt;16.9986811156462&lt;/D&gt;&lt;D xsi:type="xsd:double"&gt;16.9487955831258&lt;/D&gt;&lt;D xsi:type="xsd:double"&gt;17.7765765058159&lt;/D&gt;&lt;D xsi:type="xsd:double"&gt;18.1969661506315&lt;/D&gt;&lt;/FQL&gt;&lt;FQL&gt;&lt;Q&gt;EWD^FG_PRICE_MAVG(0,,,,200)&lt;/Q&gt;&lt;R&gt;1&lt;/R&gt;&lt;C&gt;1&lt;/C&gt;&lt;D xsi:type="xsd:double"&gt;40.017124&lt;/D&gt;&lt;/FQL&gt;&lt;FQL&gt;&lt;Q&gt;EWC^P_PRICE(0)/P_PRICE_HIGH_PR(0,,,,,,"PRICE","INTRA","52W")&lt;/Q&gt;&lt;R&gt;1&lt;/R&gt;&lt;C&gt;1&lt;/C&gt;&lt;D xsi:type="xsd:double"&gt;0.98877484&lt;/D&gt;&lt;/FQL&gt;&lt;FQL&gt;&lt;Q&gt;ENZL^FG_ROE(0)&lt;/Q&gt;&lt;R&gt;1&lt;/R&gt;&lt;C&gt;1&lt;/C&gt;&lt;D xsi:type="xsd:double"&gt;3.39126779548087&lt;/D&gt;&lt;/FQL&gt;&lt;FQL&gt;&lt;Q&gt;TRYGB10Y-FDS^PCTCHG(FG_YIELD(0,,,,"YTM"),FG_YIELD(-1AM,,,,"YTM"))&lt;/Q&gt;&lt;R&gt;1&lt;/R&gt;&lt;C&gt;1&lt;/C&gt;&lt;D xsi:type="xsd:double"&gt;9.612884&lt;/D&gt;&lt;/FQL&gt;&lt;FQL&gt;&lt;Q&gt;QQQ^FMA_PE(LTM,0,,,"PORTAGG","MEANR")&lt;/Q&gt;&lt;R&gt;1&lt;/R&gt;&lt;C&gt;1&lt;/C&gt;&lt;D xsi:type="xsd:double"&gt;36.6356675136186&lt;/D&gt;&lt;/FQL&gt;&lt;FQL&gt;&lt;Q&gt;EWA^FMA_EVAL_EBIT(LTMA,NOW,NOW,M,"PORTAGG","MEANR")&lt;/Q&gt;&lt;R&gt;1&lt;/R&gt;&lt;C&gt;1&lt;/C&gt;&lt;D xsi:type="xsd:double"&gt;13.4359801799229&lt;/D&gt;&lt;/FQL&gt;&lt;FQL&gt;&lt;Q&gt;EWQ^P_PRICE_RETURNS_PR('52W',2,-10AY,0,AM)&lt;/Q&gt;&lt;R&gt;121&lt;/R&gt;&lt;C&gt;1&lt;/C&gt;&lt;D xsi:type="xsd:double"&gt;-8.188361&lt;/D&gt;&lt;D xsi:type="xsd:double"&gt;-5.3881702&lt;/D&gt;&lt;D xsi:type="xsd:double"&gt;-4.3302655&lt;/D&gt;&lt;D xsi:type="xsd:double"&gt;-11.251509&lt;/D&gt;&lt;D xsi:type="xsd:double"&gt;-4.5852365&lt;/D&gt;&lt;D xsi:type="xsd:double"&gt;-11.245501&lt;/D&gt;&lt;D xsi:type="xsd:double"&gt;-5.641806&lt;/D&gt;&lt;D xsi:type="xsd:double"&gt;-5.5715857&lt;/D&gt;&lt;D xsi:type="xsd:double"&gt;-7.9715014&lt;/D&gt;&lt;D xsi:type="xsd:double"&gt;-4.019189&lt;/D&gt;&lt;D xsi:type="xsd:double"&gt;4.732573&lt;/D&gt;&lt;D xsi:type="xsd:double"&gt;-6.9917736&lt;/D&gt;&lt;D xsi:type="xsd:double"&gt;6.060374&lt;/D&gt;&lt;D xsi:type="xsd:double"&gt;2.91996&lt;/D&gt;&lt;D xsi:type="xsd:double"&gt;-0.7692754&lt;/D&gt;&lt;D xsi:type="xsd:double"&gt;-3.585267&lt;/D&gt;&lt;D xsi:type="xsd:double"&gt;-12.17804&lt;/D&gt;&lt;D xsi:type="xsd:double"&gt;-4.3454885&lt;/D&gt;&lt;D xsi:type="xsd:double"&gt;-9.249199&lt;/D&gt;&lt;D xsi:type="xsd:double"&gt;-9.315986&lt;/D&gt;&lt;D xsi:type="xsd:double"&gt;-10.406274&lt;/D&gt;&lt;D xsi:type="xsd:double"&gt;-6.3892245&lt;/D&gt;&lt;D xsi:type="xsd:double"&gt;-10.030514&lt;/D&gt;&lt;D xsi:type="xsd:double"&gt;0.49573183&lt;/D&gt;&lt;D xsi:type="xsd:double"&gt;-3.3358693&lt;/D&gt;&lt;D xsi:type="xsd:double"&gt;-2.9378116&lt;/D&gt;&lt;D xsi:type="xsd:double"&gt;2.5731921&lt;/D&gt;&lt;D xsi:type="xsd:double"&gt;12.919831&lt;/D&gt;&lt;D xsi:type="xsd:double"&gt;16.234982&lt;/D&gt;&lt;D xsi:type="xsd:double"&gt;12.591446&lt;/D&gt;&lt;D xsi:type="xsd:double"&gt;13.9135475&lt;/D&gt;&lt;D xsi:type="xsd:double"&gt;20.99532&lt;/D&gt;&lt;D xsi:type="xsd:double"&gt;22.35366&lt;/D&gt;&lt;D xsi:type="xsd:double"&gt;31.55806&lt;/D&gt;&lt;D xsi:type="xsd:double"&gt;24.8721&lt;/D&gt;&lt;D xsi:type="xsd:double"&gt;24.966372&lt;/D&gt;&lt;D xsi:type="xsd:double"&gt;31.741714&lt;/D&gt;&lt;D xsi:type="xsd:double"&gt;31.355953&lt;/D&gt;&lt;D xsi:type="xsd:double"&gt;31.001068&lt;/D&gt;&lt;D xsi:type="xsd:double"&gt;31.613232&lt;/D&gt;&lt;D xsi:type="xsd:double"&gt;25.613749&lt;/D&gt;&lt;D xsi:type="xsd:double"&gt;28.06828&lt;/D&gt;&lt;D xsi:type="xsd:double"&gt;25.334513&lt;/D&gt;&lt;D xsi:type="xsd:double"&gt;16.371738&lt;/D&gt;&lt;D xsi:type="xsd:double"&gt;12.005782&lt;/D&gt;&lt;D xsi:type="xsd:double"&gt;11.928165&lt;/D&gt;&lt;D xsi:type="xsd:double"&gt;6.2048435&lt;/D&gt;&lt;D xsi:type="xsd:double"&gt;2.942574&lt;/D&gt;&lt;D xsi:type="xsd:double"&gt;-3.4849226&lt;/D&gt;&lt;D xsi:type="xsd:double"&gt;-4.584712&lt;/D&gt;&lt;D xsi:type="xsd:double"&gt;-12.10751&lt;/D&gt;&lt;D xsi:type="xsd:double"&gt;-12.763035&lt;/D&gt;&lt;D xsi:type="xsd:double"&gt;-7.1420727&lt;/D&gt;&lt;D xsi:type="xsd:double"&gt;-6.4367175&lt;/D&gt;&lt;D xsi:type="xsd:double"&gt;-4.1135073&lt;/D&gt;&lt;D xsi:type="xsd:double"&gt;-6.352818&lt;/D&gt;&lt;D xsi:type="xsd:double"&gt;-3.3882976&lt;/D&gt;&lt;D xsi:type="xsd:double"&gt;0.10564327&lt;/D&gt;&lt;D xsi:type="xsd:double"&gt;-3.6295772&lt;/D&gt;&lt;D xsi:type="xsd:double"&gt;2.0680428&lt;/D&gt;&lt;D xsi:type="xsd:double"&gt;4.563844&lt;/D&gt;&lt;D xsi:type="xsd:double"&gt;13.088882&lt;/D&gt;&lt;D xsi:type="xsd:double"&gt;21.323967&lt;/D&gt;&lt;D xsi:type="xsd:double"&gt;22.237814&lt;/D&gt;&lt;D xsi:type="xsd:double"&gt;19.345497&lt;/D&gt;&lt;D xsi:type="xsd:double"&gt;-5.123085&lt;/D&gt;&lt;D xsi:type="xsd:double"&gt;-16.645605&lt;/D&gt;&lt;D xsi:type="xsd:double"&gt;-16.311407&lt;/D&gt;&lt;D xsi:type="xsd:double"&gt;-3.9954662&lt;/D&gt;&lt;D xsi:type="xsd:double"&gt;-7.963562&lt;/D&gt;&lt;D xsi:type="xsd:double"&gt;-0.9230375&lt;/D&gt;&lt;D xsi:type="xsd:double"&gt;-2.2864878&lt;/D&gt;&lt;D xsi:type="xsd:double"&gt;-0.4329145&lt;/D&gt;&lt;D xsi:type="xsd:double"&gt;0.9950757&lt;/D&gt;&lt;D xsi:type="xsd:double"&gt;6.129539&lt;/D&gt;&lt;D xsi:type="xsd:double"&gt;6.790054&lt;/D&gt;&lt;D xsi:type="xsd:double"&gt;6.231129&lt;/D&gt;&lt;D xsi:type="xsd:double"&gt;32.391262&lt;/D&gt;&lt;D xsi:type="xsd:double"&gt;49.79892&lt;/D&gt;&lt;D xsi:type="xsd:double"&gt;57.47136&lt;/D&gt;&lt;D xsi:type="xsd:double"&gt;40.096832&lt;/D&gt;&lt;D xsi:type="xsd:double"&gt;39.72875&lt;/D&gt;&lt;D xsi:type="xsd:double"&gt;37.750603&lt;/D&gt;&lt;D xsi:type="xsd:double"&gt;34.803783&lt;/D&gt;&lt;D xsi:type="xsd:double"&gt;32.328487&lt;/D&gt;&lt;D xsi:type="xsd:double"&gt;27.534521&lt;/D&gt;&lt;D xsi:type="xsd:double"&gt;19.113613&lt;/D&gt;&lt;D xsi:type="xsd:double"&gt;17.449987&lt;/D&gt;&lt;D xsi:type="xsd:double"&gt;18.176437&lt;/D&gt;&lt;D xsi:type="xsd:double"&gt;-2.719164&lt;/D&gt;&lt;D xsi:type="xsd:double"&gt;-1.3968766&lt;/D&gt;&lt;D xsi:type="xsd:double"&gt;-13.080907&lt;/D&gt;&lt;D xsi:type="xsd:double"&gt;-14.872372&lt;/D&gt;&lt;D xsi:type="xsd:double"&gt;-15.783858&lt;/D&gt;&lt;D xsi:type="xsd:double"&gt;-12.079483&lt;/D&gt;&lt;D xsi:type="xsd:double"&gt;-17.54331&lt;/D&gt;&lt;D xsi:type="xsd:double"&gt;-23.181862&lt;/D&gt;&lt;D xsi:type="xsd:double"&gt;-14.373308&lt;/D&gt;&lt;D xsi:type="xsd:double"&gt;-8.508194&lt;/D&gt;&lt;D xsi:type="xsd:double"&gt;-6.173098&lt;/D&gt;&lt;D xsi:type="xsd:double"&gt;-2.363956&lt;/D&gt;&lt;D xsi:type="xsd:double"&gt;13.574446&lt;/D&gt;&lt;D xsi:type="xsd:double"&gt;15.510189&lt;/D&gt;&lt;D xsi:type="xsd:double"&gt;26.743853&lt;/D&gt;&lt;D xsi:type="xsd:double"&gt;17.667925&lt;/D&gt;&lt;D xsi:type="xsd:double"&gt;30.287434&lt;/D&gt;&lt;D xsi:type="xsd:double"&gt;22.295834&lt;/D&gt;&lt;D xsi:type="xsd:double"&gt;27.994287&lt;/D&gt;&lt;D xsi:type="xsd:double"&gt;34.044624&lt;/D&gt;&lt;D xsi:type="xsd:double"&gt;13.845646&lt;/D&gt;&lt;D xsi:type="xsd:double"&gt;16.570997&lt;/D&gt;&lt;D xsi:type="xsd:double"&gt;11.394215&lt;/D&gt;&lt;D xsi:type="xsd:double"&gt;8.98918&lt;/D&gt;&lt;D xsi:type="xsd:double"&gt;14.646471&lt;/D&gt;&lt;D xsi:type="xsd:double"&gt;8.613777&lt;/D&gt;&lt;D xsi:type="xsd:double"&gt;10.930788&lt;/D&gt;&lt;D xsi:type="xsd:double"&gt;11.707377&lt;/D&gt;&lt;D xsi:type="xsd:double"&gt;6.0646534&lt;/D&gt;&lt;D xsi:type="xsd:double"&gt;1.3192773&lt;/D&gt;&lt;D xsi:type="xsd:double"&gt;8.454275&lt;/D&gt;&lt;D xsi:type="xsd:double"&gt;13.317394&lt;/D&gt;&lt;/FQL&gt;&lt;FQL&gt;&lt;Q&gt;ENZL^FMA_PE(NTMA,-10AY,0,AM,"PORTAGG","MEANR")&lt;/Q&gt;&lt;R&gt;121&lt;/R&gt;&lt;C&gt;1&lt;/C&gt;&lt;D xsi:type="xsd:double"&gt;17.079922742083&lt;/D&gt;&lt;D xsi:type="xsd:double"&gt;17.9284463649596&lt;/D&gt;&lt;D xsi:type="xsd:double"&gt;18.013107100137&lt;/D&gt;&lt;D xsi:type="xsd:double"&gt;18.4251532652318&lt;/D&gt;&lt;D xsi:type="xsd:double"&gt;19.0743101823589&lt;/D&gt;&lt;D xsi:type="xsd:double"&gt;19.1933078575612&lt;/D&gt;&lt;D xsi:type="xsd:double"&gt;18.4018745260032&lt;/D&gt;&lt;D xsi:type="xsd:double"&gt;18.2364671207994&lt;/D&gt;&lt;D xsi:type="xsd:double"&gt;18.1037823076556&lt;/D&gt;&lt;D xsi:type="xsd:double"&gt;17.8056121259202&lt;/D&gt;&lt;D xsi:type="xsd:double"&gt;18.1968001669793&lt;/D&gt;&lt;D xsi:type="xsd:double"&gt;17.3921074247149&lt;/D&gt;&lt;D xsi:type="xsd:double"&gt;17.0316120615796&lt;/D&gt;&lt;D xsi:type="xsd:double"&gt;18.0015323600065&lt;/D&gt;&lt;D xsi:type="xsd:double"&gt;17.9565394283864&lt;/D&gt;&lt;D xsi:type="xsd:double"&gt;17.749291676187&lt;/D&gt;&lt;D xsi:type="xsd:double"&gt;16.9843738965377&lt;/D&gt;&lt;D xsi:type="xsd:double"&gt;18.1442493352523&lt;/D&gt;&lt;D xsi:type="xsd:double"&gt;18.4723575618665&lt;/D&gt;&lt;D xsi:type="xsd:double"&gt;19.1610300664082&lt;/D&gt;&lt;D xsi:type="xsd:double"&gt;19.3258585251587&lt;/D&gt;&lt;D xsi:type="xsd:double"&gt;19.2810162965941&lt;/D&gt;&lt;D xsi:type="xsd:double"&gt;20.3008347245186&lt;/D&gt;&lt;D xsi:type="xsd:double"&gt;20.985895910256&lt;/D&gt;&lt;D xsi:type="xsd:double"&gt;19.5096399391348&lt;/D&gt;&lt;D xsi:type="xsd:double"&gt;18.264994340144&lt;/D&gt;&lt;D xsi:type="xsd:double"&gt;18.5969651239115&lt;/D&gt;&lt;D xsi:type="xsd:double"&gt;18.9155692890661&lt;/D&gt;&lt;D xsi:type="xsd:double"&gt;19.171644371051&lt;/D&gt;&lt;D xsi:type="xsd:double"&gt;18.9561938524949&lt;/D&gt;&lt;D xsi:type="xsd:double"&gt;19.1779182884055&lt;/D&gt;&lt;D xsi:type="xsd:double"&gt;19.6059878020635&lt;/D&gt;&lt;D xsi:type="xsd:double"&gt;19.3419452657852&lt;/D&gt;&lt;D xsi:type="xsd:double"&gt;19.3421576049715&lt;/D&gt;&lt;D xsi:type="xsd:double"&gt;19.976157618326&lt;/D&gt;&lt;D xsi:type="xsd:double"&gt;19.9748460346356&lt;/D&gt;&lt;D xsi:type="xsd:double"&gt;19.9670588424685&lt;/D&gt;&lt;D xsi:type="xsd:double"&gt;20.02579298852&lt;/D&gt;&lt;D xsi:type="xsd:double"&gt;20.5147144500842&lt;/D&gt;&lt;D xsi:type="xsd:double"&gt;20.7334709122722&lt;/D&gt;&lt;D xsi:type="xsd:double"&gt;19.1829856079539&lt;/D&gt;&lt;D xsi:type="xsd:double"&gt;20.3239563604608&lt;/D&gt;&lt;D xsi:type="xsd:double"&gt;20.2984942748553&lt;/D&gt;&lt;D xsi:type="xsd:double"&gt;20.436252994294&lt;/D&gt;&lt;D xsi:type="xsd:double"&gt;21.1911624078075&lt;/D&gt;&lt;D xsi:type="xsd:double"&gt;21.2245446805702&lt;/D&gt;&lt;D xsi:type="xsd:double"&gt;21.2686264981258&lt;/D&gt;&lt;D xsi:type="xsd:double"&gt;21.1806421935364&lt;/D&gt;&lt;D xsi:type="xsd:double"&gt;20.8612352120807&lt;/D&gt;&lt;D xsi:type="xsd:double"&gt;20.5368053214283&lt;/D&gt;&lt;D xsi:type="xsd:double"&gt;19.7622650587516&lt;/D&gt;&lt;D xsi:type="xsd:double"&gt;20.2745386369263&lt;/D&gt;&lt;D xsi:type="xsd:double"&gt;20.9242564049207&lt;/D&gt;&lt;D xsi:type="xsd:double"&gt;21.8522360985045&lt;/D&gt;&lt;D xsi:type="xsd:double"&gt;21.9440770549042&lt;/D&gt;&lt;D xsi:type="xsd:double"&gt;22.8659273154711&lt;/D&gt;&lt;D xsi:type="xsd:double"&gt;22.5763601983674&lt;/D&gt;&lt;D xsi:type="xsd:double"&gt;24.220375822534&lt;/D&gt;&lt;D xsi:type="xsd:double"&gt;24.6598040535111&lt;/D&gt;&lt;D xsi:type="xsd:double"&gt;26.4929679044123&lt;/D&gt;&lt;D xsi:type="xsd:double"&gt;25.1949700576282&lt;/D&gt;&lt;D xsi:type="xsd:double"&gt;24.8369854156497&lt;/D&gt;&lt;D xsi:type="xsd:double"&gt;25.5720576727919&lt;/D&gt;&lt;D xsi:type="xsd:double"&gt;25.7807703686487&lt;/D&gt;&lt;D xsi:type="xsd:double"&gt;26.3756505013&lt;/D&gt;&lt;D xsi:type="xsd:double"&gt;25.0192459164821&lt;/D&gt;&lt;D xsi:type="xsd:double"&gt;26.4067437939331&lt;/D&gt;&lt;D xsi:type="xsd:double"&gt;29.7969378497088&lt;/D&gt;&lt;D xsi:type="xsd:double"&gt;30.5842442946973&lt;/D&gt;&lt;D xsi:type="xsd:double"&gt;31.4972711657885&lt;/D&gt;&lt;D xsi:type="xsd:double"&gt;32.2422522750058&lt;/D&gt;&lt;D xsi:type="xsd:double"&gt;32.2896940394105&lt;/D&gt;&lt;D xsi:type="xsd:double"&gt;33.1656202757666&lt;/D&gt;&lt;D xsi:type="xsd:double"&gt;32.788782496693&lt;/D&gt;&lt;D xsi:type="xsd:double"&gt;33.0539739559193&lt;/D&gt;&lt;D xsi:type="xsd:double"&gt;35.3643675205113&lt;/D&gt;&lt;D xsi:type="xsd:double"&gt;32.2589239519234&lt;/D&gt;&lt;D xsi:type="xsd:double"&gt;31.8117425163276&lt;/D&gt;&lt;D xsi:type="xsd:double"&gt;32.257058263545&lt;/D&gt;&lt;D xsi:type="xsd:double"&gt;32.9558412741025&lt;/D&gt;&lt;D xsi:type="xsd:double"&gt;33.0225074668534&lt;/D&gt;&lt;D xsi:type="xsd:double"&gt;34.3236054717804&lt;/D&gt;&lt;D xsi:type="xsd:double"&gt;33.9553603883965&lt;/D&gt;&lt;D xsi:type="xsd:double"&gt;34.6885775552922&lt;/D&gt;&lt;D xsi:type="xsd:double"&gt;33.8363378355434&lt;/D&gt;&lt;D xsi:type="xsd:double"&gt;33.4591046684763&lt;/D&gt;&lt;D xsi:type="xsd:double"&gt;32.4370503836375&lt;/D&gt;&lt;D xsi:type="xsd:double"&gt;31.7471396551661&lt;/D&gt;&lt;D xsi:type="xsd:double"&gt;30.5812861001173&lt;/D&gt;&lt;D xsi:type="xsd:double"&gt;28.8733017538761&lt;/D&gt;&lt;D xsi:type="xsd:double"&gt;28.4642253279567&lt;/D&gt;&lt;D xsi:type="xsd:double"&gt;27.8155802998363&lt;/D&gt;&lt;D xsi:type="xsd:double"&gt;26.0250260937824&lt;/D&gt;&lt;D xsi:type="xsd:double"&gt;26.0828800049688&lt;/D&gt;&lt;D xsi:type="xsd:double"&gt;26.5856785112617&lt;/D&gt;&lt;D xsi:type="xsd:double"&gt;27.022048757648&lt;/D&gt;&lt;D xsi:type="xsd:double"&gt;23.6492215527289&lt;/D&gt;&lt;D xsi:type="xsd:double"&gt;23.146715637028&lt;/D&gt;&lt;D xsi:type="xsd:double"&gt;23.2466483856347&lt;/D&gt;&lt;D xsi:type="xsd:double"&gt;23.5849608796631&lt;/D&gt;&lt;D xsi:type="xsd:double"&gt;24.4308322764228&lt;/D&gt;&lt;D xsi:type="xsd:double"&gt;23.1128694543275&lt;/D&gt;&lt;D xsi:type="xsd:double"&gt;23.3548997675075&lt;/D&gt;&lt;D xsi:type="xsd:double"&gt;23.6407131541149&lt;/D&gt;&lt;D xsi:type="xsd:double"&gt;20.6862262987814&lt;/D&gt;&lt;D xsi:type="xsd:double"&gt;20.8914227190908&lt;/D&gt;&lt;D xsi:type="xsd:double"&gt;20.481382357411&lt;/D&gt;&lt;D xsi:type="xsd:double"&gt;20.3350384798704&lt;/D&gt;&lt;D xsi:type="xsd:double"&gt;19.9247964050872&lt;/D&gt;&lt;D xsi:type="xsd:double"&gt;20.0927423564838&lt;/D&gt;&lt;D xsi:type="xsd:double"&gt;21.8316271348768&lt;/D&gt;&lt;D xsi:type="xsd:double"&gt;22.8009870852403&lt;/D&gt;&lt;D xsi:type="xsd:double"&gt;22.2274988740798&lt;/D&gt;&lt;D xsi:type="xsd:double"&gt;24.931681453583&lt;/D&gt;&lt;D xsi:type="xsd:double"&gt;25.1503750000708&lt;/D&gt;&lt;D xsi:type="xsd:double"&gt;25.2242642830646&lt;/D&gt;&lt;D xsi:type="xsd:double"&gt;24.1449198876235&lt;/D&gt;&lt;D xsi:type="xsd:double"&gt;24.4996234991979&lt;/D&gt;&lt;D xsi:type="xsd:double"&gt;25.3761682307825&lt;/D&gt;&lt;D xsi:type="xsd:double"&gt;24.1978563828697&lt;/D&gt;&lt;D xsi:type="xsd:double"&gt;24.3092518302041&lt;/D&gt;&lt;/FQL&gt;&lt;FQL&gt;&lt;Q&gt;PLATI-FDS^FG_PRICE_CHANGE(0,-3AM)&lt;/Q&gt;&lt;R&gt;1&lt;/R&gt;&lt;C&gt;1&lt;/C&gt;&lt;D xsi:type="xsd:double"&gt;-4.09590409590409&lt;/D&gt;&lt;/FQL&gt;&lt;FQL&gt;&lt;Q&gt;EWI^PERCENT_CHANGE(FMA_EPS(+1,0,,,,"PORTAGG","MEAN"),FMA_EPS(+1,-1AM,,,,"PORTAGG","MEAN"))&lt;/Q&gt;&lt;R&gt;1&lt;/R&gt;&lt;C&gt;1&lt;/C&gt;&lt;D xsi:type="xsd:double"&gt;-4.42238251139005&lt;/D&gt;&lt;/FQL&gt;&lt;FQL&gt;&lt;Q&gt;QQQ^FG_TOTAL_RETURNC(0,-3AM)&lt;/Q&gt;&lt;R&gt;1&lt;/R&gt;&lt;C&gt;1&lt;/C&gt;&lt;D xsi:type="xsd:double"&gt;-1.9245565&lt;/D&gt;&lt;/FQL&gt;&lt;FQL&gt;&lt;Q&gt;EWI^SIZE(FG_CONSTITUENTS)&lt;/Q&gt;&lt;R&gt;1&lt;/R&gt;&lt;C&gt;1&lt;/C&gt;&lt;D xsi:type="xsd:long"&gt;26&lt;/D&gt;&lt;/FQL&gt;&lt;FQL&gt;&lt;Q&gt;EWU^FMA_EVAL_EBITDA(NTMA,0,,,"PORTAGG","MEANR")&lt;/Q&gt;&lt;R&gt;1&lt;/R&gt;&lt;C&gt;1&lt;/C&gt;&lt;D xsi:type="xsd:double"&gt;7.66374602451794&lt;/D&gt;&lt;/FQL&gt;&lt;FQL&gt;&lt;Q&gt;EWA^FMA_EVAL_EBITDA(NTMA,0,,,"PORTAGG","MEANR")&lt;/Q&gt;&lt;R&gt;1&lt;/R&gt;&lt;C&gt;1&lt;/C&gt;&lt;D xsi:type="xsd:double"&gt;9.15844600731366&lt;/D&gt;&lt;/FQL&gt;&lt;FQL&gt;&lt;Q&gt;TRYMY10Y-FDS^FG_YIELD(-10AY,0,Y,,"YTM")&lt;/Q&gt;&lt;R&gt;10&lt;/R&gt;&lt;C&gt;1&lt;/C&gt;&lt;D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xsi:type="xsd:double"&gt;3.727505&lt;/D&gt;&lt;/FQL&gt;&lt;FQL&gt;&lt;Q&gt;USDAUD^FG_PRICE_CHANGE(0,-6AM)&lt;/Q&gt;&lt;R&gt;1&lt;/R&gt;&lt;C&gt;1&lt;/C&gt;&lt;D xsi:type="xsd:double"&gt;-2.9157937&lt;/D&gt;&lt;/FQL&gt;&lt;FQL&gt;&lt;Q&gt;EWQ^FMA_DIV_YLD(NTMA,-10AY,0,AM,"PORTAGG","MEANR")&lt;/Q&gt;&lt;R&gt;121&lt;/R&gt;&lt;C&gt;1&lt;/C&gt;&lt;D xsi:type="xsd:double"&gt;3.84671942820626&lt;/D&gt;&lt;D xsi:type="xsd:double"&gt;3.70413509300872&lt;/D&gt;&lt;D xsi:type="xsd:double"&gt;3.67415759998822&lt;/D&gt;&lt;D xsi:type="xsd:double"&gt;3.71383695470491&lt;/D&gt;&lt;D xsi:type="xsd:double"&gt;3.29562221462506&lt;/D&gt;&lt;D xsi:type="xsd:double"&gt;3.27474651055289&lt;/D&gt;&lt;D xsi:type="xsd:double"&gt;3.08495761012866&lt;/D&gt;&lt;D xsi:type="xsd:double"&gt;3.2307337248358&lt;/D&gt;&lt;D xsi:type="xsd:double"&gt;3.33930767748942&lt;/D&gt;&lt;D xsi:type="xsd:double"&gt;3.37716442667806&lt;/D&gt;&lt;D xsi:type="xsd:double"&gt;3.23958369447769&lt;/D&gt;&lt;D xsi:type="xsd:double"&gt;3.65979584842759&lt;/D&gt;&lt;D xsi:type="xsd:double"&gt;3.56337293234251&lt;/D&gt;&lt;D xsi:type="xsd:double"&gt;3.44070884342444&lt;/D&gt;&lt;D xsi:type="xsd:double"&gt;3.60096755734525&lt;/D&gt;&lt;D xsi:type="xsd:double"&gt;3.84302898174464&lt;/D&gt;&lt;D xsi:type="xsd:double"&gt;4.07638927627383&lt;/D&gt;&lt;D xsi:type="xsd:double"&gt;3.80810869696324&lt;/D&gt;&lt;D xsi:type="xsd:double"&gt;3.83920868258253&lt;/D&gt;&lt;D xsi:type="xsd:double"&gt;3.78900316654646&lt;/D&gt;&lt;D xsi:type="xsd:double"&gt;3.8509698530239&lt;/D&gt;&lt;D xsi:type="xsd:double"&gt;3.94870658377101&lt;/D&gt;&lt;D xsi:type="xsd:double"&gt;3.72293329679567&lt;/D&gt;&lt;D xsi:type="xsd:double"&gt;3.68553962811231&lt;/D&gt;&lt;D xsi:type="xsd:double"&gt;3.72156432087701&lt;/D&gt;&lt;D xsi:type="xsd:double"&gt;3.71015485861812&lt;/D&gt;&lt;D xsi:type="xsd:double"&gt;3.53873590391365&lt;/D&gt;&lt;D xsi:type="xsd:double"&gt;3.44809446712035&lt;/D&gt;&lt;D xsi:type="xsd:double"&gt;3.50448723331954&lt;/D&gt;&lt;D xsi:type="xsd:double"&gt;3.42744830382001&lt;/D&gt;&lt;D xsi:type="xsd:double"&gt;3.36423115165076&lt;/D&gt;&lt;D xsi:type="xsd:double"&gt;3.20125900135579&lt;/D&gt;&lt;D xsi:type="xsd:double"&gt;3.25906833707337&lt;/D&gt;&lt;D xsi:type="xsd:double"&gt;3.37415596108265&lt;/D&gt;&lt;D xsi:type="xsd:double"&gt;3.4099270786764&lt;/D&gt;&lt;D xsi:type="xsd:double"&gt;3.40099711373585&lt;/D&gt;&lt;D xsi:type="xsd:double"&gt;3.28481860517193&lt;/D&gt;&lt;D xsi:type="xsd:double"&gt;3.30597966187697&lt;/D&gt;&lt;D xsi:type="xsd:double"&gt;3.26624281764129&lt;/D&gt;&lt;D xsi:type="xsd:double"&gt;3.2187383959938&lt;/D&gt;&lt;D xsi:type="xsd:double"&gt;3.50067759329645&lt;/D&gt;&lt;D xsi:type="xsd:double"&gt;3.38318623993438&lt;/D&gt;&lt;D xsi:type="xsd:double"&gt;3.38886207040098&lt;/D&gt;&lt;D xsi:type="xsd:double"&gt;3.28278236488136&lt;/D&gt;&lt;D xsi:type="xsd:double"&gt;3.37560058025769&lt;/D&gt;&lt;D xsi:type="xsd:double"&gt;3.39307228810328&lt;/D&gt;&lt;D xsi:type="xsd:double"&gt;3.44521810088229&lt;/D&gt;&lt;D xsi:type="xsd:double"&gt;3.54314547802014&lt;/D&gt;&lt;D xsi:type="xsd:double"&gt;3.63294686957116&lt;/D&gt;&lt;D xsi:type="xsd:double"&gt;3.70226286608094&lt;/D&gt;&lt;D xsi:type="xsd:double"&gt;3.992230350605&lt;/D&gt;&lt;D xsi:type="xsd:double"&gt;3.93567782767515&lt;/D&gt;&lt;D xsi:type="xsd:double"&gt;3.829945530741&lt;/D&gt;&lt;D xsi:type="xsd:double"&gt;3.66181039562826&lt;/D&gt;&lt;D xsi:type="xsd:double"&gt;3.54431599249646&lt;/D&gt;&lt;D xsi:type="xsd:double"&gt;3.63304435327109&lt;/D&gt;&lt;D xsi:type="xsd:double"&gt;3.61322862193551&lt;/D&gt;&lt;D xsi:type="xsd:double"&gt;3.52319987804609&lt;/D&gt;&lt;D xsi:type="xsd:double"&gt;3.68507378399032&lt;/D&gt;&lt;D xsi:type="xsd:double"&gt;3.53434621201795&lt;/D&gt;&lt;D xsi:type="xsd:double"&gt;3.56463656527963&lt;/D&gt;&lt;D xsi:type="xsd:double"&gt;3.37822424682637&lt;/D&gt;&lt;D xsi:type="xsd:double"&gt;3.41447520311934&lt;/D&gt;&lt;D xsi:type="xsd:double"&gt;3.32799839455302&lt;/D&gt;&lt;D xsi:type="xsd:double"&gt;3.32764024256597&lt;/D&gt;&lt;D xsi:type="xsd:double"&gt;4.206171490144&lt;/D&gt;&lt;D xsi:type="xsd:double"&gt;3.95122385520085&lt;/D&gt;&lt;D xsi:type="xsd:double"&gt;3.49143199433732&lt;/D&gt;&lt;D xsi:type="xsd:double"&gt;3.08309368902129&lt;/D&gt;&lt;D xsi:type="xsd:double"&gt;3.12527476477278&lt;/D&gt;&lt;D xsi:type="xsd:double"&gt;3.15891123450294&lt;/D&gt;&lt;D xsi:type="xsd:double"&gt;3.11697882179062&lt;/D&gt;&lt;D xsi:type="xsd:double"&gt;3.18530839879111&lt;/D&gt;&lt;D xsi:type="xsd:double"&gt;2.94226949134756&lt;/D&gt;&lt;D xsi:type="xsd:double"&gt;2.90921750574572&lt;/D&gt;&lt;D xsi:type="xsd:double"&gt;2.87822690543195&lt;/D&gt;&lt;D xsi:type="xsd:double"&gt;2.92488082052775&lt;/D&gt;&lt;D xsi:type="xsd:double"&gt;2.76041589189127&lt;/D&gt;&lt;D xsi:type="xsd:double"&gt;2.71755704110516&lt;/D&gt;&lt;D xsi:type="xsd:double"&gt;2.68560185539568&lt;/D&gt;&lt;D xsi:type="xsd:double"&gt;2.66247056571643&lt;/D&gt;&lt;D xsi:type="xsd:double"&gt;2.70365670126018&lt;/D&gt;&lt;D xsi:type="xsd:double"&gt;2.69226522350666&lt;/D&gt;&lt;D xsi:type="xsd:double"&gt;2.77701218879333&lt;/D&gt;&lt;D xsi:type="xsd:double"&gt;2.87193293537483&lt;/D&gt;&lt;D xsi:type="xsd:double"&gt;2.73777141942638&lt;/D&gt;&lt;D xsi:type="xsd:double"&gt;2.78956507322071&lt;/D&gt;&lt;D xsi:type="xsd:double"&gt;2.75995359519924&lt;/D&gt;&lt;D xsi:type="xsd:double"&gt;2.85007133010687&lt;/D&gt;&lt;D xsi:type="xsd:double"&gt;3.31587972007263&lt;/D&gt;&lt;D xsi:type="xsd:double"&gt;3.14470782938027&lt;/D&gt;&lt;D xsi:type="xsd:double"&gt;3.38955883516555&lt;/D&gt;&lt;D xsi:type="xsd:double"&gt;3.37047968869736&lt;/D&gt;&lt;D xsi:type="xsd:double"&gt;3.48308365265845&lt;/D&gt;&lt;D xsi:type="xsd:double"&gt;3.26062104610036&lt;/D&gt;&lt;D xsi:type="xsd:double"&gt;3.46855720561615&lt;/D&gt;&lt;D xsi:type="xsd:double"&gt;3.73144878189735&lt;/D&gt;&lt;D xsi:type="xsd:double"&gt;3.34620210694449&lt;/D&gt;&lt;D xsi:type="xsd:double"&gt;3.28547292879144&lt;/D&gt;&lt;D xsi:type="xsd:double"&gt;3.20451572332275&lt;/D&gt;&lt;D xsi:type="xsd:double"&gt;3.16616049447705&lt;/D&gt;&lt;D xsi:type="xsd:double"&gt;3.20161135951967&lt;/D&gt;&lt;D xsi:type="xsd:double"&gt;3.18133216120285&lt;/D&gt;&lt;D xsi:type="xsd:double"&gt;3.20152713577589&lt;/D&gt;&lt;D xsi:type="xsd:double"&gt;3.28922014012573&lt;/D&gt;&lt;D xsi:type="xsd:double"&gt;3.35502037385431&lt;/D&gt;&lt;D xsi:type="xsd:double"&gt;3.25719919636684&lt;/D&gt;&lt;D xsi:type="xsd:double"&gt;3.35941515192993&lt;/D&gt;&lt;D xsi:type="xsd:double"&gt;3.41545890464566&lt;/D&gt;&lt;D xsi:type="xsd:double"&gt;3.46079179368663&lt;/D&gt;&lt;D xsi:type="xsd:double"&gt;3.24831437504092&lt;/D&gt;&lt;D xsi:type="xsd:double"&gt;3.28079928579982&lt;/D&gt;&lt;D xsi:type="xsd:double"&gt;3.20116719422219&lt;/D&gt;&lt;D xsi:type="xsd:double"&gt;3.09916174735809&lt;/D&gt;&lt;D xsi:type="xsd:double"&gt;3.12007009851053&lt;/D&gt;&lt;D xsi:type="xsd:double"&gt;3.05459863147502&lt;/D&gt;&lt;D xsi:type="xsd:double"&gt;3.21386010263894&lt;/D&gt;&lt;D xsi:type="xsd:double"&gt;3.35150782491053&lt;/D&gt;&lt;D xsi:type="xsd:double"&gt;3.49188321778531&lt;/D&gt;&lt;D xsi:type="xsd:double"&gt;3.44158631755887&lt;/D&gt;&lt;D xsi:type="xsd:double"&gt;3.38267475871349&lt;/D&gt;&lt;/FQL&gt;&lt;FQL&gt;&lt;Q&gt;FC0000GB^FG_PRICE(0)&lt;/Q&gt;&lt;R&gt;1&lt;/R&gt;&lt;C&gt;1&lt;/C&gt;&lt;D xsi:type="xsd:double"&gt;131.75851&lt;/D&gt;&lt;/FQL&gt;&lt;FQL&gt;&lt;Q&gt;EWL^FG_PRICE_MAVG(0,,,,200)&lt;/Q&gt;&lt;R&gt;1&lt;/R&gt;&lt;C&gt;1&lt;/C&gt;&lt;D xsi:type="xsd:double"&gt;48.63085&lt;/D&gt;&lt;/FQL&gt;&lt;FQL&gt;&lt;Q&gt;EWN^PERCENT_CHANGE(FMA_EPS(+1,0,,,,"PORTAGG","MEAN"),FMA_EPS(+1,-3AM,,,,"PORTAGG","MEAN"))&lt;/Q&gt;&lt;R&gt;1&lt;/R&gt;&lt;C&gt;1&lt;/C&gt;&lt;D xsi:type="xsd:double"&gt;-0.342328905404288&lt;/D&gt;&lt;/FQL&gt;&lt;FQL&gt;&lt;Q&gt;EWL^FMA_PCT_ABOVE_MAVG(200,0,,,,"PORTAGG")&lt;/Q&gt;&lt;R&gt;1&lt;/R&gt;&lt;C&gt;1&lt;/C&gt;&lt;D xsi:type="xsd:double"&gt;67.3913043478261&lt;/D&gt;&lt;/FQL&gt;&lt;FQL&gt;&lt;Q&gt;SPY^FMA_RBICS_REV_CURRENT(30, LOC, "PORTAGG")&lt;/Q&gt;&lt;R&gt;1&lt;/R&gt;&lt;C&gt;1&lt;/C&gt;&lt;D xsi:type="xsd:double"&gt;12.4668204376818&lt;/D&gt;&lt;/FQL&gt;&lt;FQL&gt;&lt;Q&gt;TRYSE10Y-FDS^FG_YIELD(0,,,,"YTM")&lt;/Q&gt;&lt;R&gt;1&lt;/R&gt;&lt;C&gt;1&lt;/C&gt;&lt;D xsi:type="xsd:double"&gt;2.134&lt;/D&gt;&lt;/FQL&gt;&lt;FQL&gt;&lt;Q&gt;EWN^FMA_PE(LTM,0,,,"PORTAGG","MEANR")&lt;/Q&gt;&lt;R&gt;1&lt;/R&gt;&lt;C&gt;1&lt;/C&gt;&lt;D xsi:type="xsd:double"&gt;21.4558119714235&lt;/D&gt;&lt;/FQL&gt;&lt;FQL&gt;&lt;Q&gt;CAGDPY@DE^EE_ACTUAL_ANNUAL(MED,+1)&lt;/Q&gt;&lt;R&gt;1&lt;/R&gt;&lt;C&gt;1&lt;/C&gt;&lt;D xsi:type="xsd:double"&gt;7&lt;/D&gt;&lt;/FQL&gt;&lt;FQL&gt;&lt;Q&gt;WL-FDS^MAX(FG_PRICE(0,-5AY))&lt;/Q&gt;&lt;R&gt;1&lt;/R&gt;&lt;C&gt;1&lt;/C&gt;&lt;D xsi:type="xsd:double"&gt;763.4&lt;/D&gt;&lt;/FQL&gt;&lt;FQL&gt;&lt;Q&gt;BRENT-FDS^FG_PRICE_MAVG(0,,,,30)&lt;/Q&gt;&lt;R&gt;1&lt;/R&gt;&lt;C&gt;1&lt;/C&gt;&lt;D xsi:type="xsd:double"&gt;85.86&lt;/D&gt;&lt;/FQL&gt;&lt;FQL&gt;&lt;Q&gt;ENZL^P_PRICE(0)/P_PRICE_LOW_PR(0,,,,,,"PRICE","INTRA","52W")-1&lt;/Q&gt;&lt;R&gt;1&lt;/R&gt;&lt;C&gt;1&lt;/C&gt;&lt;D xsi:type="xsd:double"&gt;0.18912697&lt;/D&gt;&lt;/FQL&gt;&lt;FQL&gt;&lt;Q&gt;QQQ^FMA_COS_DOWN("EPS","1M",+1,0,,,"PORTAGG","MEANR")&lt;/Q&gt;&lt;R&gt;1&lt;/R&gt;&lt;C&gt;1&lt;/C&gt;&lt;D xsi:type="xsd:double"&gt;34&lt;/D&gt;&lt;/FQL&gt;&lt;FQL&gt;&lt;Q&gt;REFCATARG-FDS^FG_YIELD(NOW,,,0)&lt;/Q&gt;&lt;R&gt;1&lt;/R&gt;&lt;C&gt;1&lt;/C&gt;&lt;D xsi:type="xsd:double"&gt;4.25&lt;/D&gt;&lt;/FQL&gt;&lt;FQL&gt;&lt;Q&gt;VWO^FMA_EVAL_EBIT(LTMA,NOW,NOW,M,"PORTAGG","MEANR")&lt;/Q&gt;&lt;R&gt;1&lt;/R&gt;&lt;C&gt;1&lt;/C&gt;&lt;D xsi:type="xsd:double"&gt;14.5160233239417&lt;/D&gt;&lt;/FQL&gt;&lt;FQL&gt;&lt;Q&gt;USDAUD^FG_PRICE_CHANGE(</t>
        </r>
      </text>
    </comment>
    <comment ref="A13" authorId="0" shapeId="0" xr:uid="{1E8D099E-47FA-4A67-8B2A-6C9475B992BE}">
      <text>
        <r>
          <rPr>
            <b/>
            <sz val="9"/>
            <color indexed="81"/>
            <rFont val="Tahoma"/>
            <charset val="1"/>
          </rPr>
          <t>0,-3AM)&lt;/Q&gt;&lt;R&gt;1&lt;/R&gt;&lt;C&gt;1&lt;/C&gt;&lt;D xsi:type="xsd:double"&gt;0.3124118&lt;/D&gt;&lt;/FQL&gt;&lt;FQL&gt;&lt;Q&gt;EWL^FMA_DIV_YLD(NTMA,-10AY,0,AM,"PORTAGG","MEANR")&lt;/Q&gt;&lt;R&gt;121&lt;/R&gt;&lt;C&gt;1&lt;/C&gt;&lt;D xsi:type="xsd:double"&gt;3.50999395957838&lt;/D&gt;&lt;D xsi:type="xsd:double"&gt;3.30390970008705&lt;/D&gt;&lt;D xsi:type="xsd:double"&gt;3.27835326027416&lt;/D&gt;&lt;D xsi:type="xsd:double"&gt;3.29647717954121&lt;/D&gt;&lt;D xsi:type="xsd:double"&gt;3.29076115286176&lt;/D&gt;&lt;D xsi:type="xsd:double"&gt;3.21269595367634&lt;/D&gt;&lt;D xsi:type="xsd:double"&gt;3.02364388819327&lt;/D&gt;&lt;D xsi:type="xsd:double"&gt;3.11886578770728&lt;/D&gt;&lt;D xsi:type="xsd:double"&gt;3.15121320693936&lt;/D&gt;&lt;D xsi:type="xsd:double"&gt;3.18474821005041&lt;/D&gt;&lt;D xsi:type="xsd:double"&gt;3.1003882435669&lt;/D&gt;&lt;D xsi:type="xsd:double"&gt;3.34466811475525&lt;/D&gt;&lt;D xsi:type="xsd:double"&gt;3.34018456735464&lt;/D&gt;&lt;D xsi:type="xsd:double"&gt;3.28540960258225&lt;/D&gt;&lt;D xsi:type="xsd:double"&gt;3.334257153179&lt;/D&gt;&lt;D xsi:type="xsd:double"&gt;3.48936491368698&lt;/D&gt;&lt;D xsi:type="xsd:double"&gt;3.61159322738379&lt;/D&gt;&lt;D xsi:type="xsd:double"&gt;3.52470663453574&lt;/D&gt;&lt;D xsi:type="xsd:double"&gt;3.53921875150355&lt;/D&gt;&lt;D xsi:type="xsd:double"&gt;3.5360280913439&lt;/D&gt;&lt;D xsi:type="xsd:double"&gt;3.54851094591252&lt;/D&gt;&lt;D xsi:type="xsd:double"&gt;3.56238703219561&lt;/D&gt;&lt;D xsi:type="xsd:double"&gt;3.45259947100382&lt;/D&gt;&lt;D xsi:type="xsd:double"&gt;3.4483318970418&lt;/D&gt;&lt;D xsi:type="xsd:double"&gt;3.50313031898292&lt;/D&gt;&lt;D xsi:type="xsd:double"&gt;3.60741732630655&lt;/D&gt;&lt;D xsi:type="xsd:double"&gt;3.59783374026028&lt;/D&gt;&lt;D xsi:type="xsd:double"&gt;3.47098098897923&lt;/D&gt;&lt;D xsi:type="xsd:double"&gt;3.41928802360108&lt;/D&gt;&lt;D xsi:type="xsd:double"&gt;3.34952494544337&lt;/D&gt;&lt;D xsi:type="xsd:double"&gt;3.43954866538144&lt;/D&gt;&lt;D xsi:type="xsd:double"&gt;3.30267359641494&lt;/D&gt;&lt;D xsi:type="xsd:double"&gt;3.35235274576484&lt;/D&gt;&lt;D xsi:type="xsd:double"&gt;3.29151610783265&lt;/D&gt;&lt;D xsi:type="xsd:double"&gt;3.31940807023084&lt;/D&gt;&lt;D xsi:type="xsd:double"&gt;3.31057960077694&lt;/D&gt;&lt;D xsi:type="xsd:double"&gt;3.23708035137689&lt;/D&gt;&lt;D xsi:type="xsd:double"&gt;3.28859251217393&lt;/D&gt;&lt;D xsi:type="xsd:double"&gt;3.24156310316238&lt;/D&gt;&lt;D xsi:type="xsd:double"&gt;3.1761817412688&lt;/D&gt;&lt;D xsi:type="xsd:double"&gt;3.46585499246936&lt;/D&gt;&lt;D xsi:type="xsd:double"&gt;3.41710619370605&lt;/D&gt;&lt;D xsi:type="xsd:double"&gt;3.48222097964041&lt;/D&gt;&lt;D xsi:type="xsd:double"&gt;3.4349554899338&lt;/D&gt;&lt;D xsi:type="xsd:double"&gt;3.5836375954796&lt;/D&gt;&lt;D xsi:type="xsd:double"&gt;3.4926363994603&lt;/D&gt;&lt;D xsi:type="xsd:double"&gt;3.42229033877822&lt;/D&gt;&lt;D xsi:type="xsd:double"&gt;3.43800102069537&lt;/D&gt;&lt;D xsi:type="xsd:double"&gt;3.54311597624095&lt;/D&gt;&lt;D xsi:type="xsd:double"&gt;3.49377293801998&lt;/D&gt;&lt;D xsi:type="xsd:double"&gt;3.7052928135121&lt;/D&gt;&lt;D xsi:type="xsd:double"&gt;3.54770126789004&lt;/D&gt;&lt;D xsi:type="xsd:double"&gt;3.46786595566671&lt;/D&gt;&lt;D xsi:type="xsd:double"&gt;3.39760579154675&lt;/D&gt;&lt;D xsi:type="xsd:double"&gt;3.25882727232996&lt;/D&gt;&lt;D xsi:type="xsd:double"&gt;3.34472369712065&lt;/D&gt;&lt;D xsi:type="xsd:double"&gt;3.26574617859283&lt;/D&gt;&lt;D xsi:type="xsd:double"&gt;3.2290418395655&lt;/D&gt;&lt;D xsi:type="xsd:double"&gt;3.26597630324671&lt;/D&gt;&lt;D xsi:type="xsd:double"&gt;3.19561861078958&lt;/D&gt;&lt;D xsi:type="xsd:double"&gt;3.25476926046509&lt;/D&gt;&lt;D xsi:type="xsd:double"&gt;3.13649568964204&lt;/D&gt;&lt;D xsi:type="xsd:double"&gt;3.11933332487707&lt;/D&gt;&lt;D xsi:type="xsd:double"&gt;3.03730209591308&lt;/D&gt;&lt;D xsi:type="xsd:double"&gt;2.95059998558438&lt;/D&gt;&lt;D xsi:type="xsd:double"&gt;3.48064148943738&lt;/D&gt;&lt;D xsi:type="xsd:double"&gt;3.40426873881295&lt;/D&gt;&lt;D xsi:type="xsd:double"&gt;3.25785004849009&lt;/D&gt;&lt;D xsi:type="xsd:double"&gt;3.06056357570198&lt;/D&gt;&lt;D xsi:type="xsd:double"&gt;3.0151502831315&lt;/D&gt;&lt;D xsi:type="xsd:double"&gt;2.98076077571987&lt;/D&gt;&lt;D xsi:type="xsd:double"&gt;2.910326944126&lt;/D&gt;&lt;D xsi:type="xsd:double"&gt;2.92820217542626&lt;/D&gt;&lt;D xsi:type="xsd:double"&gt;2.91999900217771&lt;/D&gt;&lt;D xsi:type="xsd:double"&gt;2.90586246245744&lt;/D&gt;&lt;D xsi:type="xsd:double"&gt;2.81034229137688&lt;/D&gt;&lt;D xsi:type="xsd:double"&gt;2.81814755237546&lt;/D&gt;&lt;D xsi:type="xsd:double"&gt;2.83861841114919&lt;/D&gt;&lt;D xsi:type="xsd:double"&gt;2.73982619625331&lt;/D&gt;&lt;D xsi:type="xsd:double"&gt;2.7572251708218&lt;/D&gt;&lt;D xsi:type="xsd:double"&gt;2.62852719524279&lt;/D&gt;&lt;D xsi:type="xsd:double"&gt;2.62181296988257&lt;/D&gt;&lt;D xsi:type="xsd:double"&gt;2.57213318422266&lt;/D&gt;&lt;D xsi:type="xsd:double"&gt;2.63048266198272&lt;/D&gt;&lt;D xsi:type="xsd:double"&gt;2.74251032303678&lt;/D&gt;&lt;D xsi:type="xsd:double"&gt;2.58649583781304&lt;/D&gt;&lt;D xsi:type="xsd:double"&gt;2.58037771128618&lt;/D&gt;&lt;D xsi:type="xsd:double"&gt;2.62350667982259&lt;/D&gt;&lt;D xsi:type="xsd:double"&gt;2.73429339347959&lt;/D&gt;&lt;D xsi:type="xsd:double"&gt;2.95566279904506&lt;/D&gt;&lt;D xsi:type="xsd:double"&gt;2.73365907952224&lt;/D&gt;&lt;D xsi:type="xsd:double"&gt;3.01409661216463&lt;/D&gt;&lt;D xsi:type="xsd:double"&gt;3.12948282029368&lt;/D&gt;&lt;D xsi:type="xsd:double"&gt;3.14052766549575&lt;/D&gt;&lt;D xsi:type="xsd:double"&gt;3.05472565305302&lt;/D&gt;&lt;D xsi:type="xsd:double"&gt;3.17956822285297&lt;/D&gt;&lt;D xsi:type="xsd:double"&gt;3.44339300976931&lt;/D&gt;&lt;D xsi:type="xsd:double"&gt;3.13280687291294&lt;/D&gt;&lt;D xsi:type="xsd:double"&gt;3.12580928770435&lt;/D&gt;&lt;D xsi:type="xsd:double"&gt;3.09847165234006&lt;/D&gt;&lt;D xsi:type="xsd:double"&gt;3.09347390411903&lt;/D&gt;&lt;D xsi:type="xsd:double"&gt;3.24720786632931&lt;/D&gt;&lt;D xsi:type="xsd:double"&gt;3.14323282660241&lt;/D&gt;&lt;D xsi:type="xsd:double"&gt;3.07627284195551&lt;/D&gt;&lt;D xsi:type="xsd:double"&gt;3.17702424337124&lt;/D&gt;&lt;D xsi:type="xsd:double"&gt;3.25975092306725&lt;/D&gt;&lt;D xsi:type="xsd:double"&gt;3.19219445270145&lt;/D&gt;&lt;D xsi:type="xsd:double"&gt;3.30147702000454&lt;/D&gt;&lt;D xsi:type="xsd:double"&gt;3.34239657086057&lt;/D&gt;&lt;D xsi:type="xsd:double"&gt;3.49294969427173&lt;/D&gt;&lt;D xsi:type="xsd:double"&gt;3.33329702069226&lt;/D&gt;&lt;D xsi:type="xsd:double"&gt;3.27295595593395&lt;/D&gt;&lt;D xsi:type="xsd:double"&gt;3.39995777583724&lt;/D&gt;&lt;D xsi:type="xsd:double"&gt;3.24294977013595&lt;/D&gt;&lt;D xsi:type="xsd:double"&gt;3.33075229209832&lt;/D&gt;&lt;D xsi:type="xsd:double"&gt;3.27276741095793&lt;/D&gt;&lt;D xsi:type="xsd:double"&gt;3.18959758803818&lt;/D&gt;&lt;D xsi:type="xsd:double"&gt;3.19624324955313&lt;/D&gt;&lt;D xsi:type="xsd:double"&gt;3.23326409372822&lt;/D&gt;&lt;D xsi:type="xsd:double"&gt;3.20018062541412&lt;/D&gt;&lt;D xsi:type="xsd:double"&gt;3.19626655238317&lt;/D&gt;&lt;/FQL&gt;&lt;FQL&gt;&lt;Q&gt;EWL^FG_PRICE(0)&lt;/Q&gt;&lt;R&gt;1&lt;/R&gt;&lt;C&gt;1&lt;/C&gt;&lt;D xsi:type="xsd:double"&gt;51.02&lt;/D&gt;&lt;/FQL&gt;&lt;FQL&gt;&lt;Q&gt;EWN^PERCENT_CHANGE(FMA_EPS(+1,0,,,,"PORTAGG","MEAN"),FMA_EPS(+1,-1AM,,,,"PORTAGG","MEAN"))&lt;/Q&gt;&lt;R&gt;1&lt;/R&gt;&lt;C&gt;1&lt;/C&gt;&lt;D xsi:type="xsd:double"&gt;-1.47012682505014&lt;/D&gt;&lt;/FQL&gt;&lt;FQL&gt;&lt;Q&gt;QQQ^FMA_RBICS_REV_CURRENT(30, LOC, "PORTAGG")&lt;/Q&gt;&lt;R&gt;1&lt;/R&gt;&lt;C&gt;1&lt;/C&gt;&lt;D xsi:type="xsd:double"&gt;0.944515959592101&lt;/D&gt;&lt;/FQL&gt;&lt;FQL&gt;&lt;Q&gt;VWO^FMA_EVAL_EBITDA(NTMA,0,,,"PORTAGG","MEANR")&lt;/Q&gt;&lt;R&gt;1&lt;/R&gt;&lt;C&gt;1&lt;/C&gt;&lt;D xsi:type="xsd:double"&gt;8.91761531837544&lt;/D&gt;&lt;/FQL&gt;&lt;FQL&gt;&lt;Q&gt;TRYPH10Y-FDS^FG_YIELD(-10AY,0,Y,,"YTM")&lt;/Q&gt;&lt;R&gt;10&lt;/R&gt;&lt;C&gt;1&lt;/C&gt;&lt;D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xsi:type="xsd:double"&gt;6.0028777&lt;/D&gt;&lt;/FQL&gt;&lt;FQL&gt;&lt;Q&gt;CAGDPY@DE^EE_ACTUAL_ANNUAL(MED,0)&lt;/Q&gt;&lt;R&gt;1&lt;/R&gt;&lt;C&gt;1&lt;/C&gt;&lt;D xsi:type="xsd:double"&gt;5.88214213185842&lt;/D&gt;&lt;/FQL&gt;&lt;FQL&gt;&lt;Q&gt;WL-FDS^FG_PRICE(0)&lt;/Q&gt;&lt;R&gt;1&lt;/R&gt;&lt;C&gt;1&lt;/C&gt;&lt;D xsi:type="xsd:double"&gt;566.7&lt;/D&gt;&lt;/FQL&gt;&lt;FQL&gt;&lt;Q&gt;COPP-FDS^MAX(FG_PRICE(0,-5AY))&lt;/Q&gt;&lt;R&gt;1&lt;/R&gt;&lt;C&gt;1&lt;/C&gt;&lt;D xsi:type="xsd:double"&gt;5.119&lt;/D&gt;&lt;/FQL&gt;&lt;FQL&gt;&lt;Q&gt;EWQ^FG_TOTAL_RETURNC(0,-1AM)&lt;/Q&gt;&lt;R&gt;1&lt;/R&gt;&lt;C&gt;1&lt;/C&gt;&lt;D xsi:type="xsd:double"&gt;1.2144685&lt;/D&gt;&lt;/FQL&gt;&lt;FQL&gt;&lt;Q&gt;ENZL^FG_TOTAL_RETURNC(0,-1AM)&lt;/Q&gt;&lt;R&gt;1&lt;/R&gt;&lt;C&gt;1&lt;/C&gt;&lt;D xsi:type="xsd:double"&gt;-0.6313622&lt;/D&gt;&lt;/FQL&gt;&lt;FQL&gt;&lt;Q&gt;EWL^FMA_COS_UP("EPS","1M",+1,0,,,"PORTAGG","MEANR")&lt;/Q&gt;&lt;R&gt;1&lt;/R&gt;&lt;C&gt;1&lt;/C&gt;&lt;D xsi:type="xsd:double"&gt;13&lt;/D&gt;&lt;/FQL&gt;&lt;FQL&gt;&lt;Q&gt;REFCATARG-FDS^PROPER_NAME(0,,,"SECURITY","NAME")&lt;/Q&gt;&lt;R&gt;1&lt;/R&gt;&lt;C&gt;1&lt;/C&gt;&lt;D xsi:type="xsd:string"&gt;Canada Target Rate&lt;/D&gt;&lt;/FQL&gt;&lt;FQL&gt;&lt;Q&gt;EWQ^FMA_PE(LTM,0,,,"PORTAGG","MEANR")&lt;/Q&gt;&lt;R&gt;1&lt;/R&gt;&lt;C&gt;1&lt;/C&gt;&lt;D xsi:type="xsd:double"&gt;16.6930921467649&lt;/D&gt;&lt;/FQL&gt;&lt;FQL&gt;&lt;Q&gt;EWG^FMA_EVAL_EBITDA(NTMA,0,,,"PORTAGG","MEANR")&lt;/Q&gt;&lt;R&gt;1&lt;/R&gt;&lt;C&gt;1&lt;/C&gt;&lt;D xsi:type="xsd:double"&gt;8.87160695093588&lt;/D&gt;&lt;/FQL&gt;&lt;FQL&gt;&lt;Q&gt;UUP^P_PRICE(0)/P_PRICE_HIGH_PR(0,,,USD,,,"PRICE","INTRA","52W")&lt;/Q&gt;&lt;R&gt;1&lt;/R&gt;&lt;C&gt;1&lt;/C&gt;&lt;D xsi:type="xsd:double"&gt;0.95508033&lt;/D&gt;&lt;/FQL&gt;&lt;FQL&gt;&lt;Q&gt;TRYGB10Y-FDS^FG_YIELD(-10AY,0,Y,,"YTM")&lt;/Q&gt;&lt;R&gt;10&lt;/R&gt;&lt;C&gt;1&lt;/C&gt;&lt;D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xsi:type="xsd:double"&gt;3.534&lt;/D&gt;&lt;/FQL&gt;&lt;FQL&gt;&lt;Q&gt;USDGBP^STD(FG_PRICE_CHANGE(0,-3AY,M))&lt;/Q&gt;&lt;R&gt;1&lt;/R&gt;&lt;C&gt;1&lt;/C&gt;&lt;D xsi:type="xsd:double"&gt;2.39047188640175&lt;/D&gt;&lt;/FQL&gt;&lt;FQL&gt;&lt;Q&gt;EWJ^FMA_DIV_YLD(NTMA,-10AY,0,AM,"PORTAGG","MEANR")&lt;/Q&gt;&lt;R&gt;121&lt;/R&gt;&lt;C&gt;1&lt;/C&gt;&lt;D xsi:type="xsd:double"&gt;2.16223506059452&lt;/D&gt;&lt;D xsi:type="xsd:double"&gt;1.9867487395726&lt;/D&gt;&lt;D xsi:type="xsd:double"&gt;1.9705877621457&lt;/D&gt;&lt;D xsi:type="xsd:double"&gt;2.02456223817472&lt;/D&gt;&lt;D xsi:type="xsd:double"&gt;1.99390093274596&lt;/D&gt;&lt;D xsi:type="xsd:double"&gt;1.88938357434887&lt;/D&gt;&lt;D xsi:type="xsd:double"&gt;1.84121609437922&lt;/D&gt;&lt;D xsi:type="xsd:double"&gt;1.8762165620882&lt;/D&gt;&lt;D xsi:type="xsd:double"&gt;1.90612334020298&lt;/D&gt;&lt;D xsi:type="xsd:double"&gt;1.98190899374002&lt;/D&gt;&lt;D xsi:type="xsd:double"&gt;1.8748430963635&lt;/D&gt;&lt;D xsi:type="xsd:double"&gt;2.14911931726949&lt;/D&gt;&lt;D xsi:type="xsd:double"&gt;2.10330704758935&lt;/D&gt;&lt;D xsi:type="xsd:double"&gt;2.01447528203665&lt;/D&gt;&lt;D xsi:type="xsd:double"&gt;2.09038055350337&lt;/D&gt;&lt;D xsi:type="xsd:double"&gt;2.25240336398616&lt;/D&gt;&lt;D xsi:type="xsd:double"&gt;2.57886058806214&lt;/D&gt;&lt;D xsi:type="xsd:double"&gt;2.37922811147866&lt;/D&gt;&lt;D xsi:type="xsd:double"&gt;2.50648084240464&lt;/D&gt;&lt;D xsi:type="xsd:double"&gt;2.40250337454201&lt;/D&gt;&lt;D xsi:type="xsd:double"&gt;2.37928286589849&lt;/D&gt;&lt;D xsi:type="xsd:double"&gt;2.60836017181605&lt;/D&gt;&lt;D xsi:type="xsd:double"&gt;2.39453698337785&lt;/D&gt;&lt;D xsi:type="xsd:double"&gt;2.34644872613198&lt;/D&gt;&lt;D xsi:type="xsd:double"&gt;2.36148360400478&lt;/D&gt;&lt;D xsi:type="xsd:double"&gt;2.33825125172536&lt;/D&gt;&lt;D xsi:type="xsd:double"&gt;2.10087054762229&lt;/D&gt;&lt;D xsi:type="xsd:double"&gt;2.10051950940497&lt;/D&gt;&lt;D xsi:type="xsd:double"&gt;2.12416716336401&lt;/D&gt;&lt;D xsi:type="xsd:double"&gt;2.11971840524454&lt;/D&gt;&lt;D xsi:type="xsd:double"&gt;2.24323117157073&lt;/D&gt;&lt;D xsi:type="xsd:double"&gt;2.14721818403958&lt;/D&gt;&lt;D xsi:type="xsd:double"&gt;2.17547450532924&lt;/D&gt;&lt;D xsi:type="xsd:double"&gt;2.16736321587469&lt;/D&gt;&lt;D xsi:type="xsd:double"&gt;2.18665268344729&lt;/D&gt;&lt;D xsi:type="xsd:double"&gt;2.25204996512068&lt;/D&gt;&lt;D xsi:type="xsd:double"&gt;2.13998073767033&lt;/D&gt;&lt;D xsi:type="xsd:double"&gt;2.03834834585761&lt;/D&gt;&lt;D xsi:type="xsd:double"&gt;2.06481417274468&lt;/D&gt;&lt;D xsi:type="xsd:double"&gt;1.97648666026182&lt;/D&gt;&lt;D xsi:type="xsd:double"&gt;2.19981080208256&lt;/D&gt;&lt;D xsi:type="xsd:double"&gt;2.2567325470921&lt;/D&gt;&lt;D xsi:type="xsd:double"&gt;2.25399986073541&lt;/D&gt;&lt;D xsi:type="xsd:double"&gt;2.21309958395388&lt;/D&gt;&lt;D xsi:type="xsd:double"&gt;2.23228407234798&lt;/D&gt;&lt;D xsi:type="xsd:double"&gt;2.31881767808412&lt;/D&gt;&lt;D xsi:type="xsd:double"&gt;2.32917541421516&lt;/D&gt;&lt;D xsi:type="xsd:double"&gt;2.38586308248289&lt;/D&gt;&lt;D xsi:type="xsd:double"&gt;2.28786303541258&lt;/D&gt;&lt;D xsi:type="xsd:double"&gt;2.43389557508879&lt;/D&gt;&lt;D xsi:type="xsd:double"&gt;2.57369740835312&lt;/D&gt;&lt;D xsi:type="xsd:double"&gt;2.71083919373429&lt;/D&gt;&lt;D xsi:type="xsd:double"&gt;2.68350858947802&lt;/D&gt;&lt;D xsi:type="xsd:double"&gt;2.61965015606886&lt;/D&gt;&lt;D xsi:type="xsd:double"&gt;2.57938791997265&lt;/D&gt;&lt;D xsi:type="xsd:double"&gt;2.67362095415688&lt;/D&gt;&lt;D xsi:type="xsd:double"&gt;2.68463071363157&lt;/D&gt;&lt;D xsi:type="xsd:double"&gt;2.65424083310568&lt;/D&gt;&lt;D xsi:type="xsd:double"&gt;2.77226268401635&lt;/D&gt;&lt;D xsi:type="xsd:double"&gt;2.66455051611351&lt;/D&gt;&lt;D xsi:type="xsd:double"&gt;2.64017107712935&lt;/D&gt;&lt;D xsi:type="xsd:double"&gt;2.4606935789789&lt;/D&gt;&lt;D xsi:type="xsd:double"&gt;2.44509317369216&lt;/D&gt;&lt;D xsi:type="xsd:double"&gt;2.42976303372641&lt;/D&gt;&lt;D xsi:type="xsd:double"&gt;2.44990246292569&lt;/D&gt;&lt;D xsi:type="xsd:double"&gt;2.95852869932896&lt;/D&gt;&lt;D xsi:type="xsd:double"&gt;2.91891282587931&lt;/D&gt;&lt;D xsi:type="xsd:double"&gt;2.80723047507654&lt;/D&gt;&lt;D xsi:type="xsd:double"&gt;2.43577067207266&lt;/D&gt;&lt;D xsi:type="xsd:double"&gt;2.54244675738332&lt;/D&gt;&lt;D xsi:type="xsd:double"&gt;2.50925190366868&lt;/D&gt;&lt;D xsi:type="xsd:double"&gt;2.37738464203635&lt;/D&gt;&lt;D xsi:type="xsd:double"&gt;2.36562253559559&lt;/D&gt;&lt;D xsi:type="xsd:double"&gt;2.29101646603958&lt;/D&gt;&lt;D xsi:type="xsd:double"&gt;2.16565407009932&lt;/D&gt;&lt;D xsi:type="xsd:double"&gt;2.08596785802137&lt;/D&gt;&lt;D xsi:type="xsd:double"&gt;2.02901757470973&lt;/D&gt;&lt;D xsi:type="xsd:double"&gt;2.08771873840472&lt;/D&gt;&lt;D xsi:type="xsd:double"&gt;2.06618045747716&lt;/D&gt;&lt;D xsi:type="xsd:double"&gt;2.11645543272914&lt;/D&gt;&lt;D xsi:type="xsd:double"&gt;2.15949043288454&lt;/D&gt;&lt;D xsi:type="xsd:double"&gt;2.23588969425504&lt;/D&gt;&lt;D xsi:type="xsd:double"&gt;2.24158559513494&lt;/D&gt;&lt;D xsi:type="xsd:double"&gt;2.12996403110456&lt;/D&gt;&lt;D xsi:type="xsd:double"&gt;2.28802042072701&lt;/D&gt;&lt;D xsi:type="xsd:double"&gt;2.25409268895622&lt;/D&gt;&lt;D xsi:type="xsd:double"&gt;2.31946225628918&lt;/D&gt;&lt;D xsi:type="xsd:double"&gt;2.31627611262438&lt;/D&gt;&lt;D xsi:type="xsd:double"&gt;2.41163532306179&lt;/D&gt;&lt;D xsi:type="xsd:double"&gt;2.65408362434568&lt;/D&gt;&lt;D xsi:type="xsd:double"&gt;2.58321612312222&lt;/D&gt;&lt;D xsi:type="xsd:double"&gt;2.65716348512509&lt;/D&gt;&lt;D xsi:type="xsd:double"&gt;2.58655470012318&lt;/D&gt;&lt;D xsi:type="xsd:double"&gt;2.68127828862839&lt;/D&gt;&lt;D xsi:type="xsd:double"&gt;2.62228862162552&lt;/D&gt;&lt;D xsi:type="xsd:double"&gt;2.59604918893741&lt;/D&gt;&lt;D xsi:type="xsd:double"&gt;2.71537942588731&lt;/D&gt;&lt;D xsi:type="xsd:double"&gt;2.65877721247959&lt;/D&gt;&lt;D xsi:type="xsd:double"&gt;2.64604139247002&lt;/D&gt;&lt;D xsi:type="xsd:double"&gt;2.76259396613215&lt;/D&gt;&lt;D xsi:type="xsd:double"&gt;2.60908509372626&lt;/D&gt;&lt;D xsi:type="xsd:double"&gt;2.57555412693267&lt;/D&gt;&lt;D xsi:type="xsd:double"&gt;2.66583096435625&lt;/D&gt;&lt;D xsi:type="xsd:double"&gt;2.53422718225135&lt;/D&gt;&lt;D xsi:type="xsd:double"&gt;2.377677772244&lt;/D&gt;&lt;D xsi:type="xsd:double"&gt;2.39019872561737&lt;/D&gt;&lt;D xsi:type="xsd:double"&gt;2.36410916640558&lt;/D&gt;&lt;D xsi:type="xsd:double"&gt;2.33074977297507&lt;/D&gt;&lt;D xsi:type="xsd:double"&gt;2.39933427171191&lt;/D&gt;&lt;D xsi:type="xsd:double"&gt;2.40106171583008&lt;/D&gt;&lt;D xsi:type="xsd:double"&gt;2.45849601114841&lt;/D&gt;&lt;D xsi:type="xsd:double"&gt;2.35299554522663&lt;/D&gt;&lt;D xsi:type="xsd:double"&gt;2.27353239538893&lt;/D&gt;&lt;D xsi:type="xsd:double"&gt;2.16146533102749&lt;/D&gt;&lt;D xsi:type="xsd:double"&gt;2.18410577559569&lt;/D&gt;&lt;D xsi:type="xsd:double"&gt;2.23121208233526&lt;/D&gt;&lt;D xsi:type="xsd:double"&gt;2.22273637180511&lt;/D&gt;&lt;D xsi:type="xsd:double"&gt;2.15086375207173&lt;/D&gt;&lt;D xsi:type="xsd:double"&gt;2.58207555036346&lt;/D&gt;&lt;D xsi:type="xsd:double"&gt;2.51923839526904&lt;/D&gt;&lt;D xsi:type="xsd:double"&gt;2.37309157570138&lt;/D&gt;&lt;/FQL&gt;&lt;FQL&gt;&lt;Q&gt;EWJ^FG_PRICE_MAVG(0,,,,200)&lt;/Q&gt;&lt;R&gt;1&lt;/R&gt;&lt;C&gt;1&lt;/C&gt;&lt;D xsi:type="xsd:double"&gt;68.5729&lt;/D&gt;&lt;/FQL&gt;&lt;FQL&gt;&lt;Q&gt;EWU^FMA_RBICS_REV_CURRENT(30, LOC, "PORTAGG")&lt;/Q&gt;&lt;R&gt;1&lt;/R&gt;&lt;C&gt;1&lt;/C&gt;&lt;D xsi:type="xsd:double"&gt;19.9116441469538&lt;/D&gt;&lt;/FQL&gt;&lt;FQL&gt;&lt;Q&gt;CC_CH^FG_COMPANY_NAME&lt;/Q&gt;&lt;R&gt;1&lt;/R&gt;&lt;C&gt;1&lt;/C&gt;&lt;D xsi:type="xsd:string"&gt;Switzerland&lt;/D&gt;&lt;/FQL&gt;&lt;FQL&gt;&lt;Q&gt;USDNZD^FG_COMPANY_NAME&lt;/Q&gt;&lt;R&gt;1&lt;/R&gt;&lt;C&gt;1&lt;/C&gt;&lt;D xsi:type="xsd:string"&gt;New Zealand Dollar per U.S. Dollar&lt;/D&gt;&lt;/FQL&gt;&lt;FQL&gt;&lt;Q&gt;PASP-FDS^FG_PRICE_CHANGE(0,-6AM)&lt;/Q&gt;&lt;R&gt;1&lt;/R&gt;&lt;C&gt;1&lt;/C&gt;&lt;D xsi:type="xsd:double"&gt;0.187441424554824&lt;/D&gt;&lt;/FQL&gt;&lt;FQL&gt;&lt;Q&gt;COPP-FDS^FG_PRICE_CHANGE(0,-1AM)&lt;/Q&gt;&lt;R&gt;1&lt;/R&gt;&lt;C&gt;1&lt;/C&gt;&lt;D xsi:type="xsd:double"&gt;8.52617250340304&lt;/D&gt;&lt;/FQL&gt;&lt;FQL&gt;&lt;Q&gt;EWQ^PERCENT_CHANGE(FMA_EPS(+1,0,,,,"PORTAGG","MEAN"),FMA_EPS(+1,-3AM,,,,"PORTAGG","MEAN"))&lt;/Q&gt;&lt;R&gt;1&lt;/R&gt;&lt;C&gt;1&lt;/C&gt;&lt;D xsi:type="xsd:double"&gt;-2.05489445253581&lt;/D&gt;&lt;/FQL&gt;&lt;FQL&gt;&lt;Q&gt;REFAUCASH-FDS^FG_YIELD(NOW,,,0)&lt;/Q&gt;&lt;R&gt;1&lt;/R&gt;&lt;C&gt;1&lt;/C&gt;&lt;D xsi:type="xsd:double"&gt;4.35&lt;/D&gt;&lt;/FQL&gt;&lt;FQL&gt;&lt;Q&gt;TRYNL10Y-FDS^FG_YIELD_NAME&lt;/Q&gt;&lt;R&gt;1&lt;/R&gt;&lt;C&gt;1&lt;/C&gt;&lt;D xsi:type="xsd:string"&gt;Netherlands Benchmark Bond - 10 Year&lt;/D&gt;&lt;/FQL&gt;&lt;FQL&gt;&lt;Q&gt;VWO^FG_PE(0)&lt;/Q&gt;&lt;R&gt;1&lt;/R&gt;&lt;C&gt;1&lt;/C&gt;&lt;D xsi:type="xsd:double"&gt;15.2576029382882&lt;/D&gt;&lt;/FQL&gt;&lt;FQL&gt;&lt;Q&gt;EWQ^JULIAN(FMA_DIV_YLD(NTMA,NOW,NOW,M,"PORTAGG","MEANR").DATES)&lt;/Q&gt;&lt;R&gt;1&lt;/R&gt;&lt;C&gt;1&lt;/C&gt;&lt;D xsi:type="xsd:long"&gt;45565&lt;/D&gt;&lt;/FQL&gt;&lt;FQL&gt;&lt;Q&gt;EWG^FG_FCF_YIELD_NTM(0)&lt;/Q&gt;&lt;R&gt;1&lt;/R&gt;&lt;C&gt;1&lt;/C&gt;&lt;D xsi:type="xsd:double"&gt;5.73018034672334&lt;/D&gt;&lt;/FQL&gt;&lt;FQL&gt;&lt;Q&gt;TRYJP10Y-FDS^FG_YIELD(-10AY,0,Y,,"YTM")&lt;/Q&gt;&lt;R&gt;10&lt;/R&gt;&lt;C&gt;1&lt;/C&gt;&lt;D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xsi:type="xsd:double"&gt;0.6127&lt;/D&gt;&lt;/FQL&gt;&lt;FQL&gt;&lt;Q&gt;USDGBP^STD(FG_PRICE_CHANGE(0,-1AY,AM))&lt;/Q&gt;&lt;R&gt;1&lt;/R&gt;&lt;C&gt;1&lt;/C&gt;&lt;D xsi:type="xsd:double"&gt;1.63153969450195&lt;/D&gt;&lt;/FQL&gt;&lt;FQL&gt;&lt;Q&gt;EWG^FMA_DIV_YLD(NTMA,-10AY,0,AM,"PORTAGG","MEANR")&lt;/Q&gt;&lt;R&gt;121&lt;/R&gt;&lt;C&gt;1&lt;/C&gt;&lt;D xsi:type="xsd:double"&gt;3.44366313081434&lt;/D&gt;&lt;D xsi:type="xsd:double"&gt;3.29585830557033&lt;/D&gt;&lt;D xsi:type="xsd:double"&gt;3.18928746294965&lt;/D&gt;&lt;D xsi:type="xsd:double"&gt;3.23809334138701&lt;/D&gt;&lt;D xsi:type="xsd:double"&gt;2.94496892999418&lt;/D&gt;&lt;D xsi:type="xsd:double"&gt;2.76313909030505&lt;/D&gt;&lt;D xsi:type="xsd:double"&gt;2.60633719784107&lt;/D&gt;&lt;D xsi:type="xsd:double"&gt;2.8329193735967&lt;/D&gt;&lt;D xsi:type="xsd:double"&gt;2.99102155997049&lt;/D&gt;&lt;D xsi:type="xsd:double"&gt;2.99985936476937&lt;/D&gt;&lt;D xsi:type="xsd:double"&gt;2.94359928810526&lt;/D&gt;&lt;D xsi:type="xsd:double"&gt;3.343111623197&lt;/D&gt;&lt;D xsi:type="xsd:double"&gt;3.30474400999604&lt;/D&gt;&lt;D xsi:type="xsd:double"&gt;3.00032626362474&lt;/D&gt;&lt;D xsi:type="xsd:double"&gt;3.07012411834341&lt;/D&gt;&lt;D xsi:type="xsd:double"&gt;3.3108190546449&lt;/D&gt;&lt;D xsi:type="xsd:double"&gt;3.63871955376704&lt;/D&gt;&lt;D xsi:type="xsd:double"&gt;3.45919079955665&lt;/D&gt;&lt;D xsi:type="xsd:double"&gt;3.4090693814605&lt;/D&gt;&lt;D xsi:type="xsd:double"&gt;3.31883053831315&lt;/D&gt;&lt;D xsi:type="xsd:double"&gt;3.4186106729556&lt;/D&gt;&lt;D xsi:type="xsd:double"&gt;3.50170641485408&lt;/D&gt;&lt;D xsi:type="xsd:double"&gt;3.16275818557483&lt;/D&gt;&lt;D xsi:type="xsd:double"&gt;3.18462599176139&lt;/D&gt;&lt;D xsi:type="xsd:double"&gt;3.12828759445677&lt;/D&gt;&lt;D xsi:type="xsd:double"&gt;3.18836971710037&lt;/D&gt;&lt;D xsi:type="xsd:double"&gt;3.0388274934947&lt;/D&gt;&lt;D xsi:type="xsd:double"&gt;2.9541613662984&lt;/D&gt;&lt;D xsi:type="xsd:double"&gt;2.97462062373004&lt;/D&gt;&lt;D xsi:type="xsd:double"&gt;2.95471489324386&lt;/D&gt;&lt;D xsi:type="xsd:double"&gt;2.92020080163717&lt;/D&gt;&lt;D xsi:type="xsd:double"&gt;2.85630924288704&lt;/D&gt;&lt;D xsi:type="xsd:double"&gt;2.9050955420522&lt;/D&gt;&lt;D xsi:type="xsd:double"&gt;3.01152340088058&lt;/D&gt;&lt;D xsi:type="xsd:double"&gt;3.12978035366598&lt;/D&gt;&lt;D xsi:type="xsd:double"&gt;3.09927304887004&lt;/D&gt;&lt;D xsi:type="xsd:double"&gt;2.96197927930236&lt;/D&gt;&lt;D xsi:type="xsd:double"&gt;2.92047883043325&lt;/D&gt;&lt;D xsi:type="xsd:double"&gt;2.89667658692454&lt;/D&gt;&lt;D xsi:type="xsd:double"&gt;2.87840060362024&lt;/D&gt;&lt;D xsi:type="xsd:double"&gt;3.19950504726284&lt;/D&gt;&lt;D xsi:type="xsd:double"&gt;3.14791412114316&lt;/D&gt;&lt;D xsi:type="xsd:double"&gt;3.19340987263596&lt;/D&gt;&lt;D xsi:type="xsd:double"&gt;3.09227887653838&lt;/D&gt;&lt;D xsi:type="xsd:double"&gt;3.15228694046349&lt;/D&gt;&lt;D xsi:type="xsd:double"&gt;3.19752621078419&lt;/D&gt;&lt;D xsi:type="xsd:double"&gt;3.25195249270802&lt;/D&gt;&lt;D xsi:type="xsd:double"&gt;3.36559511593465&lt;/D&gt;&lt;D xsi:type="xsd:double"&gt;3.48700832473386&lt;/D&gt;&lt;D xsi:type="xsd:double"&gt;3.58925817903421&lt;/D&gt;&lt;D xsi:type="xsd:double"&gt;3.90761449684245&lt;/D&gt;&lt;D xsi:type="xsd:double"&gt;3.8146562521221&lt;/D&gt;&lt;D xsi:type="xsd:double"&gt;3.80292451831539&lt;/D&gt;&lt;D xsi:type="xsd:double"&gt;3.63406054587297&lt;/D&gt;&lt;D xsi:type="xsd:double"&gt;3.51492198693213&lt;/D&gt;&lt;D xsi:type="xsd:double"&gt;3.50930678667879&lt;/D&gt;&lt;D xsi:type="xsd:double"&gt;3.58732470568788&lt;/D&gt;&lt;D xsi:type="xsd:double"&gt;3.49146832238947&lt;/D&gt;&lt;D xsi:type="xsd:double"&gt;3.6003553181979&lt;/D&gt;&lt;D xsi:type="xsd:double"&gt;3.41403468427776&lt;/D&gt;&lt;D xsi:type="xsd:double"&gt;3.47247285471704&lt;/D&gt;&lt;D xsi:type="xsd:double"&gt;3.15304535990835&lt;/D&gt;&lt;D xsi:type="xsd:double"&gt;3.13868078980713&lt;/D&gt;&lt;D xsi:type="xsd:double"&gt;3.05129721228659&lt;/D&gt;&lt;D xsi:type="xsd:double"&gt;3.06806569223662&lt;/D&gt;&lt;D xsi:type="xsd:double"&gt;3.88985251209319&lt;/D&gt;&lt;D xsi:type="xsd:double"&gt;3.58605127018635&lt;/D&gt;&lt;D xsi:type="xsd:double"&gt;3.31824950431472&lt;/D&gt;&lt;D xsi:type="xsd:double"&gt;2.85555224805911&lt;/D&gt;&lt;D xsi:type="xsd:double"&gt;2.85308277595171&lt;/D&gt;&lt;D xsi:type="xsd:double"&gt;2.86795945200563&lt;/D&gt;&lt;D xsi:type="xsd:double"&gt;2.78303208423916&lt;/D&gt;&lt;D xsi:type="xsd:double"&gt;2.81433848698402&lt;/D&gt;&lt;D xsi:type="xsd:double"&gt;2.86599826189832&lt;/D&gt;&lt;D xsi:type="xsd:double"&gt;2.78185580533929&lt;/D&gt;&lt;D xsi:type="xsd:double"&gt;2.6900125049038&lt;/D&gt;&lt;D xsi:type="xsd:double"&gt;2.75565793425193&lt;/D&gt;&lt;D xsi:type="xsd:double"&gt;2.74095164120862&lt;/D&gt;&lt;D xsi:type="xsd:double"&gt;2.68523749582644&lt;/D&gt;&lt;D xsi:type="xsd:double"&gt;2.79536901001492&lt;/D&gt;&lt;D xsi:type="xsd:double"&gt;2.80019331574588&lt;/D&gt;&lt;D xsi:type="xsd:double"&gt;2.79885024823141&lt;/D&gt;&lt;D xsi:type="xsd:double"&gt;2.84612216034367&lt;/D&gt;&lt;D xsi:type="xsd:double"&gt;2.87354650222325&lt;/D&gt;&lt;D xsi:type="xsd:double"&gt;2.99396107680846&lt;/D&gt;&lt;D xsi:type="xsd:double"&gt;2.93034013359363&lt;/D&gt;&lt;D xsi:type="xsd:double"&gt;3.05881481150264&lt;/D&gt;&lt;D xsi:type="xsd:double"&gt;3.09239753101574&lt;/D&gt;&lt;D xsi:type="xsd:double"&gt;3.18907906751566&lt;/D&gt;&lt;D xsi:type="xsd:double"&gt;3.74888867691234&lt;/D&gt;&lt;D xsi:type="xsd:double"&gt;3.56860471719382&lt;/D&gt;&lt;D xsi:type="xsd:double"&gt;3.94782832340048&lt;/D&gt;&lt;D xsi:type="xsd:double"&gt;3.91619842455652&lt;/D&gt;&lt;D xsi:type="xsd:double"&gt;4.12030169900356&lt;/D&gt;&lt;D xsi:type="xsd:double"&gt;3.94049608029492&lt;/D&gt;&lt;D xsi:type="xsd:double"&gt;4.11303520794007&lt;/D&gt;&lt;D xsi:type="xsd:double"&gt;4.42422211286947&lt;/D&gt;&lt;D xsi:type="xsd:double"&gt;3.8452930187588&lt;/D&gt;&lt;D xsi:type="xsd:double"&gt;3.74349959783665&lt;/D&gt;&lt;D xsi:type="xsd:double"&gt;3.61124253300234&lt;/D&gt;&lt;D xsi:type="xsd:double"&gt;3.48208167722459&lt;/D&gt;&lt;D xsi:type="xsd:double"&gt;3.53772356850636&lt;/D&gt;&lt;D xsi:type="xsd:double"&gt;3.55141960549415&lt;/D&gt;&lt;D xsi:type="xsd:double"&gt;3.56448513396766&lt;/D&gt;&lt;D xsi:type="xsd:double"&gt;3.64751341293101&lt;/D&gt;&lt;D xsi:type="xsd:double"&gt;3.75508304542084&lt;/D&gt;&lt;D xsi:type="xsd:double"&gt;3.67862713532638&lt;/D&gt;&lt;D xsi:type="xsd:double"&gt;3.75855272364857&lt;/D&gt;&lt;D xsi:type="xsd:double"&gt;3.84772408517862&lt;/D&gt;&lt;D xsi:type="xsd:double"&gt;3.88352137955856&lt;/D&gt;&lt;D xsi:type="xsd:double"&gt;3.54227933929578&lt;/D&gt;&lt;D xsi:type="xsd:double"&gt;3.59193424970798&lt;/D&gt;&lt;D xsi:type="xsd:double"&gt;3.53877334220308&lt;/D&gt;&lt;D xsi:type="xsd:double"&gt;3.32734915148276&lt;/D&gt;&lt;D xsi:type="xsd:double"&gt;3.31914139193739&lt;/D&gt;&lt;D xsi:type="xsd:double"&gt;3.28456189540082&lt;/D&gt;&lt;D xsi:type="xsd:double"&gt;3.37050091585634&lt;/D&gt;&lt;D xsi:type="xsd:double"&gt;3.39902047369185&lt;/D&gt;&lt;D xsi:type="xsd:double"&gt;3.55358780914171&lt;/D&gt;&lt;D xsi:type="xsd:double"&gt;3.40767241788121&lt;/D&gt;&lt;D xsi:type="xsd:double"&gt;3.14612743751079&lt;/D&gt;&lt;/FQL&gt;&lt;FQL&gt;&lt;Q&gt;EWJ^FG_PRICE_MAVG(0,,,,60)&lt;/Q&gt;&lt;R&gt;1&lt;/R&gt;&lt;C&gt;1&lt;/C&gt;&lt;D xsi:type="xsd:double"&gt;69.642&lt;/D&gt;&lt;/FQL&gt;&lt;FQL&gt;&lt;Q&gt;VGK^FG_TOTAL_RETURNC(0,-12AM)&lt;/Q&gt;&lt;R&gt;1&lt;/R&gt;&lt;C&gt;1&lt;/C&gt;&lt;D xsi:type="xsd:double"&gt;22.228027&lt;/D&gt;&lt;/FQL&gt;&lt;FQL&gt;&lt;Q&gt;EWL^FMA_RBICS_REV_CURRENT(30, LOC, "PORTAGG")&lt;/Q&gt;&lt;R&gt;1&lt;/R&gt;&lt;C&gt;1&lt;/C&gt;&lt;D xsi:type="xsd:double"&gt;18.3792371327833&lt;/D&gt;&lt;/FQL&gt;&lt;FQL&gt;&lt;Q&gt;SPY^FMA_EVAL_EBITDA(NTMA,0,,,"PORTAGG","MEANR")&lt;/Q&gt;&lt;R&gt;1&lt;/R&gt;&lt;C&gt;1&lt;/C&gt;&lt;D xsi:type="xsd:double"&gt;14.8354041590595&lt;/D&gt;&lt;/FQL&gt;&lt;FQL&gt;&lt;Q&gt;GLD^P_PRICE(0)/P_PRICE_HIGH_PR(0,,,USD,,,"PRICE","INTRA","52W")&lt;/Q&gt;&lt;R&gt;1&lt;/R&gt;&lt;C&gt;1&lt;/C&gt;&lt;D xsi:type="xsd:double"&gt;0.98160654&lt;/D&gt;&lt;/FQL&gt;&lt;FQL&gt;&lt;Q&gt;CC_JP^FG_COMPANY_NAME&lt;/Q&gt;&lt;R&gt;1&lt;/R&gt;&lt;C&gt;1&lt;/C&gt;&lt;D xsi:type="xsd:string"&gt;Japan&lt;/D&gt;&lt;/FQL&gt;&lt;FQL&gt;&lt;Q&gt;EWD^FMA_EPS(NTMA,-20AY,0,CY,,"PORTAGG","MEANR")&lt;/Q&gt;&lt;R&gt;20&lt;/R&gt;&lt;C&gt;1&lt;/C&gt;&lt;D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xsi:type="xsd:double"&gt;2.51009258677616&lt;/D&gt;&lt;/FQL&gt;&lt;FQL&gt;&lt;Q&gt;PASP-FDS^FG_PRICE_CHANGE(0,-1AM)&lt;/Q&gt;&lt;R&gt;1&lt;/R&gt;&lt;C&gt;1&lt;/C&gt;&lt;D xsi:type="xsd:double"&gt;10.2061855670103&lt;/D&gt;&lt;/FQL&gt;&lt;FQL&gt;&lt;Q&gt;EWQ^PERCENT_CHANGE(FMA_EPS(+1,0,,,,"PORTAGG","MEAN"),FMA_EPS(+1,-1AM,,,,"PORTAGG","MEAN"))&lt;/Q&gt;&lt;R&gt;1&lt;/R&gt;&lt;C&gt;1&lt;/C&gt;&lt;D xsi:type="xsd:double"&gt;-1.72226581538622&lt;/D&gt;&lt;/FQL&gt;&lt;FQL&gt;&lt;Q&gt;SPY^FMA_COS_DOWN("EPS","1M",+1,0,,,"PORTAGG","MEANR")&lt;/Q&gt;&lt;R&gt;1&lt;/R&gt;&lt;C&gt;1&lt;/C&gt;&lt;D xsi:type="xsd:double"&gt;194&lt;/D&gt;&lt;/FQL&gt;&lt;FQL&gt;&lt;Q&gt;EWJ^FMA_COS_DOWN("EPS","1M",+1,0,,,"PORTAGG","MEANR")&lt;/Q&gt;&lt;R&gt;1&lt;/R&gt;&lt;C&gt;1&lt;/C&gt;&lt;D xsi:type="xsd:double"&gt;80&lt;/D&gt;&lt;/FQL&gt;&lt;FQL&gt;&lt;Q&gt;REFAUCASH-FDS^PROPER_NAME(0,,,"SECURITY","NAME")&lt;/Q&gt;&lt;R&gt;1&lt;/R&gt;&lt;C&gt;1&lt;/C&gt;&lt;D xsi:type="xsd:string"&gt;Australia Target Cash Rate&lt;/D&gt;&lt;/FQL&gt;&lt;FQL&gt;&lt;Q&gt;VWO^JULIAN(FMA_DIV_YLD(NTMA,NOW,NOW,M,"PORTAGG","MEANR").DATES)&lt;/Q&gt;&lt;R&gt;1&lt;/R&gt;&lt;C&gt;1&lt;/C&gt;&lt;D xsi:type="xsd:long"&gt;45534&lt;/D&gt;&lt;/FQL&gt;&lt;FQL&gt;&lt;Q&gt;EWG^FMA_DIV_YLD(NTMA,NOW,NOW,M,"PORTAGG","MEANR")&lt;/Q&gt;&lt;R&gt;1&lt;/R&gt;&lt;C&gt;1&lt;/C&gt;&lt;D xsi:type="xsd:double"&gt;3.18327234619462&lt;/D&gt;&lt;/FQL&gt;&lt;FQL&gt;&lt;Q&gt;TRYAU10Y-FDS^FG_YIELD(-10AY,0,Y,,"YTM")&lt;/Q&gt;&lt;R&gt;10&lt;/R&gt;&lt;C&gt;1&lt;/C&gt;&lt;D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xsi:type="xsd:double"&gt;3.955&lt;/D&gt;&lt;/FQL&gt;&lt;FQL&gt;&lt;Q&gt;USDGBP^FG_PRICE_CHANGE(0,-1AM)&lt;/Q&gt;&lt;R&gt;1&lt;/R&gt;&lt;C&gt;1&lt;/C&gt;&lt;D xsi:type="xsd:double"&gt;0.038313866&lt;/D&gt;&lt;/FQL&gt;&lt;FQL&gt;&lt;Q&gt;USDSEK^FG_COMPANY_NAME&lt;/Q&gt;&lt;R&gt;1&lt;/R&gt;&lt;C&gt;1&lt;/C&gt;&lt;D xsi:type="xsd:string"&gt;Swedish Krona per U.S. Dollar&lt;/D&gt;&lt;/FQL&gt;&lt;FQL&gt;&lt;Q&gt;TRYAU10Y-FDS^FG_YIELD(0,,,,"YTM")&lt;/Q&gt;&lt;R&gt;1&lt;/R&gt;&lt;C&gt;1&lt;/C&gt;&lt;D xsi:type="xsd:double"&gt;4.201&lt;/D&gt;&lt;/FQL&gt;&lt;FQL&gt;&lt;Q&gt;QQQ^FG_FCF_YIELD_NTM(0)&lt;/Q&gt;&lt;R&gt;1&lt;/R&gt;&lt;C&gt;1&lt;/C&gt;&lt;D xsi:type="xsd:double"&gt;3.52257129615917&lt;/D&gt;&lt;/FQL&gt;&lt;FQL&gt;&lt;Q&gt;QQQ^PERCENT_CHANGE(FMA_EPS(+1,0,,,,"PORTAGG","MEAN"),FMA_EPS(+1,-3AM,,,,"PORTAGG","MEAN"))&lt;/Q&gt;&lt;R&gt;1&lt;/R&gt;&lt;C&gt;1&lt;/C&gt;&lt;D xsi:type="xsd:double"&gt;-2.53825415888506&lt;/D&gt;&lt;/FQL&gt;&lt;FQL&gt;&lt;Q&gt;EWI^FG_ROE(0)&lt;/Q&gt;&lt;R&gt;1&lt;/R&gt;&lt;C&gt;1&lt;/C&gt;&lt;D xsi:type="xsd:double"&gt;13.4012788616542&lt;/D&gt;&lt;/FQL&gt;&lt;FQL&gt;&lt;Q&gt;TRYSA10Y-FDS^FG_YIELD(-10AY,0,Y,,"YTM")&lt;/Q&gt;&lt;R&gt;10&lt;/R&gt;&lt;C&gt;1&lt;/C&gt;&lt;D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xsi:type="xsd:double"&gt;13.3572149047324&lt;/D&gt;&lt;/FQL&gt;&lt;FQL&gt;&lt;Q&gt;SPY^P_PRICE_RETURNS_PR('52W',2,-10AY,0,AM)&lt;/Q&gt;&lt;R&gt;121&lt;/R&gt;&lt;C&gt;1&lt;/C&gt;&lt;D xsi:type="xsd:double"&gt;14.820421&lt;/D&gt;&lt;D xsi:type="xsd:double"&gt;17.289639&lt;/D&gt;&lt;D xsi:type="xsd:double"&gt;14.582003&lt;/D&gt;&lt;D xsi:type="xsd:double"&gt;13.39469&lt;/D&gt;&lt;D xsi:type="xsd:double"&gt;17.131256&lt;/D&gt;&lt;D xsi:type="xsd:double"&gt;11.066246&lt;/D&gt;&lt;D xsi:type="xsd:double"&gt;16.917372&lt;/D&gt;&lt;D xsi:type="xsd:double"&gt;14.959824&lt;/D&gt;&lt;D xsi:type="xsd:double"&gt;9.952831&lt;/D&gt;&lt;D xsi:type="xsd:double"&gt;7.747948&lt;/D&gt;&lt;D xsi:type="xsd:double"&gt;11.106896&lt;/D&gt;&lt;D xsi:type="xsd:double"&gt;-0.18791556&lt;/D&gt;&lt;D xsi:type="xsd:double"&gt;6.57146&lt;/D&gt;&lt;D xsi:type="xsd:double"&gt;4.3152213&lt;/D&gt;&lt;D xsi:type="xsd:double"&gt;3.3853292&lt;/D&gt;&lt;D xsi:type="xsd:double"&gt;-4.8481045&lt;/D&gt;&lt;D xsi:type="xsd:double"&gt;-8.55071&lt;/D&gt;&lt;D xsi:type="xsd:double"&gt;-0.6277263&lt;/D&gt;&lt;D xsi:type="xsd:double"&gt;0.44652224&lt;/D&gt;&lt;D xsi:type="xsd:double"&gt;0.6235242&lt;/D&gt;&lt;D xsi:type="xsd:double"&gt;1.7276287&lt;/D&gt;&lt;D xsi:type="xsd:double"&gt;6.244838&lt;/D&gt;&lt;D xsi:type="xsd:double"&gt;5.618918&lt;/D&gt;&lt;D xsi:type="xsd:double"&gt;11.88786&lt;/D&gt;&lt;D xsi:type="xsd:double"&gt;9.691513&lt;/D&gt;&lt;D xsi:type="xsd:double"&gt;6.2612057&lt;/D&gt;&lt;D xsi:type="xsd:double"&gt;12.698973&lt;/D&gt;&lt;D xsi:type="xsd:double"&gt;20.532763&lt;/D&gt;&lt;D xsi:type="xsd:double"&gt;27.64542&lt;/D&gt;&lt;D xsi:type="xsd:double"&gt;21.680677&lt;/D&gt;&lt;D xsi:type="xsd:double"&gt;17.465103&lt;/D&gt;&lt;D xsi:type="xsd:double"&gt;17.45696&lt;/D&gt;&lt;D xsi:type="xsd:double"&gt;17.150318&lt;/D&gt;&lt;D xsi:type="xsd:double"&gt;16.297066&lt;/D&gt;&lt;D xsi:type="xsd:double"&gt;14.282298&lt;/D&gt;&lt;D xsi:type="xsd:double"&gt;15.144121&lt;/D&gt;&lt;D xsi:type="xsd:double"&gt;20.177137&lt;/D&gt;&lt;D xsi:type="xsd:double"&gt;21.38815&lt;/D&gt;&lt;D xsi:type="xsd:double"&gt;20.31331&lt;/D&gt;&lt;D xsi:type="xsd:double"&gt;23.393785&lt;/D&gt;&lt;D xsi:type="xsd:double"&gt;15.599644&lt;/D&gt;&lt;D xsi:type="xsd:double"&gt;20.020163&lt;/D&gt;&lt;D xsi:type="xsd:double"&gt;14.811361&lt;/D&gt;&lt;D xsi:type="xsd:double"&gt;15.561687&lt;/D&gt;&lt;D xsi:type="xsd:double"&gt;16.287338&lt;/D&gt;&lt;D xsi:type="xsd:double"&gt;17.21785&lt;/D&gt;&lt;D xsi:type="xsd:double"&gt;18.329657&lt;/D&gt;&lt;D xsi:type="xsd:double"&gt;19.017136&lt;/D&gt;&lt;D xsi:type="xsd:double"&gt;11.291289&lt;/D&gt;&lt;D xsi:type="xsd:double"&gt;9.5479965&lt;/D&gt;&lt;D xsi:type="xsd:double"&gt;1.2694955&lt;/D&gt;&lt;D xsi:type="xsd:double"&gt;-3.7537098&lt;/D&gt;&lt;D xsi:type="xsd:double"&gt;6.9914103&lt;/D&gt;&lt;D xsi:type="xsd:double"&gt;2.0460606&lt;/D&gt;&lt;D xsi:type="xsd:double"&gt;10.84857&lt;/D&gt;&lt;D xsi:type="xsd:double"&gt;7.9778314&lt;/D&gt;&lt;D xsi:type="xsd:double"&gt;5.9018016&lt;/D&gt;&lt;D xsi:type="xsd:double"&gt;9.19683&lt;/D&gt;&lt;D xsi:type="xsd:double"&gt;4.33259&lt;/D&gt;&lt;D xsi:type="xsd:double"&gt;5.539894&lt;/D&gt;&lt;D xsi:type="xsd:double"&gt;7.4759603&lt;/D&gt;&lt;D xsi:type="xsd:double"&gt;12.342119&lt;/D&gt;&lt;D xsi:type="xsd:double"&gt;21.104801&lt;/D&gt;&lt;D xsi:type="xsd:double"&gt;28.195381&lt;/D&gt;&lt;D xsi:type="xsd:double"&gt;26.081253&lt;/D&gt;&lt;D xsi:type="xsd:double"&gt;7.074535&lt;/D&gt;&lt;D xsi:type="xsd:double"&gt;-1.1659801&lt;/D&gt;&lt;D xsi:type="xsd:double"&gt;3.8134575&lt;/D&gt;&lt;D xsi:type="xsd:double"&gt;12.677706&lt;/D&gt;&lt;D xsi:type="xsd:double"&gt;8.51034&lt;/D&gt;&lt;D xsi:type="xsd:double"&gt;17.401718&lt;/D&gt;&lt;D xsi:type="xsd:double"&gt;14.263189&lt;/D&gt;&lt;D xsi:type="xsd:double"&gt;21.422768&lt;/D&gt;&lt;D xsi:type="xsd:double"&gt;16.850985&lt;/D&gt;&lt;D xsi:type="xsd:double"&gt;19.267345&lt;/D&gt;&lt;D xsi:type="xsd:double"&gt;19.746172&lt;/D&gt;&lt;D xsi:type="xsd:double"&gt;18.771458&lt;/D&gt;&lt;D xsi:type="xsd:double"&gt;37.644672&lt;/D&gt;&lt;D xsi:type="xsd:double"&gt;50.297928&lt;/D&gt;&lt;D xsi:type="xsd:double"&gt;45.22053&lt;/D&gt;&lt;D xsi:type="xsd:double"&gt;34.935547&lt;/D&gt;&lt;D xsi:type="xsd:double"&gt;40.612377&lt;/D&gt;&lt;D xsi:type="xsd:double"&gt;33.89895&lt;/D&gt;&lt;D xsi:type="xsd:double"&gt;35.41169&lt;/D&gt;&lt;D xsi:type="xsd:double"&gt;29.17322&lt;/D&gt;&lt;D xsi:type="xsd:double"&gt;32.809044&lt;/D&gt;&lt;D xsi:type="xsd:double"&gt;30.182457&lt;/D&gt;&lt;D xsi:type="xsd:double"&gt;23.740982&lt;/D&gt;&lt;D xsi:type="xsd:double"&gt;16.736816&lt;/D&gt;&lt;D xsi:type="xsd:double"&gt;10.684883&lt;/D&gt;&lt;D xsi:type="xsd:double"&gt;11.010349&lt;/D&gt;&lt;D xsi:type="xsd:double"&gt;-3.245145&lt;/D&gt;&lt;D xsi:type="xsd:double"&gt;-6.7623196&lt;/D&gt;&lt;D xsi:type="xsd:double"&gt;-8.519136&lt;/D&gt;&lt;D xsi:type="xsd:double"&gt;-3.773445&lt;/D&gt;&lt;D xsi:type="xsd:double"&gt;-8.148503&lt;/D&gt;&lt;D xsi:type="xsd:double"&gt;-16.5303&lt;/D&gt;&lt;D xsi:type="xsd:double"&gt;-13.576579&lt;/D&gt;&lt;D xsi:type="xsd:double"&gt;-14.389431&lt;/D&gt;&lt;D xsi:type="xsd:double"&gt;-14.7313&lt;/D&gt;&lt;D xsi:type="xsd:double"&gt;-7.7097774&lt;/D&gt;&lt;D xsi:type="xsd:double"&gt;-7.8244867&lt;/D&gt;&lt;D xsi:type="xsd:double"&gt;-6.9192705&lt;/D&gt;&lt;D xsi:type="xsd:double"&gt;5.2135468&lt;/D&gt;&lt;D xsi:type="xsd:double"&gt;8.917332&lt;/D&gt;&lt;D xsi:type="xsd:double"&gt;14.983213&lt;/D&gt;&lt;D xsi:type="xsd:double"&gt;7.921207&lt;/D&gt;&lt;D xsi:type="xsd:double"&gt;13.108004&lt;/D&gt;&lt;D xsi:type="xsd:double"&gt;22.61827&lt;/D&gt;&lt;D xsi:type="xsd:double"&gt;13.409721&lt;/D&gt;&lt;D xsi:type="xsd:double"&gt;17.988693&lt;/D&gt;&lt;D xsi:type="xsd:double"&gt;23.881376&lt;/D&gt;&lt;D xsi:type="xsd:double"&gt;25.002611&lt;/D&gt;&lt;D xsi:type="xsd:double"&gt;30.240177&lt;/D&gt;&lt;D xsi:type="xsd:double"&gt;27.342915&lt;/D&gt;&lt;D xsi:type="xsd:double"&gt;27.994955&lt;/D&gt;&lt;D xsi:type="xsd:double"&gt;26.41617&lt;/D&gt;&lt;D xsi:type="xsd:double"&gt;29.466974&lt;/D&gt;&lt;D xsi:type="xsd:double"&gt;21.253181&lt;/D&gt;&lt;D xsi:type="xsd:double"&gt;24.912071&lt;/D&gt;&lt;D xsi:type="xsd:double"&gt;34.38171&lt;/D&gt;&lt;/FQL&gt;&lt;FQL&gt;&lt;Q&gt;NI-FDS^FG_PRICE_CHANGE(0,-1AM)&lt;/Q&gt;&lt;R&gt;1&lt;/R&gt;&lt;C&gt;1&lt;/C&gt;&lt;D xsi:type="xsd:double"&gt;9.86547085201794&lt;/D&gt;&lt;/FQL&gt;&lt;FQL&gt;&lt;Q&gt;EWA^PERCENT_CHANGE(FMA_EPS(+1,0,,,,"PORTAGG","MEAN"),FMA_EPS(+1,-3AM,,,,"PORTAGG","MEAN"))&lt;/Q&gt;&lt;R&gt;1&lt;/R&gt;&lt;C&gt;1&lt;/C&gt;&lt;D xsi:type="xsd:double"&gt;-2.07901201344056&lt;/D&gt;&lt;/FQL&gt;&lt;FQL&gt;&lt;Q&gt;REFFFUND-FDS^PROPER_NAME(0,,,"SECURITY","NAME")&lt;/Q&gt;&lt;R&gt;1&lt;/R&gt;&lt;C&gt;1&lt;/C&gt;&lt;D xsi:type="xsd:string"&gt;US Federal Funds Target Rate&lt;/D&gt;&lt;/FQL&gt;&lt;FQL&gt;&lt;Q&gt;GLD^FG_TOTAL_RETURNC(0,-6AM)&lt;/Q&gt;&lt;R&gt;1&lt;/R&gt;&lt;C&gt;1&lt;/C&gt;&lt;D xsi:type="xsd:double"&gt;12.620008&lt;/D&gt;&lt;/FQL&gt;&lt;FQL&gt;&lt;Q&gt;EWN^FMA_ROE(NTMA,-20AY,NOW,FY,"PORTAGG","MEANR")&lt;/Q&gt;&lt;R&gt;20&lt;/R&gt;&lt;C&gt;1&lt;/C&gt;&lt;D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xsi:type="xsd:double"&gt;12.7507267246828&lt;/D&gt;&lt;/FQL&gt;&lt;FQL&gt;&lt;Q&gt;USDANG^STD(FG_PRICE_CHANGE(0,-3AY,M))&lt;/Q&gt;&lt;R&gt;1&lt;/R&gt;&lt;C&gt;1&lt;/C&gt;&lt;D xsi:type="xsd:double"&gt;0.0594600681310969&lt;/D&gt;&lt;/FQL&gt;&lt;FQL&gt;&lt;Q&gt;EWN^FG_TOTAL_RETURNC(0,-1AM)&lt;/Q&gt;&lt;R&gt;1&lt;/R&gt;&lt;C&gt;1&lt;/C&gt;&lt;D xsi:type="xsd:double"&gt;4.4016004&lt;/D&gt;&lt;/FQL&gt;&lt;FQL&gt;&lt;Q&gt;EWA^PERCENT_CHANGE(FMA_EPS(+1,0,,,,"PORTAGG","MEAN"),FMA_EPS(+1,-1AM,,,,"PORTAGG","MEAN"))&lt;/Q&gt;&lt;R&gt;1&lt;/R&gt;&lt;C&gt;1&lt;/C&gt;&lt;D xsi:type="xsd:double"&gt;0.625279310005583&lt;/D&gt;&lt;/FQL&gt;&lt;FQL&gt;&lt;</t>
        </r>
      </text>
    </comment>
    <comment ref="A14" authorId="0" shapeId="0" xr:uid="{38C359B5-5A94-4AE1-A576-A7EF5D5F7A24}">
      <text>
        <r>
          <rPr>
            <b/>
            <sz val="9"/>
            <color indexed="81"/>
            <rFont val="Tahoma"/>
            <charset val="1"/>
          </rPr>
          <t>Q&gt;CC_SE^IMF_IFS_RCPI_Q(0)&lt;/Q&gt;&lt;R&gt;0&lt;/R&gt;&lt;C&gt;0&lt;/C&gt;&lt;/FQL&gt;&lt;FQL&gt;&lt;Q&gt;EWU^FG_FCF_YIELD_NTM(0)&lt;/Q&gt;&lt;R&gt;1&lt;/R&gt;&lt;C&gt;1&lt;/C&gt;&lt;D xsi:type="xsd:double"&gt;6.18620808139003&lt;/D&gt;&lt;/FQL&gt;&lt;FQL&gt;&lt;Q&gt;USDANG^FG_PRICE(0)&lt;/Q&gt;&lt;R&gt;1&lt;/R&gt;&lt;C&gt;1&lt;/C&gt;&lt;D xsi:type="xsd:double"&gt;1.79&lt;/D&gt;&lt;/FQL&gt;&lt;FQL&gt;&lt;Q&gt;EWA^P_PRICE_RETURNS_PR('52W',2,-10AY,0,AM)&lt;/Q&gt;&lt;R&gt;121&lt;/R&gt;&lt;C&gt;1&lt;/C&gt;&lt;D xsi:type="xsd:double"&gt;-5.645293&lt;/D&gt;&lt;D xsi:type="xsd:double"&gt;-2.765745&lt;/D&gt;&lt;D xsi:type="xsd:double"&gt;-3.9117396&lt;/D&gt;&lt;D xsi:type="xsd:double"&gt;-2.1942973&lt;/D&gt;&lt;D xsi:type="xsd:double"&gt;1.0612369&lt;/D&gt;&lt;D xsi:type="xsd:double"&gt;-6.229973&lt;/D&gt;&lt;D xsi:type="xsd:double"&gt;-6.5098467&lt;/D&gt;&lt;D xsi:type="xsd:double"&gt;-9.548182&lt;/D&gt;&lt;D xsi:type="xsd:double"&gt;-13.85898&lt;/D&gt;&lt;D xsi:type="xsd:double"&gt;-16.6708&lt;/D&gt;&lt;D xsi:type="xsd:double"&gt;-16.073395&lt;/D&gt;&lt;D xsi:type="xsd:double"&gt;-27.06238&lt;/D&gt;&lt;D xsi:type="xsd:double"&gt;-12.988639&lt;/D&gt;&lt;D xsi:type="xsd:double"&gt;-23.205208&lt;/D&gt;&lt;D xsi:type="xsd:double"&gt;-12.918705&lt;/D&gt;&lt;D xsi:type="xsd:double"&gt;-20.269691&lt;/D&gt;&lt;D xsi:type="xsd:double"&gt;-23.021334&lt;/D&gt;&lt;D xsi:type="xsd:double"&gt;-9.910452&lt;/D&gt;&lt;D xsi:type="xsd:double"&gt;-16.884882&lt;/D&gt;&lt;D xsi:type="xsd:double"&gt;-9.12742&lt;/D&gt;&lt;D xsi:type="xsd:double"&gt;-6.8883896&lt;/D&gt;&lt;D xsi:type="xsd:double"&gt;1.4700413&lt;/D&gt;&lt;D xsi:type="xsd:double"&gt;6.218946&lt;/D&gt;&lt;D xsi:type="xsd:double"&gt;12.747455&lt;/D&gt;&lt;D xsi:type="xsd:double"&gt;11.415911&lt;/D&gt;&lt;D xsi:type="xsd:double"&gt;17.75545&lt;/D&gt;&lt;D xsi:type="xsd:double"&gt;18.542385&lt;/D&gt;&lt;D xsi:type="xsd:double"&gt;30.840635&lt;/D&gt;&lt;D xsi:type="xsd:double"&gt;35.59195&lt;/D&gt;&lt;D xsi:type="xsd:double"&gt;19.151974&lt;/D&gt;&lt;D xsi:type="xsd:double"&gt;25.35287&lt;/D&gt;&lt;D xsi:type="xsd:double"&gt;15.06852&lt;/D&gt;&lt;D xsi:type="xsd:double"&gt;12.69828&lt;/D&gt;&lt;D xsi:type="xsd:double"&gt;14.620674&lt;/D&gt;&lt;D xsi:type="xsd:double"&gt;10.616863&lt;/D&gt;&lt;D xsi:type="xsd:double"&gt;17.212809&lt;/D&gt;&lt;D xsi:type="xsd:double"&gt;12.030161&lt;/D&gt;&lt;D xsi:type="xsd:double"&gt;18.655968&lt;/D&gt;&lt;D xsi:type="xsd:double"&gt;12.689376&lt;/D&gt;&lt;D xsi:type="xsd:double"&gt;15.527332&lt;/D&gt;&lt;D xsi:type="xsd:double"&gt;7.4350357&lt;/D&gt;&lt;D xsi:type="xsd:double"&gt;11.661029&lt;/D&gt;&lt;D xsi:type="xsd:double"&gt;5.042529&lt;/D&gt;&lt;D xsi:type="xsd:double"&gt;9.5010395&lt;/D&gt;&lt;D xsi:type="xsd:double"&gt;11.020374&lt;/D&gt;&lt;D xsi:type="xsd:double"&gt;11.7931&lt;/D&gt;&lt;D xsi:type="xsd:double"&gt;5.8793545&lt;/D&gt;&lt;D xsi:type="xsd:double"&gt;-1.0294318&lt;/D&gt;&lt;D xsi:type="xsd:double"&gt;-2.992177&lt;/D&gt;&lt;D xsi:type="xsd:double"&gt;-4.4157386&lt;/D&gt;&lt;D xsi:type="xsd:double"&gt;-7.6122465&lt;/D&gt;&lt;D xsi:type="xsd:double"&gt;-8.544737&lt;/D&gt;&lt;D xsi:type="xsd:double"&gt;0.7514119&lt;/D&gt;&lt;D xsi:type="xsd:double"&gt;-1.6926289&lt;/D&gt;&lt;D xsi:type="xsd:double"&gt;2.3548245&lt;/D&gt;&lt;D xsi:type="xsd:double"&gt;0.47593117&lt;/D&gt;&lt;D xsi:type="xsd:double"&gt;3.3927321&lt;/D&gt;&lt;D xsi:type="xsd:double"&gt;3.4971237&lt;/D&gt;&lt;D xsi:type="xsd:double"&gt;-0.3267944&lt;/D&gt;&lt;D xsi:type="xsd:double"&gt;9.364986&lt;/D&gt;&lt;D xsi:type="xsd:double"&gt;11.430347&lt;/D&gt;&lt;D xsi:type="xsd:double"&gt;12.871325&lt;/D&gt;&lt;D xsi:type="xsd:double"&gt;18.884922&lt;/D&gt;&lt;D xsi:type="xsd:double"&gt;17.679083&lt;/D&gt;&lt;D xsi:type="xsd:double"&gt;13.54953&lt;/D&gt;&lt;D xsi:type="xsd:double"&gt;-7.275164&lt;/D&gt;&lt;D xsi:type="xsd:double"&gt;-19.717138&lt;/D&gt;&lt;D xsi:type="xsd:double"&gt;-17.706411&lt;/D&gt;&lt;D xsi:type="xsd:double"&gt;-5.4172935&lt;/D&gt;&lt;D xsi:type="xsd:double"&gt;-9.692097&lt;/D&gt;&lt;D xsi:type="xsd:double"&gt;-0.72736144&lt;/D&gt;&lt;D xsi:type="xsd:double"&gt;-7.3967934&lt;/D&gt;&lt;D xsi:type="xsd:double"&gt;-0.68635345&lt;/D&gt;&lt;D xsi:type="xsd:double"&gt;0.14734268&lt;/D&gt;&lt;D xsi:type="xsd:double"&gt;9.865689&lt;/D&gt;&lt;D xsi:type="xsd:double"&gt;11.848295&lt;/D&gt;&lt;D xsi:type="xsd:double"&gt;12.501287&lt;/D&gt;&lt;D xsi:type="xsd:double"&gt;35.089325&lt;/D&gt;&lt;D xsi:type="xsd:double"&gt;57.05415&lt;/D&gt;&lt;D xsi:type="xsd:double"&gt;62.28608&lt;/D&gt;&lt;D xsi:type="xsd:double"&gt;38.002514&lt;/D&gt;&lt;D xsi:type="xsd:double"&gt;37.603317&lt;/D&gt;&lt;D xsi:type="xsd:double"&gt;30.881428&lt;/D&gt;&lt;D xsi:type="xsd:double"&gt;32.238533&lt;/D&gt;&lt;D xsi:type="xsd:double"&gt;25.877953&lt;/D&gt;&lt;D xsi:type="xsd:double"&gt;20.495665&lt;/D&gt;&lt;D xsi:type="xsd:double"&gt;8.16834&lt;/D&gt;&lt;D xsi:type="xsd:double"&gt;3.3961177&lt;/D&gt;&lt;D xsi:type="xsd:double"&gt;0.78765154&lt;/D&gt;&lt;D xsi:type="xsd:double"&gt;3.575766&lt;/D&gt;&lt;D xsi:type="xsd:double"&gt;9.460902&lt;/D&gt;&lt;D xsi:type="xsd:double"&gt;-8.698261&lt;/D&gt;&lt;D xsi:type="xsd:double"&gt;-11.347616&lt;/D&gt;&lt;D xsi:type="xsd:double"&gt;-11.172563&lt;/D&gt;&lt;D xsi:type="xsd:double"&gt;-6.634694&lt;/D&gt;&lt;D xsi:type="xsd:double"&gt;-7.991868&lt;/D&gt;&lt;D xsi:type="xsd:double"&gt;-16.405237&lt;/D&gt;&lt;D xsi:type="xsd:double"&gt;-7.9679728&lt;/D&gt;&lt;D xsi:type="xsd:double"&gt;-1.625973&lt;/D&gt;&lt;D xsi:type="xsd:double"&gt;-0.8299172&lt;/D&gt;&lt;D xsi:type="xsd:double"&gt;6.340921&lt;/D&gt;&lt;D xsi:type="xsd:double"&gt;-5.046499&lt;/D&gt;&lt;D xsi:type="xsd:double"&gt;-8.674585&lt;/D&gt;&lt;D xsi:type="xsd:double"&gt;4.837227&lt;/D&gt;&lt;D xsi:type="xsd:double"&gt;0.85567236&lt;/D&gt;&lt;D xsi:type="xsd:double"&gt;7.0491195&lt;/D&gt;&lt;D xsi:type="xsd:double"&gt;1.1725307&lt;/D&gt;&lt;D xsi:type="xsd:double"&gt;3.9791942&lt;/D&gt;&lt;D xsi:type="xsd:double"&gt;13.331783&lt;/D&gt;&lt;D xsi:type="xsd:double"&gt;-0.6279826&lt;/D&gt;&lt;D xsi:type="xsd:double"&gt;2.0875454&lt;/D&gt;&lt;D xsi:type="xsd:double"&gt;6.878054&lt;/D&gt;&lt;D xsi:type="xsd:double"&gt;1.2912035&lt;/D&gt;&lt;D xsi:type="xsd:double"&gt;12.38302&lt;/D&gt;&lt;D xsi:type="xsd:double"&gt;9.583688&lt;/D&gt;&lt;D xsi:type="xsd:double"&gt;9.537947&lt;/D&gt;&lt;D xsi:type="xsd:double"&gt;13.06057&lt;/D&gt;&lt;D xsi:type="xsd:double"&gt;18.953812&lt;/D&gt;&lt;D xsi:type="xsd:double"&gt;12.576938&lt;/D&gt;&lt;D xsi:type="xsd:double"&gt;22.029924&lt;/D&gt;&lt;D xsi:type="xsd:double"&gt;26.02725&lt;/D&gt;&lt;/FQL&gt;&lt;FQL&gt;&lt;Q&gt;PLATI-FDS^FG_PRICE_CHANGE(0,-1AM)&lt;/Q&gt;&lt;R&gt;1&lt;/R&gt;&lt;C&gt;1&lt;/C&gt;&lt;D xsi:type="xsd:double"&gt;0.734522560335771&lt;/D&gt;&lt;/FQL&gt;&lt;FQL&gt;&lt;Q&gt;FXI^PERCENT_CHANGE(FMA_EPS(+1,0,,,,"PORTAGG","MEAN"),FMA_EPS(+1,-1AM,,,,"PORTAGG","MEAN"))&lt;/Q&gt;&lt;R&gt;1&lt;/R&gt;&lt;C&gt;1&lt;/C&gt;&lt;D xsi:type="xsd:double"&gt;0.866947197169589&lt;/D&gt;&lt;/FQL&gt;&lt;FQL&gt;&lt;Q&gt;EWD^FMA_RBICS_REV_CURRENT(30, LOC, "PORTAGG")&lt;/Q&gt;&lt;R&gt;1&lt;/R&gt;&lt;C&gt;1&lt;/C&gt;&lt;D xsi:type="xsd:double"&gt;26.7323231015912&lt;/D&gt;&lt;/FQL&gt;&lt;FQL&gt;&lt;Q&gt;REFGBBANK-FDS^(SUBARRAY(NOT_NA(NO_REPEAT_F(FG_YIELD(NOW,-10AY,D))),0,1)-SUBARRAY(NOT_NA(NO_REPEAT_F(FG_YIELD(NOW,-10AY,D))),1,1))*100&lt;/Q&gt;&lt;R&gt;1&lt;/R&gt;&lt;C&gt;1&lt;/C&gt;&lt;D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xsi:type="xsd:double"&gt;-25&lt;/D&gt;&lt;/FQL&gt;&lt;FQL&gt;&lt;Q&gt;GLD^FG_TOTAL_RETURNC(0,-3AM)&lt;/Q&gt;&lt;R&gt;1&lt;/R&gt;&lt;C&gt;1&lt;/C&gt;&lt;D xsi:type="xsd:double"&gt;10.694754&lt;/D&gt;&lt;/FQL&gt;&lt;FQL&gt;&lt;Q&gt;EWD^FG_PRICE_MAVG(0,,,,60)&lt;/Q&gt;&lt;R&gt;1&lt;/R&gt;&lt;C&gt;1&lt;/C&gt;&lt;D xsi:type="xsd:double"&gt;40.9205&lt;/D&gt;&lt;/FQL&gt;&lt;FQL&gt;&lt;Q&gt;REFJPTON-FDS^FG_YIELD(NOW,,,0)&lt;/Q&gt;&lt;R&gt;1&lt;/R&gt;&lt;C&gt;1&lt;/C&gt;&lt;D xsi:type="xsd:double"&gt;0.25&lt;/D&gt;&lt;/FQL&gt;&lt;FQL&gt;&lt;Q&gt;CC_NL^IMF_IFS_RCPI_Q(0)&lt;/Q&gt;&lt;R&gt;0&lt;/R&gt;&lt;C&gt;0&lt;/C&gt;&lt;/FQL&gt;&lt;FQL&gt;&lt;Q&gt;EWU^FMA_DIV_YLD(NTMA,NOW,NOW,M,"PORTAGG","MEANR")&lt;/Q&gt;&lt;R&gt;1&lt;/R&gt;&lt;C&gt;1&lt;/C&gt;&lt;D xsi:type="xsd:double"&gt;3.87280755498331&lt;/D&gt;&lt;/FQL&gt;&lt;FQL&gt;&lt;Q&gt;EWL^FMA_ROE(NTMA,-20AY,NOW,FY,"PORTAGG","MEANR")&lt;/Q&gt;&lt;R&gt;20&lt;/R&gt;&lt;C&gt;1&lt;/C&gt;&lt;D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xsi:type="xsd:double"&gt;19.3024636413407&lt;/D&gt;&lt;/FQL&gt;&lt;FQL&gt;&lt;Q&gt;USDANG^FG_COMPANY_NAME&lt;/Q&gt;&lt;R&gt;1&lt;/R&gt;&lt;C&gt;1&lt;/C&gt;&lt;D xsi:type="xsd:string"&gt;Netherlands Antilles Guilder per U.S. Dollar&lt;/D&gt;&lt;/FQL&gt;&lt;FQL&gt;&lt;Q&gt;EWQ^FMA_PCT_ABOVE_MAVG(200,0,,,,"PORTAGG")&lt;/Q&gt;&lt;R&gt;1&lt;/R&gt;&lt;C&gt;1&lt;/C&gt;&lt;D xsi:type="xsd:double"&gt;49.1803278688525&lt;/D&gt;&lt;/FQL&gt;&lt;FQL&gt;&lt;Q&gt;ENZL^FG_TOTAL_RETURNC(0,-12AM)&lt;/Q&gt;&lt;R&gt;1&lt;/R&gt;&lt;C&gt;1&lt;/C&gt;&lt;D xsi:type="xsd:double"&gt;10.984015&lt;/D&gt;&lt;/FQL&gt;&lt;FQL&gt;&lt;Q&gt;EWN^FMA_RBICS_REV_CURRENT(30, LOC, "PORTAGG")&lt;/Q&gt;&lt;R&gt;1&lt;/R&gt;&lt;C&gt;1&lt;/C&gt;&lt;D xsi:type="xsd:double"&gt;26.6800733680609&lt;/D&gt;&lt;/FQL&gt;&lt;FQL&gt;&lt;Q&gt;EWL^FMA_EVAL_EBITDA(NTMA,0,,,"PORTAGG","MEANR")&lt;/Q&gt;&lt;R&gt;1&lt;/R&gt;&lt;C&gt;1&lt;/C&gt;&lt;D xsi:type="xsd:double"&gt;13.1059321814945&lt;/D&gt;&lt;/FQL&gt;&lt;FQL&gt;&lt;Q&gt;QQQ^FG_TOTAL_RETURNC(-10AY,0,AM)&lt;/Q&gt;&lt;R&gt;121&lt;/R&gt;&lt;C&gt;1&lt;/C&gt;&lt;D xsi:type="xsd:double"&gt;-5.401593&lt;/D&gt;&lt;D xsi:type="xsd:double"&gt;7.9627275&lt;/D&gt;&lt;D xsi:type="xsd:double"&gt;1.3240457&lt;/D&gt;&lt;D xsi:type="xsd:double"&gt;-0.29956698&lt;/D&gt;&lt;D xsi:type="xsd:double"&gt;1.7345548&lt;/D&gt;&lt;D xsi:type="xsd:double"&gt;1.2643695&lt;/D&gt;&lt;D xsi:type="xsd:double"&gt;2.1531224&lt;/D&gt;&lt;D xsi:type="xsd:double"&gt;0.8723974&lt;/D&gt;&lt;D xsi:type="xsd:double"&gt;0.7360339&lt;/D&gt;&lt;D xsi:type="xsd:double"&gt;-1.4531195&lt;/D&gt;&lt;D xsi:type="xsd:double"&gt;3.6414266&lt;/D&gt;&lt;D xsi:type="xsd:double"&gt;-5.897647&lt;/D&gt;&lt;D xsi:type="xsd:double"&gt;1.7172456&lt;/D&gt;&lt;D xsi:type="xsd:double"&gt;6.336248&lt;/D&gt;&lt;D xsi:type="xsd:double"&gt;0.105929375&lt;/D&gt;&lt;D xsi:type="xsd:double"&gt;-7.9945445&lt;/D&gt;&lt;D xsi:type="xsd:double"&gt;-7.0377827&lt;/D&gt;&lt;D xsi:type="xsd:double"&gt;8.242834&lt;/D&gt;&lt;D xsi:type="xsd:double"&gt;4.455006&lt;/D&gt;&lt;D xsi:type="xsd:double"&gt;-1.5321076&lt;/D&gt;&lt;D xsi:type="xsd:double"&gt;1.5000463&lt;/D&gt;&lt;D xsi:type="xsd:double"&gt;1.5209317&lt;/D&gt;&lt;D xsi:type="xsd:double"&gt;5.7298303&lt;/D&gt;&lt;D xsi:type="xsd:double"&gt;-2.0065188&lt;/D&gt;&lt;D xsi:type="xsd:double"&gt;4.584098&lt;/D&gt;&lt;D xsi:type="xsd:double"&gt;-2.9105842&lt;/D&gt;&lt;D xsi:type="xsd:double"&gt;3.239739&lt;/D&gt;&lt;D xsi:type="xsd:double"&gt;2.8986216&lt;/D&gt;&lt;D xsi:type="xsd:double"&gt;3.898859&lt;/D&gt;&lt;D xsi:type="xsd:double"&gt;3.148067&lt;/D&gt;&lt;D xsi:type="xsd:double"&gt;0.68867207&lt;/D&gt;&lt;D xsi:type="xsd:double"&gt;4.8325896&lt;/D&gt;&lt;D xsi:type="xsd:double"&gt;1.1416197&lt;/D&gt;&lt;D xsi:type="xsd:double"&gt;-0.67165494&lt;/D&gt;&lt;D xsi:type="xsd:double"&gt;1.7092109&lt;/D&gt;&lt;D xsi:type="xsd:double"&gt;2.2548437&lt;/D&gt;&lt;D xsi:type="xsd:double"&gt;2.575338&lt;/D&gt;&lt;D xsi:type="xsd:double"&gt;4.1192293&lt;/D&gt;&lt;D xsi:type="xsd:double"&gt;0.66372156&lt;/D&gt;&lt;D xsi:type="xsd:double"&gt;5.0528526&lt;/D&gt;&lt;D xsi:type="xsd:double"&gt;-3.7489116&lt;/D&gt;&lt;D xsi:type="xsd:double"&gt;10.928893&lt;/D&gt;&lt;D xsi:type="xsd:double"&gt;-6.7470493&lt;/D&gt;&lt;D xsi:type="xsd:double"&gt;5.2167892&lt;/D&gt;&lt;D xsi:type="xsd:double"&gt;2.8416514&lt;/D&gt;&lt;D xsi:type="xsd:double"&gt;1.8689156&lt;/D&gt;&lt;D xsi:type="xsd:double"&gt;1.8046498&lt;/D&gt;&lt;D xsi:type="xsd:double"&gt;0.66474676&lt;/D&gt;&lt;D xsi:type="xsd:double"&gt;-5.3280115&lt;/D&gt;&lt;D xsi:type="xsd:double"&gt;-0.12227893&lt;/D&gt;&lt;D xsi:type="xsd:double"&gt;-4.9265385&lt;/D&gt;&lt;D xsi:type="xsd:double"&gt;-0.8077979&lt;/D&gt;&lt;D xsi:type="xsd:double"&gt;4.5138836&lt;/D&gt;&lt;D xsi:type="xsd:double"&gt;1.5484095&lt;/D&gt;&lt;D xsi:type="xsd:double"&gt;8.551132&lt;/D&gt;&lt;D xsi:type="xsd:double"&gt;-0.25340915&lt;/D&gt;&lt;D xsi:type="xsd:double"&gt;-1.000005&lt;/D&gt;&lt;D xsi:type="xsd:double"&gt;5.3700805&lt;/D&gt;&lt;D xsi:type="xsd:double"&gt;-3.1522572&lt;/D&gt;&lt;D xsi:type="xsd:double"&gt;2.2253156&lt;/D&gt;&lt;D xsi:type="xsd:double"&gt;-0.8285403&lt;/D&gt;&lt;D xsi:type="xsd:double"&gt;6.651473&lt;/D&gt;&lt;D xsi:type="xsd:double"&gt;1.3268352&lt;/D&gt;&lt;D xsi:type="xsd:double"&gt;7.357502&lt;/D&gt;&lt;D xsi:type="xsd:double"&gt;6.1987877&lt;/D&gt;&lt;D xsi:type="xsd:double"&gt;-12.010175&lt;/D&gt;&lt;D xsi:type="xsd:double"&gt;-1.3828933&lt;/D&gt;&lt;D xsi:type="xsd:double"&gt;11.948622&lt;/D&gt;&lt;D xsi:type="xsd:double"&gt;9.49924&lt;/D&gt;&lt;D xsi:type="xsd:double"&gt;7.3933363&lt;/D&gt;&lt;D xsi:type="xsd:double"&gt;2.401781&lt;/D&gt;&lt;D xsi:type="xsd:double"&gt;0.7509947&lt;/D&gt;&lt;D xsi:type="xsd:double"&gt;5.061555&lt;/D&gt;&lt;D xsi:type="xsd:double"&gt;-0.80150366&lt;/D&gt;&lt;D xsi:type="xsd:double"&gt;6.739104&lt;/D&gt;&lt;D xsi:type="xsd:double"&gt;5.6491256&lt;/D&gt;&lt;D xsi:type="xsd:double"&gt;4.3005347&lt;/D&gt;&lt;D xsi:type="xsd:double"&gt;-6.572503&lt;/D&gt;&lt;D xsi:type="xsd:double"&gt;8.571649&lt;/D&gt;&lt;D xsi:type="xsd:double"&gt;-3.3668458&lt;/D&gt;&lt;D xsi:type="xsd:double"&gt;4.4787526&lt;/D&gt;&lt;D xsi:type="xsd:double"&gt;6.1924458&lt;/D&gt;&lt;D xsi:type="xsd:double"&gt;1.6149044&lt;/D&gt;&lt;D xsi:type="xsd:double"&gt;2.6578307&lt;/D&gt;&lt;D xsi:type="xsd:double"&gt;-3.9887488&lt;/D&gt;&lt;D xsi:type="xsd:double"&gt;7.849705&lt;/D&gt;&lt;D xsi:type="xsd:double"&gt;2.1822333&lt;/D&gt;&lt;D xsi:type="xsd:double"&gt;-4.3741045&lt;/D&gt;&lt;D xsi:type="xsd:double"&gt;-5.7036104&lt;/D&gt;&lt;D xsi:type="xsd:double"&gt;-7.577491&lt;/D&gt;&lt;D xsi:type="xsd:double"&gt;5.527985&lt;/D&gt;&lt;D xsi:type="xsd:double"&gt;-13.859367&lt;/D&gt;&lt;D xsi:type="xsd:double"&gt;-3.9632976&lt;/D&gt;&lt;D xsi:type="xsd:double"&gt;2.4456978&lt;/D&gt;&lt;D xsi:type="xsd:double"&gt;10.353815&lt;/D&gt;&lt;D xsi:type="xsd:double"&gt;-5.780381&lt;/D&gt;&lt;D xsi:type="xsd:double"&gt;-13.092357&lt;/D&gt;&lt;D xsi:type="xsd:double"&gt;6.1334014&lt;/D&gt;&lt;D xsi:type="xsd:double"&gt;-0.25110245&lt;/D&gt;&lt;D xsi:type="xsd:double"&gt;-3.030461&lt;/D&gt;&lt;D xsi:type="xsd:double"&gt;9.848631&lt;/D&gt;&lt;D xsi:type="xsd:double"&gt;-3.7203968&lt;/D&gt;&lt;D xsi:type="xsd:double"&gt;10.331178&lt;/D&gt;&lt;D xsi:type="xsd:double"&gt;2.2871017&lt;/D&gt;&lt;D xsi:type="xsd:double"&gt;9.029949&lt;/D&gt;&lt;D xsi:type="xsd:double"&gt;3.4875035&lt;/D&gt;&lt;D xsi:type="xsd:double"&gt;0.60869455&lt;/D&gt;&lt;D xsi:type="xsd:double"&gt;1.0825038&lt;/D&gt;&lt;D xsi:type="xsd:double"&gt;-0.9279728&lt;/D&gt;&lt;D xsi:type="xsd:double"&gt;2.6587844&lt;/D&gt;&lt;D xsi:type="xsd:double"&gt;3.6417484&lt;/D&gt;&lt;D xsi:type="xsd:double"&gt;4.4255614&lt;/D&gt;&lt;D xsi:type="xsd:double"&gt;6.9889784&lt;/D&gt;&lt;D xsi:type="xsd:double"&gt;0.45075417&lt;/D&gt;&lt;D xsi:type="xsd:double"&gt;-0.017172098&lt;/D&gt;&lt;D xsi:type="xsd:double"&gt;0.84176064&lt;/D&gt;&lt;D xsi:type="xsd:double"&gt;5.1508784&lt;/D&gt;&lt;D xsi:type="xsd:double"&gt;8.376848&lt;/D&gt;&lt;D xsi:type="xsd:double"&gt;-10.448146&lt;/D&gt;&lt;D xsi:type="xsd:double"&gt;1.8316627&lt;/D&gt;&lt;D xsi:type="xsd:double"&gt;7.5481296&lt;/D&gt;&lt;/FQL&gt;&lt;FQL&gt;&lt;Q&gt;EWD^FG_PRICE_MAVG(0,,,,30)&lt;/Q&gt;&lt;R&gt;1&lt;/R&gt;&lt;C&gt;1&lt;/C&gt;&lt;D xsi:type="xsd:double"&gt;41.855667&lt;/D&gt;&lt;/FQL&gt;&lt;FQL&gt;&lt;Q&gt;REFJPTON-FDS^PROPER_NAME(0,,,"SECURITY","NAME")&lt;/Q&gt;&lt;R&gt;1&lt;/R&gt;&lt;C&gt;1&lt;/C&gt;&lt;D xsi:type="xsd:string"&gt;Japan Policy Rate&lt;/D&gt;&lt;/FQL&gt;&lt;FQL&gt;&lt;Q&gt;CC_FR^IMF_IFS_RCPI_Q(0)&lt;/Q&gt;&lt;R&gt;0&lt;/R&gt;&lt;C&gt;0&lt;/C&gt;&lt;/FQL&gt;&lt;FQL&gt;&lt;Q&gt;EWL^FG_FCF_YIELD_NTM(0)&lt;/Q&gt;&lt;R&gt;1&lt;/R&gt;&lt;C&gt;1&lt;/C&gt;&lt;D xsi:type="xsd:double"&gt;4.73444517227012&lt;/D&gt;&lt;/FQL&gt;&lt;FQL&gt;&lt;Q&gt;TRYVN10Y-FDS^FG_YIELD(-10AY,0,Y,,"YTM")&lt;/Q&gt;&lt;R&gt;10&lt;/R&gt;&lt;C&gt;1&lt;/C&gt;&lt;D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xsi:type="xsd:double"&gt;2.9473283&lt;/D&gt;&lt;/FQL&gt;&lt;FQL&gt;&lt;Q&gt;CPALM-FDS^FG_PRICE(0)&lt;/Q&gt;&lt;R&gt;1&lt;/R&gt;&lt;C&gt;1&lt;/C&gt;&lt;D xsi:type="xsd:double"&gt;4350&lt;/D&gt;&lt;/FQL&gt;&lt;FQL&gt;&lt;Q&gt;EWQ^FG_PRICE_MAVG(0,,,,200)&lt;/Q&gt;&lt;R&gt;1&lt;/R&gt;&lt;C&gt;1&lt;/C&gt;&lt;D xsi:type="xsd:double"&gt;39.654&lt;/D&gt;&lt;/FQL&gt;&lt;FQL&gt;&lt;Q&gt;EWL^FG_TOTAL_RETURNC(-10AY,0,AM)&lt;/Q&gt;&lt;R&gt;121&lt;/R&gt;&lt;C&gt;1&lt;/C&gt;&lt;D xsi:type="xsd:double"&gt;-8.353292&lt;/D&gt;&lt;D xsi:type="xsd:double"&gt;5.4884076&lt;/D&gt;&lt;D xsi:type="xsd:double"&gt;0.49550533&lt;/D&gt;&lt;D xsi:type="xsd:double"&gt;-2.6502311&lt;/D&gt;&lt;D xsi:type="xsd:double"&gt;3.7670135&lt;/D&gt;&lt;D xsi:type="xsd:double"&gt;-2.0439208&lt;/D&gt;&lt;D xsi:type="xsd:double"&gt;7.162881&lt;/D&gt;&lt;D xsi:type="xsd:double"&gt;2.092421&lt;/D&gt;&lt;D xsi:type="xsd:double"&gt;0.056934357&lt;/D&gt;&lt;D xsi:type="xsd:double"&gt;-0.9614527&lt;/D&gt;&lt;D xsi:type="xsd:double"&gt;-0.44118166&lt;/D&gt;&lt;D xsi:type="xsd:double"&gt;-6.4697146&lt;/D&gt;&lt;D xsi:type="xsd:double"&gt;0.7264614&lt;/D&gt;&lt;D xsi:type="xsd:double"&gt;-2.4145484&lt;/D&gt;&lt;D xsi:type="xsd:double"&gt;-0.7390797&lt;/D&gt;&lt;D xsi:type="xsd:double"&gt;-5.373907&lt;/D&gt;&lt;D xsi:type="xsd:double"&gt;-3.6948323&lt;/D&gt;&lt;D xsi:type="xsd:double"&gt;3.943169&lt;/D&gt;&lt;D xsi:type="xsd:double"&gt;2.6999235&lt;/D&gt;&lt;D xsi:type="xsd:double"&gt;0.6655574&lt;/D&gt;&lt;D xsi:type="xsd:double"&gt;-0.09917617&lt;/D&gt;&lt;D xsi:type="xsd:double"&gt;-0.46325922&lt;/D&gt;&lt;D xsi:type="xsd:double"&gt;3.6177516&lt;/D&gt;&lt;D xsi:type="xsd:double"&gt;0.23056269&lt;/D&gt;&lt;D xsi:type="xsd:double"&gt;-0.8215606&lt;/D&gt;&lt;D xsi:type="xsd:double"&gt;-2.6838958&lt;/D&gt;&lt;D xsi:type="xsd:double"&gt;-0.81716776&lt;/D&gt;&lt;D xsi:type="xsd:double"&gt;3.9096355&lt;/D&gt;&lt;D xsi:type="xsd:double"&gt;1.9173503&lt;/D&gt;&lt;D xsi:type="xsd:double"&gt;2.238083&lt;/D&gt;&lt;D xsi:type="xsd:double"&gt;0.7931471&lt;/D&gt;&lt;D xsi:type="xsd:double"&gt;6.893289&lt;/D&gt;&lt;D xsi:type="xsd:double"&gt;1.3545275&lt;/D&gt;&lt;D xsi:type="xsd:double"&gt;1.2478709&lt;/D&gt;&lt;D xsi:type="xsd:double"&gt;-0.08792281&lt;/D&gt;&lt;D xsi:type="xsd:double"&gt;1.7013788&lt;/D&gt;&lt;D xsi:type="xsd:double"&gt;1.7594457&lt;/D&gt;&lt;D xsi:type="xsd:double"&gt;-3.202939&lt;/D&gt;&lt;D xsi:type="xsd:double"&gt;2.0204902&lt;/D&gt;&lt;D xsi:type="xsd:double"&gt;3.5591364&lt;/D&gt;&lt;D xsi:type="xsd:double"&gt;-3.991139&lt;/D&gt;&lt;D xsi:type="xsd:double"&gt;1.2702107&lt;/D&gt;&lt;D xsi:type="xsd:double"&gt;-1.7103851&lt;/D&gt;&lt;D xsi:type="xsd:double"&gt;-0.34802556&lt;/D&gt;&lt;D xsi:type="xsd:double"&gt;-2.2700787&lt;/D&gt;&lt;D xsi:type="xsd:double"&gt;1.7750025&lt;/D&gt;&lt;D xsi:type="xsd:double"&gt;2.0695806&lt;/D&gt;&lt;D xsi:type="xsd:double"&gt;0.9697437&lt;/D&gt;&lt;D xsi:type="xsd:double"&gt;-3.987193&lt;/D&gt;&lt;D xsi:type="xsd:double"&gt;1.2124777&lt;/D&gt;&lt;D xsi:type="xsd:double"&gt;-3.953278&lt;/D&gt;&lt;D xsi:type="xsd:double"&gt;2.4633646&lt;/D&gt;&lt;D xsi:type="xsd:double"&gt;1.0955572&lt;/D&gt;&lt;D xsi:type="xsd:double"&gt;3.160739&lt;/D&gt;&lt;D xsi:type="xsd:double"&gt;3.9976597&lt;/D&gt;&lt;D xsi:type="xsd:double"&gt;0.28059483&lt;/D&gt;&lt;D xsi:type="xsd:double"&gt;4.644656&lt;/D&gt;&lt;D xsi:type="xsd:double"&gt;1.4819384&lt;/D&gt;&lt;D xsi:type="xsd:double"&gt;0.56467056&lt;/D&gt;&lt;D xsi:type="xsd:double"&gt;0.85561275&lt;/D&gt;&lt;D xsi:type="xsd:double"&gt;-1.6171813&lt;/D&gt;&lt;D xsi:type="xsd:double"&gt;4.015088&lt;/D&gt;&lt;D xsi:type="xsd:double"&gt;1.2435317&lt;/D&gt;&lt;D xsi:type="xsd:double"&gt;3.3520937&lt;/D&gt;&lt;D xsi:type="xsd:double"&gt;3.6890388&lt;/D&gt;&lt;D xsi:type="xsd:double"&gt;-10.410696&lt;/D&gt;&lt;D xsi:type="xsd:double"&gt;-3.3049107&lt;/D&gt;&lt;D xsi:type="xsd:double"&gt;2.6736498&lt;/D&gt;&lt;D xsi:type="xsd:double"&gt;6.872487&lt;/D&gt;&lt;D xsi:type="xsd:double"&gt;2.6471496&lt;/D&gt;&lt;D xsi:type="xsd:double"&gt;2.0392895&lt;/D&gt;&lt;D xsi:type="xsd:double"&gt;1.803565&lt;/D&gt;&lt;D xsi:type="xsd:double"&gt;1.1252165&lt;/D&gt;&lt;D xsi:type="xsd:double"&gt;-0.54451823&lt;/D&gt;&lt;D xsi:type="xsd:double"&gt;3.5229802&lt;/D&gt;&lt;D xsi:type="xsd:double"&gt;4.584396&lt;/D&gt;&lt;D xsi:type="xsd:double"&gt;-0.7479131&lt;/D&gt;&lt;D xsi:type="xsd:double"&gt;-2.6374102&lt;/D&gt;&lt;D xsi:type="xsd:double"&gt;5.2128434&lt;/D&gt;&lt;D xsi:type="xsd:double"&gt;1.7957568&lt;/D&gt;&lt;D xsi:type="xsd:double"&gt;7.3642135&lt;/D&gt;&lt;D xsi:type="xsd:double"&gt;-0.6451607&lt;/D&gt;&lt;D xsi:type="xsd:double"&gt;1.9886374&lt;/D&gt;&lt;D xsi:type="xsd:double"&gt;-1.7309964&lt;/D&gt;&lt;D xsi:type="xsd:double"&gt;-3.5634696&lt;/D&gt;&lt;D xsi:type="xsd:double"&gt;6.3195467&lt;/D&gt;&lt;D xsi:type="xsd:double"&gt;1.184833&lt;/D&gt;&lt;D xsi:type="xsd:double"&gt;-0.8977413&lt;/D&gt;&lt;D xsi:type="xsd:double"&gt;-3.5250068&lt;/D&gt;&lt;D xsi:type="xsd:double"&gt;-6.634009&lt;/D&gt;&lt;D xsi:type="xsd:double"&gt;8.963704&lt;/D&gt;&lt;D xsi:type="xsd:double"&gt;-12.479937&lt;/D&gt;&lt;D xsi:type="xsd:double"&gt;-3.784579&lt;/D&gt;&lt;D xsi:type="xsd:double"&gt;0.6564617&lt;/D&gt;&lt;D xsi:type="xsd:double"&gt;5.6280136&lt;/D&gt;&lt;D xsi:type="xsd:double"&gt;-4.7107277&lt;/D&gt;&lt;D xsi:type="xsd:double"&gt;-10.727138&lt;/D&gt;&lt;D xsi:type="xsd:double"&gt;12.9838705&lt;/D&gt;&lt;D xsi:type="xsd:double"&gt;1.7844439&lt;/D&gt;&lt;D xsi:type="xsd:double"&gt;3.1790614&lt;/D&gt;&lt;D xsi:type="xsd:double"&gt;0.43045282&lt;/D&gt;&lt;D xsi:type="xsd:double"&gt;-3.3386052&lt;/D&gt;&lt;D xsi:type="xsd:double"&gt;7.7012897&lt;/D&gt;&lt;D xsi:type="xsd:double"&gt;4.810393&lt;/D&gt;&lt;D xsi:type="xsd:double"&gt;-3.4623384&lt;/D&gt;&lt;D xsi:type="xsd:double"&gt;-1.0948122&lt;/D&gt;&lt;D xsi:type="xsd:double"&gt;3.14368&lt;/D&gt;&lt;D xsi:type="xsd:double"&gt;-3.36982&lt;/D&gt;&lt;D xsi:type="xsd:double"&gt;-1.8436313&lt;/D&gt;&lt;D xsi:type="xsd:double"&gt;-2.5345087&lt;/D&gt;&lt;D xsi:type="xsd:double"&gt;6.6867948&lt;/D&gt;&lt;D xsi:type="xsd:double"&gt;4.33079&lt;/D&gt;&lt;D xsi:type="xsd:double"&gt;-3.254062&lt;/D&gt;&lt;D xsi:type="xsd:double"&gt;3.9672256&lt;/D&gt;&lt;D xsi:type="xsd:double"&gt;-4.5002103&lt;/D&gt;&lt;D xsi:type="xsd:double"&gt;4.104233&lt;/D&gt;&lt;D xsi:type="xsd:double"&gt;4.109311&lt;/D&gt;&lt;D xsi:type="xsd:double"&gt;0.21574497&lt;/D&gt;&lt;D xsi:type="xsd:double"&gt;1.5921593&lt;/D&gt;&lt;D xsi:type="xsd:double"&gt;2.8933048&lt;/D&gt;&lt;D xsi:type="xsd:double"&gt;-0.37102103&lt;/D&gt;&lt;/FQL&gt;&lt;FQL&gt;&lt;Q&gt;W-FDS^FG_PRICE_CHANGE(0,-6AM)&lt;/Q&gt;&lt;R&gt;1&lt;/R&gt;&lt;C&gt;1&lt;/C&gt;&lt;D xsi:type="xsd:double"&gt;8.10205908683974&lt;/D&gt;&lt;/FQL&gt;&lt;FQL&gt;&lt;Q&gt;CAGDPY@US^EE_ACTUAL_ANNUAL(MED,+1)&lt;/Q&gt;&lt;R&gt;1&lt;/R&gt;&lt;C&gt;1&lt;/C&gt;&lt;D xsi:type="xsd:double"&gt;-3.3&lt;/D&gt;&lt;/FQL&gt;&lt;FQL&gt;&lt;Q&gt;EWA^FG_PRICE(0)&lt;/Q&gt;&lt;R&gt;1&lt;/R&gt;&lt;C&gt;1&lt;/C&gt;&lt;D xsi:type="xsd:double"&gt;26.32&lt;/D&gt;&lt;/FQL&gt;&lt;FQL&gt;&lt;Q&gt;EWL^FG_TOTAL_RETURNC(0,-3AM)&lt;/Q&gt;&lt;R&gt;1&lt;/R&gt;&lt;C&gt;1&lt;/C&gt;&lt;D xsi:type="xsd:double"&gt;4.143703&lt;/D&gt;&lt;/FQL&gt;&lt;FQL&gt;&lt;Q&gt;TRYDE10Y-FDS^PCTCHG(FG_YIELD(0,,,,"YTM"),FG_YIELD(-3AM,,,,"YTM"))&lt;/Q&gt;&lt;R&gt;1&lt;/R&gt;&lt;C&gt;1&lt;/C&gt;&lt;D xsi:type="xsd:double"&gt;-10.372133&lt;/D&gt;&lt;/FQL&gt;&lt;FQL&gt;&lt;Q&gt;EWD^FMA_PE(LTM,0,,,"PORTAGG","MEANR")&lt;/Q&gt;&lt;R&gt;1&lt;/R&gt;&lt;C&gt;1&lt;/C&gt;&lt;D xsi:type="xsd:double"&gt;14.811449684523&lt;/D&gt;&lt;/FQL&gt;&lt;FQL&gt;&lt;Q&gt;USDCAD^FG_PRICE_CHANGE(0,-1AY)&lt;/Q&gt;&lt;R&gt;1&lt;/R&gt;&lt;C&gt;1&lt;/C&gt;&lt;D xsi:type="xsd:double"&gt;1.1619806&lt;/D&gt;&lt;/FQL&gt;&lt;FQL&gt;&lt;Q&gt;VGK^P_PRICE(0)/P_PRICE_HIGH_PR(0,,,,,,"PRICE","INTRA","52W")&lt;/Q&gt;&lt;R&gt;1&lt;/R&gt;&lt;C&gt;1&lt;/C&gt;&lt;D xsi:type="xsd:double"&gt;0.9605993&lt;/D&gt;&lt;/FQL&gt;&lt;FQL&gt;&lt;Q&gt;ENZL^FG_FCF_YIELD_NTM(0)&lt;/Q&gt;&lt;R&gt;1&lt;/R&gt;&lt;C&gt;1&lt;/C&gt;&lt;D xsi:type="xsd:double"&gt;1.97446643246985&lt;/D&gt;&lt;/FQL&gt;&lt;FQL&gt;&lt;Q&gt;TLT^P_PRICE(0)/P_PRICE_HIGH_PR(0,,,USD,,,"PRICE","INTRA","52W")&lt;/Q&gt;&lt;R&gt;1&lt;/R&gt;&lt;C&gt;1&lt;/C&gt;&lt;D xsi:type="xsd:double"&gt;0.92561984&lt;/D&gt;&lt;/FQL&gt;&lt;FQL&gt;&lt;Q&gt;DDR3512M-FDS^MAX(FG_PRICE(0,-5AY))&lt;/Q&gt;&lt;R&gt;1&lt;/R&gt;&lt;C&gt;1&lt;/C&gt;&lt;D xsi:type="xsd:double"&gt;3.3053632&lt;/D&gt;&lt;/FQL&gt;&lt;FQL&gt;&lt;Q&gt;TRYDE10Y-FDS^PCTCHG(FG_YIELD(0,,,,"YTM"),FG_YIELD(-1AM,,,,"YTM"))&lt;/Q&gt;&lt;R&gt;1&lt;/R&gt;&lt;C&gt;1&lt;/C&gt;&lt;D xsi:type="xsd:double"&gt;4.717854&lt;/D&gt;&lt;/FQL&gt;&lt;FQL&gt;&lt;Q&gt;EWD^JULIAN(FMA_DIV_YLD(NTMA,NOW,NOW,M,"PORTAGG","MEANR").DATES)&lt;/Q&gt;&lt;R&gt;1&lt;/R&gt;&lt;C&gt;1&lt;/C&gt;&lt;D xsi:type="xsd:long"&gt;45565&lt;/D&gt;&lt;/FQL&gt;&lt;FQL&gt;&lt;Q&gt;CAGDPY@GB^EE_ACTUAL_ANNUAL(MED,+1)&lt;/Q&gt;&lt;R&gt;1&lt;/R&gt;&lt;C&gt;1&lt;/C&gt;&lt;D xsi:type="xsd:double"&gt;-2.9&lt;/D&gt;&lt;/FQL&gt;&lt;FQL&gt;&lt;Q&gt;USDCAD^FG_PRICE(0)&lt;/Q&gt;&lt;R&gt;1&lt;/R&gt;&lt;C&gt;1&lt;/C&gt;&lt;D xsi:type="xsd:double"&gt;1.37555&lt;/D&gt;&lt;/FQL&gt;&lt;FQL&gt;&lt;Q&gt;EWG^FMA_COS_DOWN("EPS","1M",+1,0,,,"PORTAGG","MEANR")&lt;/Q&gt;&lt;R&gt;1&lt;/R&gt;&lt;C&gt;1&lt;/C&gt;&lt;D xsi:type="xsd:double"&gt;22&lt;/D&gt;&lt;/FQL&gt;&lt;FQL&gt;&lt;Q&gt;TRYCA10Y-FDS^PCTCHG(FG_YIELD(0,,,,"YTM"),FG_YIELD(-3AM,,,,"YTM"))&lt;/Q&gt;&lt;R&gt;1&lt;/R&gt;&lt;C&gt;1&lt;/C&gt;&lt;D xsi:type="xsd:double"&gt;-6.896352&lt;/D&gt;&lt;/FQL&gt;&lt;FQL&gt;&lt;Q&gt;ENZL^FMA_DIV_YLD(NTMA,NOW,NOW,M,"PORTAGG","MEANR")&lt;/Q&gt;&lt;R&gt;1&lt;/R&gt;&lt;C&gt;1&lt;/C&gt;&lt;D xsi:type="xsd:double"&gt;3.10558619759125&lt;/D&gt;&lt;/FQL&gt;&lt;FQL&gt;&lt;Q&gt;DDR3512M-FDS^FG_PRICE_CHANGE(0,-6AM)&lt;/Q&gt;&lt;R&gt;1&lt;/R&gt;&lt;C&gt;1&lt;/C&gt;&lt;D xsi:type="xsd:double"&gt;-9.92579114161791&lt;/D&gt;&lt;/FQL&gt;&lt;FQL&gt;&lt;Q&gt;EWD^FG_TOTAL_RETURNC(0,-3AM)&lt;/Q&gt;&lt;R&gt;1&lt;/R&gt;&lt;C&gt;1&lt;/C&gt;&lt;D xsi:type="xsd:double"&gt;2.2304893&lt;/D&gt;&lt;/FQL&gt;&lt;FQL&gt;&lt;Q&gt;TRYNZ10Y-FDS^PCTCHG(FG_YIELD(0,,,,"YTM"),FG_YIELD(-3AM,,,,"YTM"))&lt;/Q&gt;&lt;R&gt;1&lt;/R&gt;&lt;C&gt;1&lt;/C&gt;&lt;D xsi:type="xsd:double"&gt;-4.8176713&lt;/D&gt;&lt;/FQL&gt;&lt;FQL&gt;&lt;Q&gt;USO^P_PRICE(0)/P_PRICE_HIGH_PR(0,,,USD,,,"PRICE","INTRA","52W")&lt;/Q&gt;&lt;R&gt;1&lt;/R&gt;&lt;C&gt;1&lt;/C&gt;&lt;D xsi:type="xsd:double"&gt;0.9323821&lt;/D&gt;&lt;/FQL&gt;&lt;FQL&gt;&lt;Q&gt;CAGDPY@GB^EE_ACTUAL_ANNUAL(MED,0)&lt;/Q&gt;&lt;R&gt;1&lt;/R&gt;&lt;C&gt;1&lt;/C&gt;&lt;D xsi:type="xsd:double"&gt;-3.3&lt;/D&gt;&lt;/FQL&gt;&lt;FQL&gt;&lt;Q&gt;USDAUD^STD(FG_PRICE_CHANGE(0,-3AY,M))&lt;/Q&gt;&lt;R&gt;1&lt;/R&gt;&lt;C&gt;1&lt;/C&gt;&lt;D xsi:type="xsd:double"&gt;3.161718116431&lt;/D&gt;&lt;/FQL&gt;&lt;FQL&gt;&lt;Q&gt;EWC^FG_TOTAL_RETURNC(0,-3AM)&lt;/Q&gt;&lt;R&gt;1&lt;/R&gt;&lt;C&gt;1&lt;/C&gt;&lt;D xsi:type="xsd:double"&gt;8.60442&lt;/D&gt;&lt;/FQL&gt;&lt;FQL&gt;&lt;Q&gt;EWG^FMA_COS_UP("EPS","1M",+1,0,,,"PORTAGG","MEANR")&lt;/Q&gt;&lt;R&gt;1&lt;/R&gt;&lt;C&gt;1&lt;/C&gt;&lt;D xsi:type="xsd:double"&gt;24&lt;/D&gt;&lt;/FQL&gt;&lt;FQL&gt;&lt;Q&gt;EWN^FG_FCF_YIELD_NTM(0)&lt;/Q&gt;&lt;R&gt;1&lt;/R&gt;&lt;C&gt;1&lt;/C&gt;&lt;D xsi:type="xsd:double"&gt;4.03947875422778&lt;/D&gt;&lt;/FQL&gt;&lt;FQL&gt;&lt;Q&gt;DDR3512M-FDS^FG_PRICE_CHANGE(0,-3AM)&lt;/Q&gt;&lt;R&gt;1&lt;/R&gt;&lt;C&gt;1&lt;/C&gt;&lt;D xsi:type="xsd:double"&gt;-5.60604674929366&lt;/D&gt;&lt;/FQL&gt;&lt;FQL&gt;&lt;Q&gt;EWD^FG_TOTAL_RETURNC(0,-1AM)&lt;/Q&gt;&lt;R&gt;1&lt;/R&gt;&lt;C&gt;1&lt;/C&gt;&lt;D xsi:type="xsd:double"&gt;2.6885748&lt;/D&gt;&lt;/FQL&gt;&lt;FQL&gt;&lt;Q&gt;EWC^FG_TOTAL_RETURNC(0,-1AM)&lt;/Q&gt;&lt;R&gt;1&lt;/R&gt;&lt;C&gt;1&lt;/C&gt;&lt;D xsi:type="xsd:double"&gt;4.6776295&lt;/D&gt;&lt;/FQL&gt;&lt;FQL&gt;&lt;Q&gt;REFSEREPO-FDS^(SUBARRAY(NOT_NA(NO_REPEAT_F(FG_YIELD(NOW,-10AY,D))),0,1)-SUBARRAY(NOT_NA(NO_REPEAT_F(FG_YIELD(NOW,-10AY,D))),1,1))*100&lt;/Q&gt;&lt;R&gt;1&lt;/R&gt;&lt;C&gt;1&lt;/C&gt;&lt;D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xsi:type="xsd:double"&gt;-25&lt;/D&gt;&lt;/FQL&gt;&lt;FQL&gt;&lt;Q&gt;USO^FG_TOTAL_RETURNC(0,-6AM)&lt;/Q&gt;&lt;R&gt;1&lt;/R&gt;&lt;C&gt;1&lt;/C&gt;&lt;D xsi:type="xsd:double"&gt;-5.262518&lt;/D&gt;&lt;/FQL&gt;&lt;FQL&gt;&lt;Q&gt;USDAUD^STD(FG_PRICE_CHANGE(0,-1AY,AM))&lt;/Q&gt;&lt;R&gt;1&lt;/R&gt;&lt;C&gt;1&lt;/C&gt;&lt;D xsi:type="xsd:double"&gt;1.88352599088792&lt;/D&gt;&lt;/FQL&gt;&lt;FQL&gt;&lt;Q&gt;REFSEREPO-FDS^FG_YIELD(NOW,,,0)&lt;/Q&gt;&lt;R&gt;1&lt;/R&gt;&lt;C&gt;1&lt;/C&gt;&lt;D xsi:type="xsd:double"&gt;3.25&lt;/D&gt;&lt;/FQL&gt;&lt;FQL&gt;&lt;Q&gt;EWN^FMA_DIV_YLD(NTMA,NOW,NOW,M,"PORTAGG","MEANR")&lt;/Q&gt;&lt;R&gt;1&lt;/R&gt;&lt;C&gt;1&lt;/C&gt;&lt;D xsi:type="xsd:double"&gt;2.60530924746925&lt;/D&gt;&lt;/FQL&gt;&lt;FQL&gt;&lt;Q&gt;CAGDPY@CH^EE_ACTUAL_ANNUAL(MED,0)&lt;/Q&gt;&lt;R&gt;1&lt;/R&gt;&lt;C&gt;1&lt;/C&gt;&lt;D xsi:type="xsd:double"&gt;6.51381088906606&lt;/D&gt;&lt;/FQL&gt;&lt;FQL&gt;&lt;Q&gt;DDR3512M-FDS^FG_PRICE_CHANGE(0,-1AM)&lt;/Q&gt;&lt;R&gt;1&lt;/R&gt;&lt;C&gt;1&lt;/C&gt;&lt;D xsi:type="xsd:double"&gt;-1.11606975156329&lt;/D&gt;&lt;/FQL&gt;&lt;FQL&gt;&lt;Q&gt;EWD^PERCENT_CHANGE(FMA_EPS(+1,0,,,,"PORTAGG","MEAN"),FMA_EPS(+1,-3AM,,,,"PORTAGG","MEAN"))&lt;/Q&gt;&lt;R&gt;1&lt;/R&gt;&lt;C&gt;1&lt;/C&gt;&lt;D xsi:type="xsd:double"&gt;-5.69776994116028&lt;/D&gt;&lt;/FQL&gt;&lt;FQL&gt;&lt;Q&gt;DBA^FG_TOTAL_RETURNC(0,-6AM)&lt;/Q&gt;&lt;R&gt;1&lt;/R&gt;&lt;C&gt;1&lt;/C&gt;&lt;D xsi:type="xsd:double"&gt;1.9794106&lt;/D&gt;&lt;/FQL&gt;&lt;FQL&gt;&lt;Q&gt;CC_NZ^FG_COMPANY_NAME&lt;/Q&gt;&lt;R&gt;1&lt;/R&gt;&lt;C&gt;1&lt;/C&gt;&lt;D xsi:type="xsd:string"&gt;New Zealand&lt;/D&gt;&lt;/FQL&gt;&lt;FQL&gt;&lt;Q&gt;EWN^FMA_EPS(NTMA,-20AY,0,CY,,"PORTAGG","MEANR")&lt;/Q&gt;&lt;R&gt;20&lt;/R&gt;&lt;C&gt;1&lt;/C&gt;&lt;D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xsi:type="xsd:double"&gt;2.95668122593824&lt;/D&gt;&lt;/FQL&gt;&lt;FQL&gt;&lt;Q&gt;EWA^FG_TOTAL_RETURNC(0,-3AM)&lt;/Q&gt;&lt;R&gt;1&lt;/R&gt;&lt;C&gt;1&lt;/C&gt;&lt;D xsi:type="xsd:double"&gt;4.693711&lt;/D&gt;&lt;/FQL&gt;&lt;FQL&gt;&lt;Q&gt;SPY^JULIAN(FMA_DIV_YLD(NTMA,NOW,NOW,M,"PORTAGG","MEANR").DATES)&lt;/Q&gt;&lt;R&gt;1&lt;/R&gt;&lt;C&gt;1&lt;/C&gt;&lt;D xsi:type="xsd:long"&gt;45565&lt;/D&gt;&lt;/FQL&gt;&lt;FQL&gt;&lt;Q&gt;ENZL^FMA_EPS(NTMA,-20AY,0,CY,,"PORTAGG","MEANR")&lt;/Q&gt;&lt;R&gt;20&lt;/R&gt;&lt;C&gt;1&lt;/C&gt;&lt;D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xsi:type="xsd:double"&gt;2.24732563529813&lt;/D&gt;&lt;D xsi:type="xsd:double"&gt;1.98522616654652&lt;/D&gt;&lt;D xsi:type="xsd:double"&gt;1.82093690891181&lt;/D&gt;&lt;D xsi:type="xsd:double"&gt;2.11037843374038&lt;/D&gt;&lt;D xsi:type="xsd:double"&gt;2.11106619444845&lt;/D&gt;&lt;/FQL&gt;&lt;FQL&gt;&lt;Q&gt;EWD^PERCENT_CHANGE(FMA_EPS(+1,0,,,,"PORTAGG","MEAN"),FMA_EPS(+1,-1AM,,,,"PORTAGG","MEAN"))&lt;/Q&gt;&lt;R&gt;1&lt;/R&gt;&lt;C&gt;1&lt;/C&gt;&lt;D xsi:type="xsd:double"&gt;-1.22745811887267&lt;/D&gt;&lt;/FQL&gt;&lt;FQL&gt;&lt;Q&gt;NI-FDS^FG_PRICE_CHANGE(0,-3AM)&lt;/Q&gt;&lt;R&gt;1&lt;/R&gt;&lt;C&gt;1&lt;/C&gt;&lt;D xsi:type="xsd:double"&gt;2.38805970149254&lt;/D&gt;&lt;/FQL&gt;&lt;FQL&gt;&lt;Q&gt;URTH^FG_TOTAL_RETURNC(0,-1AM)&lt;/Q&gt;&lt;R&gt;1&lt;/R&gt;&lt;C&gt;1&lt;/C&gt;&lt;D xsi:type="xsd:double"&gt;4.6079874&lt;/D&gt;&lt;/FQL&gt;&lt;FQL&gt;&lt;Q&gt;SPY^FG_ROE(0)&lt;/Q&gt;&lt;R&gt;1&lt;/R&gt;&lt;C&gt;1&lt;/C&gt;&lt;D xsi:type="xsd:double"&gt;18.6244017960308&lt;/D&gt;&lt;/FQL&gt;&lt;FQL&gt;&lt;Q&gt;EWD^FMA_DIV_YLD(NTMA,NOW,NOW,M,"PORTAGG","MEANR")&lt;/Q&gt;&lt;R&gt;1&lt;/R&gt;&lt;C&gt;1&lt;/C&gt;&lt;D xsi:type="xsd:double"&gt;3.12328948102814&lt;/D&gt;&lt;/FQL&gt;&lt;FQL&gt;&lt;Q&gt;TRYID10Y-FDS^FG_YIELD(-10AY,0,Y,,"YTM")&lt;/Q&gt;&lt;R&gt;10&lt;/R&gt;&lt;C&gt;1&lt;/C&gt;&lt;D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xsi:type="xsd:double"&gt;6.498571&lt;/D&gt;&lt;/FQL&gt;&lt;FQL&gt;&lt;Q&gt;VWO^P_PRICE(0)/P_PRICE_HIGH_PR(0,,,,,,"PRICE","INTRA","52W")&lt;/Q&gt;&lt;R&gt;1&lt;/R&gt;&lt;C&gt;1&lt;/C&gt;&lt;D xsi:type="xsd:double"&gt;0.9644947&lt;/D&gt;&lt;/FQL&gt;&lt;FQL&gt;&lt;Q&gt;EWU^FG_ROE(0)&lt;/Q&gt;&lt;R&gt;1&lt;/R&gt;&lt;C&gt;1&lt;/C&gt;&lt;D xsi:type="xsd:double"&gt;13.8261325277146&lt;/D&gt;&lt;/FQL&gt;&lt;FQL&gt;&lt;Q&gt;W-FDS^FG_PRICE_CHANGE(0,-3AM)&lt;/Q&gt;&lt;R&gt;1&lt;/R&gt;&lt;C&gt;1&lt;/C&gt;&lt;D xsi:type="xsd:double"&gt;11.0855565777369&lt;/D&gt;&lt;/FQL&gt;&lt;FQL&gt;&lt;Q&gt;EWD^FMA_PE(NTMA,0,,,"PORTAGG","MEANR")&lt;/Q&gt;&lt;R&gt;1&lt;/R&gt;&lt;C&gt;1&lt;/C&gt;&lt;D xsi:type="xsd:double"&gt;16.3768621477604&lt;/D&gt;&lt;/FQL&gt;&lt;FQL&gt;&lt;Q&gt;VGK^P_PRICE(0)/P_PRICE_LOW_PR(0,,,,,,"PRICE","INTRA","52W")-1&lt;/Q&gt;&lt;R&gt;1&lt;/R&gt;&lt;C&gt;1&lt;/C&gt;&lt;D xsi:type="xsd:double"&gt;0.25753713&lt;/D&gt;&lt;/FQL&gt;&lt;FQL&gt;&lt;Q&gt;TRYPE10Y-FDS^FG_YIELD(-10AY,0,Y,,"YTM")&lt;/Q&gt;&lt;R&gt;10&lt;/R&gt;&lt;C&gt;1&lt;/C&gt;&lt;D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xsi:type="xsd:double"&gt;6.6087&lt;/D&gt;&lt;/FQL&gt;&lt;FQL&gt;&lt;Q&gt;QQQ^FMA_EVAL_EBIT(LTMA,NOW,NOW,M,"PORTAGG","MEANR")&lt;/Q&gt;&lt;R&gt;1&lt;/R&gt;&lt;C&gt;1&lt;/C&gt;&lt;D xsi:type="xsd:double"&gt;25.1711968245089&lt;/D&gt;&lt;/FQL&gt;&lt;FQL&gt;&lt;Q&gt;TRYEU10Y-FDS^FG_YIELD(-10AY,0,Y,,"YTM")&lt;/Q&gt;&lt;R&gt;10&lt;/R&gt;&lt;C&gt;1&lt;/C&gt;&lt;D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xsi:type="xsd:double"&gt;2.004&lt;/D&gt;&lt;/FQL&gt;&lt;FQL&gt;&lt;Q&gt;QQQ^PERCENT_CHANGE(FMA_EPS(+1,0,,,,"PORTAGG","MEAN"),FMA_EPS(+1,-1AM,,,,"PORTAGG","MEAN"))&lt;/Q&gt;&lt;R&gt;1&lt;/R&gt;&lt;C&gt;1&lt;/C&gt;&lt;D xsi:type="xsd:double"&gt;0.0152389138775051&lt;/D&gt;&lt;/FQL&gt;&lt;FQL&gt;&lt;Q&gt;BRENT-FDS^FG_PRICE_CHANGE(0,-1AM)&lt;/Q&gt;&lt;R&gt;1&lt;/R&gt;&lt;C&gt;1&lt;/C&gt;&lt;D xsi:type="xsd:double"&gt;0&lt;/D&gt;&lt;/FQL&gt;&lt;FQL&gt;&lt;Q&gt;TIOS-FDS^MAX(FG_PRICE(0,-5AY))&lt;/Q&gt;&lt;R&gt;1&lt;/R&gt;&lt;C&gt;1&lt;/C&gt;&lt;D xsi:type="xsd:double"&gt;219.77&lt;/D&gt;&lt;/FQL&gt;&lt;FQL&gt;&lt;Q&gt;EWL^JULIAN(FMA_DIV_YLD(NTMA,NOW,NOW,M,"PORTAGG","MEANR").DATES)&lt;/Q&gt;&lt;R&gt;1&lt;/R&gt;&lt;C&gt;1&lt;/C&gt;&lt;D xsi:type="xsd:long"&gt;45565&lt;/D&gt;&lt;/FQL&gt;&lt;FQL&gt;&lt;Q&gt;TIOS-FDS^FG_PRICE(0)/MAX(FG_PRICE(0,-1AY))&lt;/Q&gt;&lt;R&gt;1&lt;/R&gt;&lt;C&gt;1&lt;/C&gt;&lt;D xsi:type="xsd:double"&gt;0.733976137624861&lt;/D&gt;&lt;/FQL&gt;&lt;FQL&gt;&lt;Q&gt;EWU^P_PRICE(0)/P_PRICE_LOW_PR(0,,,,,,"PRICE","INTRA","52W")-1&lt;/Q&gt;&lt;R&gt;1&lt;/R&gt;&lt;C&gt;1&lt;/C&gt;&lt;D xsi:type="xsd:double"&gt;0.21366966&lt;/D&gt;&lt;/FQL&gt;&lt;FQL&gt;&lt;Q&gt;USDITL^FG_COMPANY_NAME&lt;/Q&gt;&lt;R&gt;1&lt;/R&gt;&lt;C&gt;1&lt;/C&gt;&lt;D xsi:type="xsd:string"&gt;Italian Lira per U.S. Dollar&lt;/D&gt;&lt;/FQL&gt;&lt;FQL&gt;&lt;Q&gt;EWU^PERCENT_CHANGE(FMA_EPS(+1,0,,,,"PORTAGG","MEAN"),FMA_EPS(+1,-3AM,,,,"PORTAGG","MEAN"))&lt;/Q&gt;&lt;R&gt;1&lt;/R&gt;&lt;C&gt;1&lt;/C&gt;&lt;D xsi:type="xsd:double"&gt;0.0971836162232341&lt;/D&gt;&lt;/FQL&gt;&lt;FQL&gt;&lt;Q&gt;EWJ^FMA_DIV_YLD(NTMA,NOW,NOW,M,"PORTAGG","MEANR")&lt;/Q&gt;&lt;R&gt;1&lt;/R&gt;&lt;C&gt;1&lt;/C&gt;&lt;D xsi:type="xsd:double"&gt;2.46283559316199&lt;/D&gt;&lt;/FQL&gt;&lt;FQL&gt;&lt;Q&gt;EWG^FMA_PE(NTMA,0,,,"PORTAGG","MEANR")&lt;/Q&gt;&lt;R&gt;1&lt;/R&gt;&lt;C&gt;1&lt;/C&gt;&lt;D xsi:type="xsd:double"&gt;12.7094869372742&lt;/D&gt;&lt;/FQL&gt;&lt;FQL&gt;&lt;Q&gt;EWU^FMA_PCT_ABOVE_MAVG(200,0,,,,"PORTAGG")&lt;/Q&gt;&lt;R&gt;1&lt;/R&gt;&lt;C&gt;1&lt;/C&gt;&lt;D xsi:type="xsd:double"&gt;60.2564102564103&lt;/D&gt;&lt;/FQL&gt;&lt;FQL&gt;&lt;Q&gt;REFCATARG-FDS^(SUBARRAY(NOT_NA(NO_REPEAT_F(FG_YIELD(NOW,-10AY,D))),0,1)-SUBARRAY(NOT_NA(NO_REPEAT_F(FG_YIELD(NOW,-10AY,D))),1,1))*100&lt;/Q&gt;&lt;R&gt;1&lt;/R&gt;&lt;C&gt;1&lt;/C&gt;&lt;D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xsi:type="xsd:double"&gt;-25&lt;/D&gt;&lt;/FQL&gt;&lt;FQL&gt;&lt;Q&gt;EWG^JULIAN(FMA_DIV_YLD(NTMA,NOW,NOW,M,"PORTAGG","MEANR").DATES)&lt;/Q&gt;&lt;R&gt;1&lt;/R&gt;&lt;C&gt;1&lt;/C&gt;&lt;D xsi:type="xsd:long"&gt;45565&lt;/D&gt;&lt;/FQL&gt;&lt;FQL&gt;&lt;Q&gt;SPY^FG_PRICE_MAVG(0,,,,200)&lt;/Q&gt;&lt;R&gt;1&lt;/R&gt;&lt;C&gt;1&lt;/C&gt;&lt;D xsi:type="xsd:double"&gt;526.03314&lt;/D&gt;&lt;/FQL&gt;&lt;FQL&gt;&lt;Q&gt;TRYNL10Y-FDS^PCTCHG(FG_YIELD(0,,,,"YTM"),FG_YIELD(-3AM,,,,"YTM"))&lt;/Q&gt;&lt;R&gt;1&lt;/R&gt;&lt;C&gt;1&lt;/C&gt;&lt;D xsi:type="xsd:double"&gt;-8.974361&lt;/D&gt;&lt;/FQL&gt;&lt;FQL&gt;&lt;Q&gt;EWC^FMA_EVAL_EBIT(LTMA,NOW,NOW,M,"PORTAGG","MEANR")&lt;/Q&gt;&lt;R&gt;1&lt;/R&gt;&lt;C&gt;1&lt;/C&gt;&lt;D xsi:type="xsd:double"&gt;16.2947016357705&lt;/D&gt;&lt;/FQL&gt;&lt;FQL&gt;&lt;Q&gt;SPY^FG_PRICE_MAVG(0,,,,60)&lt;/Q&gt;&lt;R&gt;1&lt;/R&gt;&lt;C&gt;1&lt;/C&gt;&lt;D xsi:type="xsd:double"&gt;554.7865&lt;/D&gt;&lt;/FQL&gt;&lt;FQL&gt;&lt;Q&gt;ENZL^FMA_EVAL_EBITDA(NTMA,0,,,"PORTAGG","MEANR")&lt;/Q&gt;&lt;R&gt;1&lt;/R&gt;&lt;C&gt;1&lt;/C&gt;&lt;D xsi:type="xsd:double"&gt;12.8163170503874&lt;/D&gt;&lt;/FQL&gt;&lt;FQL&gt;&lt;Q&gt;USDJPY^FG_PRICE_CHANGE(0,-1AY)&lt;/Q&gt;&lt;R&gt;1&lt;/R&gt;&lt;C&gt;1&lt;/C&gt;&lt;D xsi:type="xsd:double"&gt;-0.07390976&lt;/D&gt;&lt;/FQL&gt;&lt;FQL&gt;&lt;Q&gt;EWA^FG_TOTAL_RETURNC(0,-1AM)&lt;/Q&gt;&lt;R&gt;1&lt;/R&gt;&lt;C&gt;1&lt;/C&gt;&lt;D xsi:type="xsd:double"&gt;3.4184575&lt;/D&gt;&lt;/FQL&gt;&lt;FQL&gt;&lt;Q&gt;TRYCH10Y-FDS^PCTCHG(FG_YIELD(0,,,,"YTM"),FG_YIELD(-3AM,,,,"YTM"))&lt;/Q&gt;&lt;R&gt;1&lt;/R&gt;&lt;C&gt;1&lt;/C&gt;&lt;D xsi:type="xsd:double"&gt;-11.696867&lt;/D&gt;&lt;/FQL&gt;&lt;FQL&gt;&lt;Q&gt;USDEUR^FG_COMPANY_NAME&lt;/Q&gt;&lt;R&gt;1&lt;/R&gt;&lt;C&gt;1&lt;/C&gt;&lt;D xsi:type="xsd:string"&gt;Euro per U.S. Dollar&lt;/D&gt;&lt;/FQL&gt;&lt;FQL&gt;&lt;Q&gt;EWU^FG_PRICE_MAVG(0,,,,30)&lt;/Q&gt;&lt;R&gt;1&lt;/R&gt;&lt;C&gt;1&lt;/C&gt;&lt;D xsi:type="xsd:double"&gt;37.044334&lt;/D&gt;&lt;/FQL&gt;&lt;FQL&gt;&lt;Q&gt;EWI^FMA_COS_DOWN("EPS","1M",+1,0,,,"PORTAGG","MEANR")&lt;/Q&gt;&lt;R&gt;1&lt;/R&gt;&lt;C&gt;1&lt;/C&gt;&lt;D xsi:type="xsd:double"&gt;11&lt;/D&gt;&lt;/FQL&gt;&lt;FQL&gt;&lt;Q&gt;TRYCH10Y-FDS^PCTCHG(FG_YIELD(0,,,,"YTM"),FG_YIELD(-1AM,,,,"YTM"))&lt;/Q&gt;&lt;R&gt;1&lt;/R&gt;&lt;C&gt;1&lt;/C&gt;&lt;D xsi:type="xsd:double"&gt;18.322296&lt;/D&gt;&lt;/FQL&gt;&lt;FQL&gt;&lt;Q&gt;EWI^FMA_COS_UP("EPS","1M",+1,0,,,"PORTAGG","MEANR")&lt;/Q&gt;&lt;R&gt;1&lt;/R&gt;&lt;C&gt;1&lt;/C&gt;&lt;D xsi:type="xsd:double"&gt;7&lt;/D&gt;&lt;/FQL&gt;&lt;FQL&gt;&lt;Q&gt;EWJ^FG_TOTAL_RETURNC(-10AY,0,AM)&lt;/Q&gt;&lt;R&gt;121&lt;/R&gt;&lt;C&gt;1&lt;/C&gt;&lt;D xsi:type="xsd:double"&gt;-7.0826235&lt;/D&gt;&lt;D xsi:type="xsd:double"&gt;5.8076143&lt;/D&gt;&lt;D xsi:type="xsd:double"&gt;-1.886797&lt;/D&gt;&lt;D xsi:type="xsd:double"&gt;-2.1372557&lt;/D&gt;&lt;D xsi:type="xsd:double"&gt;5.0314426&lt;/D&gt;&lt;D xsi:type="xsd:double"&gt;3.4217358&lt;/D&gt;&lt;D xsi:type="xsd:double"&gt;7.0305943&lt;/D&gt;&lt;D xsi:type="xsd:double"&gt;1.5455961&lt;/D&gt;&lt;D xsi:type="xsd:double"&gt;-1.2937605&lt;/D&gt;&lt;D xsi:type="xsd:double"&gt;-1.8976688&lt;/D&gt;&lt;D xsi:type="xsd:double"&gt;3.7124872&lt;/D&gt;&lt;D xsi:type="xsd:double"&gt;-10.662609&lt;/D&gt;&lt;D xsi:type="xsd:double"&gt;3.1543136&lt;/D&gt;&lt;D xsi:type="xsd:double"&gt;3.1404853&lt;/D&gt;&lt;D xsi:type="xsd:double"&gt;-2.2435904&lt;/D&gt;&lt;D xsi:type="xsd:double"&gt;-5.5468616&lt;/D&gt;&lt;D xsi:type="xsd:double"&gt;-7.954544&lt;/D&gt;&lt;D xsi:type="xsd:double"&gt;6.6476703&lt;/D&gt;&lt;D xsi:type="xsd:double"&gt;0.89046955&lt;/D&gt;&lt;D xsi:type="xsd:double"&gt;4.324794&lt;/D&gt;&lt;D xsi:type="xsd:double"&gt;-1.4382422&lt;/D&gt;&lt;D xsi:type="xsd:double"&gt;0.10136366&lt;/D&gt;&lt;D xsi:type="xsd:double"&gt;6.309426&lt;/D&gt;&lt;D xsi:type="xsd:double"&gt;0.2439022&lt;/D&gt;&lt;D xsi:type="xsd:double"&gt;1.2976527&lt;/D&gt;&lt;D xsi:type="xsd:double"&gt;-1.0608435&lt;/D&gt;&lt;D xsi:type="xsd:double"&gt;3.6819696&lt;/D&gt;&lt;D xsi:type="xsd:double"&gt;-0.663048&lt;/D&gt;&lt;D xsi:type="xsd:double"&gt;2.1065235&lt;/D&gt;&lt;D xsi:type="xsd:double"&gt;-0.07785559&lt;/D&gt;&lt;D xsi:type="xsd:double"&gt;-0.7596433&lt;/D&gt;&lt;D xsi:type="xsd:double"&gt;2.8066754&lt;/D&gt;&lt;D xsi:type="xsd:double"&gt;3.264606&lt;/D&gt;&lt;D xsi:type="xsd:double"&gt;-1.6816497&lt;/D&gt;&lt;D xsi:type="xsd:double"&gt;2.4791837&lt;/D&gt;&lt;D xsi:type="xsd:double"&gt;1.5143156&lt;/D&gt;&lt;D xsi:type="xsd:double"&gt;2.710569&lt;/D&gt;&lt;D xsi:type="xsd:double"&gt;4.64046&lt;/D&gt;&lt;D xsi:type="xsd:double"&gt;0.88015795&lt;/D&gt;&lt;D xsi:type="xsd:double"&gt;6.1427116&lt;/D&gt;&lt;D xsi:type="xsd:double"&gt;-5.9993625&lt;/D&gt;&lt;D xsi:type="xsd:double"&gt;2.623999&lt;/D&gt;&lt;D xsi:type="xsd:double"&gt;-0.23094416&lt;/D&gt;&lt;D xsi:type="xsd:double"&gt;0.56216717&lt;/D&gt;&lt;D xsi:type="xsd:double"&gt;0.032889843&lt;/D&gt;&lt;D xsi:type="xsd:double"&gt;-4.3023825&lt;/D&gt;&lt;D xsi:type="xsd:double"&gt;-0.46737194&lt;/D&gt;&lt;D xsi:type="xsd:double"&gt;-1.2173951&lt;/D&gt;&lt;D xsi:type="xsd:double"&gt;1.4788747&lt;/D&gt;&lt;D xsi:type="xsd:double"&gt;-4.406661&lt;/D&gt;&lt;D xsi:type="xsd:double"&gt;-3.575313&lt;/D&gt;&lt;D xsi:type="xsd:double"&gt;1.4015079&lt;/D&gt;&lt;D xsi:type="xsd:double"&gt;-1.3655066&lt;/D&gt;&lt;D xsi:type="xsd:double"&gt;1.175797&lt;/D&gt;&lt;D xsi:type="xsd:double"&gt;2.9990673&lt;/D&gt;&lt;D xsi:ty</t>
        </r>
      </text>
    </comment>
    <comment ref="A15" authorId="0" shapeId="0" xr:uid="{CFC971E7-E1B1-401E-8B76-A175292123E2}">
      <text>
        <r>
          <rPr>
            <b/>
            <sz val="9"/>
            <color indexed="81"/>
            <rFont val="Tahoma"/>
            <charset val="1"/>
          </rPr>
          <t>pe="xsd:double"&gt;-1.6014576&lt;/D&gt;&lt;D xsi:type="xsd:double"&gt;1.0357022&lt;/D&gt;&lt;D xsi:type="xsd:double"&gt;1.535964&lt;/D&gt;&lt;D xsi:type="xsd:double"&gt;-2.5468469&lt;/D&gt;&lt;D xsi:type="xsd:double"&gt;3.3227563&lt;/D&gt;&lt;D xsi:type="xsd:double"&gt;1.9873619&lt;/D&gt;&lt;D xsi:type="xsd:double"&gt;6.1647415&lt;/D&gt;&lt;D xsi:type="xsd:double"&gt;0.60070753&lt;/D&gt;&lt;D xsi:type="xsd:double"&gt;-0.10475516&lt;/D&gt;&lt;D xsi:type="xsd:double"&gt;-0.20161271&lt;/D&gt;&lt;D xsi:type="xsd:double"&gt;-13.451183&lt;/D&gt;&lt;D xsi:type="xsd:double"&gt;-2.003497&lt;/D&gt;&lt;D xsi:type="xsd:double"&gt;3.890431&lt;/D&gt;&lt;D xsi:type="xsd:double"&gt;9.992361&lt;/D&gt;&lt;D xsi:type="xsd:double"&gt;-2.314949&lt;/D&gt;&lt;D xsi:type="xsd:double"&gt;0.8603692&lt;/D&gt;&lt;D xsi:type="xsd:double"&gt;2.7190328&lt;/D&gt;&lt;D xsi:type="xsd:double"&gt;2.8719664&lt;/D&gt;&lt;D xsi:type="xsd:double"&gt;6.104946&lt;/D&gt;&lt;D xsi:type="xsd:double"&gt;4.3112993&lt;/D&gt;&lt;D xsi:type="xsd:double"&gt;5.7005286&lt;/D&gt;&lt;D xsi:type="xsd:double"&gt;2.0926476&lt;/D&gt;&lt;D xsi:type="xsd:double"&gt;-3.3361614&lt;/D&gt;&lt;D xsi:type="xsd:double"&gt;1.8865228&lt;/D&gt;&lt;D xsi:type="xsd:double"&gt;-1.0765016&lt;/D&gt;&lt;D xsi:type="xsd:double"&gt;0.52939653&lt;/D&gt;&lt;D xsi:type="xsd:double"&gt;-0.5088687&lt;/D&gt;&lt;D xsi:type="xsd:double"&gt;-0.8914232&lt;/D&gt;&lt;D xsi:type="xsd:double"&gt;7.3577046&lt;/D&gt;&lt;D xsi:type="xsd:double"&gt;-6.7985115&lt;/D&gt;&lt;D xsi:type="xsd:double"&gt;1.208365&lt;/D&gt;&lt;D xsi:type="xsd:double"&gt;-0.36400557&lt;/D&gt;&lt;D xsi:type="xsd:double"&gt;-1.5152812&lt;/D&gt;&lt;D xsi:type="xsd:double"&gt;-3.052169&lt;/D&gt;&lt;D xsi:type="xsd:double"&gt;-7.7233315&lt;/D&gt;&lt;D xsi:type="xsd:double"&gt;-0.11764765&lt;/D&gt;&lt;D xsi:type="xsd:double"&gt;-7.1681023&lt;/D&gt;&lt;D xsi:type="xsd:double"&gt;0.2828002&lt;/D&gt;&lt;D xsi:type="xsd:double"&gt;-1.9529104&lt;/D&gt;&lt;D xsi:type="xsd:double"&gt;4.8213005&lt;/D&gt;&lt;D xsi:type="xsd:double"&gt;-5.753863&lt;/D&gt;&lt;D xsi:type="xsd:double"&gt;-6.519687&lt;/D&gt;&lt;D xsi:type="xsd:double"&gt;8.586979&lt;/D&gt;&lt;D xsi:type="xsd:double"&gt;2.580285&lt;/D&gt;&lt;D xsi:type="xsd:double"&gt;-0.68457127&lt;/D&gt;&lt;D xsi:type="xsd:double"&gt;6.135869&lt;/D&gt;&lt;D xsi:type="xsd:double"&gt;-2.3055732&lt;/D&gt;&lt;D xsi:type="xsd:double"&gt;1.6026735&lt;/D&gt;&lt;D xsi:type="xsd:double"&gt;3.5534859&lt;/D&gt;&lt;D xsi:type="xsd:double"&gt;4.8865914&lt;/D&gt;&lt;D xsi:type="xsd:double"&gt;-1.0768294&lt;/D&gt;&lt;D xsi:type="xsd:double"&gt;-0.12997389&lt;/D&gt;&lt;D xsi:type="xsd:double"&gt;0.22774935&lt;/D&gt;&lt;D xsi:type="xsd:double"&gt;-2.0775855&lt;/D&gt;&lt;D xsi:type="xsd:double"&gt;0.2320528&lt;/D&gt;&lt;D xsi:type="xsd:double"&gt;3.8200736&lt;/D&gt;&lt;D xsi:type="xsd:double"&gt;5.350864&lt;/D&gt;&lt;D xsi:type="xsd:double"&gt;2.1619081&lt;/D&gt;&lt;D xsi:type="xsd:double"&gt;6.828761&lt;/D&gt;&lt;D xsi:type="xsd:double"&gt;-2.5288045&lt;/D&gt;&lt;D xsi:type="xsd:double"&gt;-2.0611107&lt;/D&gt;&lt;D xsi:type="xsd:double"&gt;2.0456195&lt;/D&gt;&lt;D xsi:type="xsd:double"&gt;3.5660744&lt;/D&gt;&lt;D xsi:type="xsd:double"&gt;-8.291239&lt;/D&gt;&lt;D xsi:type="xsd:double"&gt;5.7671666&lt;/D&gt;&lt;D xsi:type="xsd:double"&gt;2.5455594&lt;/D&gt;&lt;/FQL&gt;&lt;FQL&gt;&lt;Q&gt;EWG^FG_PRICE_MAVG(0,,,,30)&lt;/Q&gt;&lt;R&gt;1&lt;/R&gt;&lt;C&gt;1&lt;/C&gt;&lt;D xsi:type="xsd:double"&gt;32.711&lt;/D&gt;&lt;/FQL&gt;&lt;FQL&gt;&lt;Q&gt;EWD^SIZE(FG_CONSTITUENTS)&lt;/Q&gt;&lt;R&gt;1&lt;/R&gt;&lt;C&gt;1&lt;/C&gt;&lt;D xsi:type="xsd:long"&gt;46&lt;/D&gt;&lt;/FQL&gt;&lt;FQL&gt;&lt;Q&gt;TRYJP10Y-FDS^PCTCHG(FG_YIELD(0,,,,"YTM"),FG_YIELD(-1AM,,,,"YTM"))&lt;/Q&gt;&lt;R&gt;1&lt;/R&gt;&lt;C&gt;1&lt;/C&gt;&lt;D xsi:type="xsd:double"&gt;6.145379&lt;/D&gt;&lt;/FQL&gt;&lt;FQL&gt;&lt;Q&gt;EWI^FMA_PE(NTMA,-10AY,0,AM,"PORTAGG","MEANR")&lt;/Q&gt;&lt;R&gt;121&lt;/R&gt;&lt;C&gt;1&lt;/C&gt;&lt;D xsi:type="xsd:double"&gt;12.5150407256355&lt;/D&gt;&lt;D xsi:type="xsd:double"&gt;12.6206693180333&lt;/D&gt;&lt;D xsi:type="xsd:double"&gt;12.5740286976033&lt;/D&gt;&lt;D xsi:type="xsd:double"&gt;11.756665961576&lt;/D&gt;&lt;D xsi:type="xsd:double"&gt;14.2153473112465&lt;/D&gt;&lt;D xsi:type="xsd:double"&gt;15.339468296974&lt;/D&gt;&lt;D xsi:type="xsd:double"&gt;16.2389306829032&lt;/D&gt;&lt;D xsi:type="xsd:double"&gt;15.9223150080423&lt;/D&gt;&lt;D xsi:type="xsd:double"&gt;15.3733418065792&lt;/D&gt;&lt;D xsi:type="xsd:double"&gt;14.9774261091662&lt;/D&gt;&lt;D xsi:type="xsd:double"&gt;15.7992185551422&lt;/D&gt;&lt;D xsi:type="xsd:double"&gt;14.428303296298&lt;/D&gt;&lt;D xsi:type="xsd:double"&gt;14.5971735812116&lt;/D&gt;&lt;D xsi:type="xsd:double"&gt;14.8362245018059&lt;/D&gt;&lt;D xsi:type="xsd:double"&gt;14.108721556386&lt;/D&gt;&lt;D xsi:type="xsd:double"&gt;13.4042798846598&lt;/D&gt;&lt;D xsi:type="xsd:double"&gt;12.0181966782888&lt;/D&gt;&lt;D xsi:type="xsd:double"&gt;13.0957963399957&lt;/D&gt;&lt;D xsi:type="xsd:double"&gt;12.6813197580793&lt;/D&gt;&lt;D xsi:type="xsd:double"&gt;13.2900939188617&lt;/D&gt;&lt;D xsi:type="xsd:double"&gt;12.4906733518375&lt;/D&gt;&lt;D xsi:type="xsd:double"&gt;11.7116234840266&lt;/D&gt;&lt;D xsi:type="xsd:double"&gt;12.6702263143593&lt;/D&gt;&lt;D xsi:type="xsd:double"&gt;12.4798024463263&lt;/D&gt;&lt;D xsi:type="xsd:double"&gt;11.8635518850828&lt;/D&gt;&lt;D xsi:type="xsd:double"&gt;11.9012482434409&lt;/D&gt;&lt;D xsi:type="xsd:double"&gt;12.8113917756079&lt;/D&gt;&lt;D xsi:type="xsd:double"&gt;13.4584972360424&lt;/D&gt;&lt;D xsi:type="xsd:double"&gt;13.0473965591938&lt;/D&gt;&lt;D xsi:type="xsd:double"&gt;13.2863042680179&lt;/D&gt;&lt;D xsi:type="xsd:double"&gt;13.2603834923378&lt;/D&gt;&lt;D xsi:type="xsd:double"&gt;13.8730257202493&lt;/D&gt;&lt;D xsi:type="xsd:double"&gt;13.3966175320939&lt;/D&gt;&lt;D xsi:type="xsd:double"&gt;13.3365664558014&lt;/D&gt;&lt;D xsi:type="xsd:double"&gt;13.3510423507991&lt;/D&gt;&lt;D xsi:type="xsd:double"&gt;13.2217932020195&lt;/D&gt;&lt;D xsi:type="xsd:double"&gt;13.5257799418181&lt;/D&gt;&lt;D xsi:type="xsd:double"&gt;13.4460005963658&lt;/D&gt;&lt;D xsi:type="xsd:double"&gt;13.6153240806097&lt;/D&gt;&lt;D xsi:type="xsd:double"&gt;13.5474293552179&lt;/D&gt;&lt;D xsi:type="xsd:double"&gt;12.426312143247&lt;/D&gt;&lt;D xsi:type="xsd:double"&gt;12.717101374817&lt;/D&gt;&lt;D xsi:type="xsd:double"&gt;12.8063517598911&lt;/D&gt;&lt;D xsi:type="xsd:double"&gt;12.9554181077193&lt;/D&gt;&lt;D xsi:type="xsd:double"&gt;11.2683715804612&lt;/D&gt;&lt;D xsi:type="xsd:double"&gt;11.5525665236616&lt;/D&gt;&lt;D xsi:type="xsd:double"&gt;11.0899770874372&lt;/D&gt;&lt;D xsi:type="xsd:double"&gt;10.7713033877376&lt;/D&gt;&lt;D xsi:type="xsd:double"&gt;10.1207189686206&lt;/D&gt;&lt;D xsi:type="xsd:double"&gt;9.83250022460173&lt;/D&gt;&lt;D xsi:type="xsd:double"&gt;9.16166130077935&lt;/D&gt;&lt;D xsi:type="xsd:double"&gt;9.69762440188321&lt;/D&gt;&lt;D xsi:type="xsd:double"&gt;9.99092706255107&lt;/D&gt;&lt;D xsi:type="xsd:double"&gt;10.3975860967619&lt;/D&gt;&lt;D xsi:type="xsd:double"&gt;10.8644073661267&lt;/D&gt;&lt;D xsi:type="xsd:double"&gt;10.3914402393696&lt;/D&gt;&lt;D xsi:type="xsd:double"&gt;10.0853939624569&lt;/D&gt;&lt;D xsi:type="xsd:double"&gt;10.858635052776&lt;/D&gt;&lt;D xsi:type="xsd:double"&gt;10.0179679863687&lt;/D&gt;&lt;D xsi:type="xsd:double"&gt;10.7312262641165&lt;/D&gt;&lt;D xsi:type="xsd:double"&gt;10.667464951275&lt;/D&gt;&lt;D xsi:type="xsd:double"&gt;11.4298489679783&lt;/D&gt;&lt;D xsi:type="xsd:double"&gt;11.2100286920671&lt;/D&gt;&lt;D xsi:type="xsd:double"&gt;11.6285504676505&lt;/D&gt;&lt;D xsi:type="xsd:double"&gt;11.7226772500211&lt;/D&gt;&lt;D xsi:type="xsd:double"&gt;8.66438396476684&lt;/D&gt;&lt;D xsi:type="xsd:double"&gt;10.5489472602225&lt;/D&gt;&lt;D xsi:type="xsd:double"&gt;14.9309526958178&lt;/D&gt;&lt;D xsi:type="xsd:double"&gt;17.8769843180657&lt;/D&gt;&lt;D xsi:type="xsd:double"&gt;17.324407478027&lt;/D&gt;&lt;D xsi:type="xsd:double"&gt;16.3781761402296&lt;/D&gt;&lt;D xsi:type="xsd:double"&gt;15.7540571093249&lt;/D&gt;&lt;D xsi:type="xsd:double"&gt;14.8153885346636&lt;/D&gt;&lt;D xsi:type="xsd:double"&gt;14.8575584806386&lt;/D&gt;&lt;D xsi:type="xsd:double"&gt;14.9854578151455&lt;/D&gt;&lt;D xsi:type="xsd:double"&gt;15.0167002089039&lt;/D&gt;&lt;D xsi:type="xsd:double"&gt;14.2696095258758&lt;/D&gt;&lt;D xsi:type="xsd:double"&gt;13.9279661520855&lt;/D&gt;&lt;D xsi:type="xsd:double"&gt;13.8515871782921&lt;/D&gt;&lt;D xsi:type="xsd:double"&gt;13.4786441963724&lt;/D&gt;&lt;D xsi:type="xsd:double"&gt;13.7923914123513&lt;/D&gt;&lt;D xsi:type="xsd:double"&gt;13.1343794703468&lt;/D&gt;&lt;D xsi:type="xsd:double"&gt;12.2973172087964&lt;/D&gt;&lt;D xsi:type="xsd:double"&gt;11.7191175863183&lt;/D&gt;&lt;D xsi:type="xsd:double"&gt;11.7237165099123&lt;/D&gt;&lt;D xsi:type="xsd:double"&gt;11.7733899670364&lt;/D&gt;&lt;D xsi:type="xsd:double"&gt;10.8563034542595&lt;/D&gt;&lt;D xsi:type="xsd:double"&gt;11.120055439398&lt;/D&gt;&lt;D xsi:type="xsd:double"&gt;10.7669794571868&lt;/D&gt;&lt;D xsi:type="xsd:double"&gt;9.09409105980042&lt;/D&gt;&lt;D xsi:type="xsd:double"&gt;9.73151016829227&lt;/D&gt;&lt;D xsi:type="xsd:double"&gt;8.87093755375707&lt;/D&gt;&lt;D xsi:type="xsd:double"&gt;8.16454429223532&lt;/D&gt;&lt;D xsi:type="xsd:double"&gt;7.85446561093793&lt;/D&gt;&lt;D xsi:type="xsd:double"&gt;7.74322753573649&lt;/D&gt;&lt;D xsi:type="xsd:double"&gt;7.64621193624032&lt;/D&gt;&lt;D xsi:type="xsd:double"&gt;7.29609550588043&lt;/D&gt;&lt;D xsi:type="xsd:double"&gt;8.26876834268669&lt;/D&gt;&lt;D xsi:type="xsd:double"&gt;7.79105088578293&lt;/D&gt;&lt;D xsi:type="xsd:double"&gt;8.09774903377811&lt;/D&gt;&lt;D xsi:type="xsd:double"&gt;8.40013224155108&lt;/D&gt;&lt;D xsi:type="xsd:double"&gt;8.55951059201857&lt;/D&gt;&lt;D xsi:type="xsd:double"&gt;8.56086607716784&lt;/D&gt;&lt;D xsi:type="xsd:double"&gt;8.35698049009702&lt;/D&gt;&lt;D xsi:type="xsd:double"&gt;8.5631520822216&lt;/D&gt;&lt;D xsi:type="xsd:double"&gt;8.65492703274962&lt;/D&gt;&lt;D xsi:type="xsd:double"&gt;8.36623676477381&lt;/D&gt;&lt;D xsi:type="xsd:double"&gt;8.36290335027775&lt;/D&gt;&lt;D xsi:type="xsd:double"&gt;8.23813107292956&lt;/D&gt;&lt;D xsi:type="xsd:double"&gt;8.0912472326038&lt;/D&gt;&lt;D xsi:type="xsd:double"&gt;8.8204313965182&lt;/D&gt;&lt;D xsi:type="xsd:double"&gt;8.95543076948979&lt;/D&gt;&lt;D xsi:type="xsd:double"&gt;9.00917528445175&lt;/D&gt;&lt;D xsi:type="xsd:double"&gt;9.46602074492989&lt;/D&gt;&lt;D xsi:type="xsd:double"&gt;9.57716578150729&lt;/D&gt;&lt;D xsi:type="xsd:double"&gt;9.77203719387444&lt;/D&gt;&lt;D xsi:type="xsd:double"&gt;9.69590950910731&lt;/D&gt;&lt;D xsi:type="xsd:double"&gt;9.63753141840578&lt;/D&gt;&lt;D xsi:type="xsd:double"&gt;9.22560607350545&lt;/D&gt;&lt;D xsi:type="xsd:double"&gt;9.82493409721451&lt;/D&gt;&lt;D xsi:type="xsd:double"&gt;10.2748890249973&lt;/D&gt;&lt;/FQL&gt;&lt;FQL&gt;&lt;Q&gt;CC_AU^IMF_IFS_RCPI_Q(0)&lt;/Q&gt;&lt;R&gt;0&lt;/R&gt;&lt;C&gt;0&lt;/C&gt;&lt;/FQL&gt;&lt;FQL&gt;&lt;Q&gt;EWN^FMA_COS_UP("EPS","1M",+1,0,,,"PORTAGG","MEANR")&lt;/Q&gt;&lt;R&gt;1&lt;/R&gt;&lt;C&gt;1&lt;/C&gt;&lt;D xsi:type="xsd:double"&gt;18&lt;/D&gt;&lt;/FQL&gt;&lt;FQL&gt;&lt;Q&gt;SPY^FMA_PE(NTMA,-10AY,0,AM,"PORTAGG","MEANR")&lt;/Q&gt;&lt;R&gt;121&lt;/R&gt;&lt;C&gt;1&lt;/C&gt;&lt;D xsi:type="xsd:double"&gt;14.5264828399597&lt;/D&gt;&lt;D xsi:type="xsd:double"&gt;15.6212778680375&lt;/D&gt;&lt;D xsi:type="xsd:double"&gt;15.6155042719028&lt;/D&gt;&lt;D xsi:type="xsd:double"&gt;16.0157856576161&lt;/D&gt;&lt;D xsi:type="xsd:double"&gt;16.6247760315643&lt;/D&gt;&lt;D xsi:type="xsd:double"&gt;16.3764422177725&lt;/D&gt;&lt;D xsi:type="xsd:double"&gt;16.7506179803448&lt;/D&gt;&lt;D xsi:type="xsd:double"&gt;16.7257895760468&lt;/D&gt;&lt;D xsi:type="xsd:double"&gt;16.4871849853125&lt;/D&gt;&lt;D xsi:type="xsd:double"&gt;16.1845842710819&lt;/D&gt;&lt;D xsi:type="xsd:double"&gt;16.4216608838767&lt;/D&gt;&lt;D xsi:type="xsd:double"&gt;15.2122024744462&lt;/D&gt;&lt;D xsi:type="xsd:double"&gt;15.7512636421626&lt;/D&gt;&lt;D xsi:type="xsd:double"&gt;16.3183756139558&lt;/D&gt;&lt;D xsi:type="xsd:double"&gt;16.0241529691063&lt;/D&gt;&lt;D xsi:type="xsd:double"&gt;15.0775332321664&lt;/D&gt;&lt;D xsi:type="xsd:double"&gt;15.5099438140132&lt;/D&gt;&lt;D xsi:type="xsd:double"&gt;15.5167363536305&lt;/D&gt;&lt;D xsi:type="xsd:double"&gt;16.5004635460184&lt;/D&gt;&lt;D xsi:type="xsd:double"&gt;16.5226770167304&lt;/D&gt;&lt;D xsi:type="xsd:double"&gt;16.5332547025517&lt;/D&gt;&lt;D xsi:type="xsd:double"&gt;16.7435056681132&lt;/D&gt;&lt;D xsi:type="xsd:double"&gt;16.9375795704724&lt;/D&gt;&lt;D xsi:type="xsd:double"&gt;16.443516067559&lt;/D&gt;&lt;D xsi:type="xsd:double"&gt;16.5862620304792&lt;/D&gt;&lt;D xsi:type="xsd:double"&gt;16.5555804623253&lt;/D&gt;&lt;D xsi:type="xsd:double"&gt;17.0817729331739&lt;/D&gt;&lt;D xsi:type="xsd:double"&gt;16.9697942058087&lt;/D&gt;&lt;D xsi:type="xsd:double"&gt;17.3573135161618&lt;/D&gt;&lt;D xsi:type="xsd:double"&gt;17.6868555093764&lt;/D&gt;&lt;D xsi:type="xsd:double"&gt;17.4133914599075&lt;/D&gt;&lt;D xsi:type="xsd:double"&gt;17.4991173197885&lt;/D&gt;&lt;D xsi:type="xsd:double"&gt;17.5892922074256&lt;/D&gt;&lt;D xsi:type="xsd:double"&gt;17.4054344167655&lt;/D&gt;&lt;D xsi:type="xsd:double"&gt;17.3585222613669&lt;/D&gt;&lt;D xsi:type="xsd:double"&gt;17.3913767300967&lt;/D&gt;&lt;D xsi:type="xsd:double"&gt;17.9049788451276&lt;/D&gt;&lt;D xsi:type="xsd:double"&gt;17.9158166017304&lt;/D&gt;&lt;D xsi:type="xsd:double"&gt;18.2138627069661&lt;/D&gt;&lt;D xsi:type="xsd:double"&gt;18.2066242672741&lt;/D&gt;&lt;D xsi:type="xsd:double"&gt;16.4319397139113&lt;/D&gt;&lt;D xsi:type="xsd:double"&gt;17.2975432074564&lt;/D&gt;&lt;D xsi:type="xsd:double"&gt;16.3543796742198&lt;/D&gt;&lt;D xsi:type="xsd:double"&gt;16.445288692128&lt;/D&gt;&lt;D xsi:type="xsd:double"&gt;16.579407296592&lt;/D&gt;&lt;D xsi:type="xsd:double"&gt;16.5174561345802&lt;/D&gt;&lt;D xsi:type="xsd:double"&gt;16.5026574691152&lt;/D&gt;&lt;D xsi:type="xsd:double"&gt;16.6127008066782&lt;/D&gt;&lt;D xsi:type="xsd:double"&gt;15.9889105023371&lt;/D&gt;&lt;D xsi:type="xsd:double"&gt;15.8933845224029&lt;/D&gt;&lt;D xsi:type="xsd:double"&gt;15.0512357818536&lt;/D&gt;&lt;D xsi:type="xsd:double"&gt;15.0717494759239&lt;/D&gt;&lt;D xsi:type="xsd:double"&gt;15.786380009013&lt;/D&gt;&lt;D xsi:type="xsd:double"&gt;15.9448451738587&lt;/D&gt;&lt;D xsi:type="xsd:double"&gt;16.7361052706907&lt;/D&gt;&lt;D xsi:type="xsd:double"&gt;16.5132645539269&lt;/D&gt;&lt;D xsi:type="xsd:double"&gt;16.4266641680095&lt;/D&gt;&lt;D xsi:type="xsd:double"&gt;17.0071386208079&lt;/D&gt;&lt;D xsi:type="xsd:double"&gt;16.601354704461&lt;/D&gt;&lt;D xsi:type="xsd:double"&gt;16.8300053213468&lt;/D&gt;&lt;D xsi:type="xsd:double"&gt;16.6013462529069&lt;/D&gt;&lt;D xsi:type="xsd:double"&gt;17.4711852419174&lt;/D&gt;&lt;D xsi:type="xsd:double"&gt;17.6288362573753&lt;/D&gt;&lt;D xsi:type="xsd:double"&gt;18.3089395926131&lt;/D&gt;&lt;D xsi:type="xsd:double"&gt;18.8023521518898&lt;/D&gt;&lt;D xsi:type="xsd:double"&gt;16.2441362433905&lt;/D&gt;&lt;D xsi:type="xsd:double"&gt;17.9658546080439&lt;/D&gt;&lt;D xsi:type="xsd:double"&gt;20.8324333324618&lt;/D&gt;&lt;D xsi:type="xsd:double"&gt;22.5302593444178&lt;/D&gt;&lt;D xsi:type="xsd:double"&gt;22.1798912175079&lt;/D&gt;&lt;D xsi:type="xsd:double"&gt;22.3244027680686&lt;/D&gt;&lt;D xsi:type="xsd:double"&gt;21.6561091950012&lt;/D&gt;&lt;D xsi:type="xsd:double"&gt;22.0771933526329&lt;/D&gt;&lt;D xsi:type="xsd:double"&gt;21.6796888124153&lt;/D&gt;&lt;D xsi:type="xsd:double"&gt;21.8890668448574&lt;/D&gt;&lt;D xsi:type="xsd:double"&gt;22.6648417034255&lt;/D&gt;&lt;D xsi:type="xsd:double"&gt;22.1471863308564&lt;/D&gt;&lt;D xsi:type="xsd:double"&gt;21.7140187031758&lt;/D&gt;&lt;D xsi:type="xsd:double"&gt;22.5068848175504&lt;/D&gt;&lt;D xsi:type="xsd:double"&gt;21.4554074202869&lt;/D&gt;&lt;D xsi:type="xsd:double"&gt;21.2886401150931&lt;/D&gt;&lt;D xsi:type="xsd:double"&gt;21.6116832703184&lt;/D&gt;&lt;D xsi:type="xsd:double"&gt;21.0067404332848&lt;/D&gt;&lt;D xsi:type="xsd:double"&gt;20.8570525158343&lt;/D&gt;&lt;D xsi:type="xsd:double"&gt;20.4286052971141&lt;/D&gt;&lt;D xsi:type="xsd:double"&gt;21.2133088077846&lt;/D&gt;&lt;D xsi:type="xsd:double"&gt;21.1865450500441&lt;/D&gt;&lt;D xsi:type="xsd:double"&gt;20.8037721495824&lt;/D&gt;&lt;D xsi:type="xsd:double"&gt;19.8006163597755&lt;/D&gt;&lt;D xsi:type="xsd:double"&gt;18.4764914353391&lt;/D&gt;&lt;D xsi:type="xsd:double"&gt;19.1826565700465&lt;/D&gt;&lt;D xsi:type="xsd:double"&gt;16.9094236391646&lt;/D&gt;&lt;D xsi:type="xsd:double"&gt;16.2978507752518&lt;/D&gt;&lt;D xsi:type="xsd:double"&gt;16.2598100435205&lt;/D&gt;&lt;D xsi:type="xsd:double"&gt;17.7721786920235&lt;/D&gt;&lt;D xsi:type="xsd:double"&gt;17.0970348879824&lt;/D&gt;&lt;D xsi:type="xsd:double"&gt;15.281105498801&lt;/D&gt;&lt;D xsi:type="xsd:double"&gt;17.1426121988291&lt;/D&gt;&lt;D xsi:type="xsd:double"&gt;17.0290960219473&lt;/D&gt;&lt;D xsi:type="xsd:double"&gt;17.0313266829904&lt;/D&gt;&lt;D xsi:type="xsd:double"&gt;18.0460421434362&lt;/D&gt;&lt;D xsi:type="xsd:double"&gt;16.9569489529705&lt;/D&gt;&lt;D xsi:type="xsd:double"&gt;18.0740779492456&lt;/D&gt;&lt;D xsi:type="xsd:double"&gt;18.0057784218825&lt;/D&gt;&lt;D xsi:type="xsd:double"&gt;18.5012320794574&lt;/D&gt;&lt;D xsi:type="xsd:double"&gt;18.9424911783569&lt;/D&gt;&lt;D xsi:type="xsd:double"&gt;18.9300794464222&lt;/D&gt;&lt;D xsi:type="xsd:double"&gt;18.6015436929568&lt;/D&gt;&lt;D xsi:type="xsd:double"&gt;18.1019953386936&lt;/D&gt;&lt;D xsi:type="xsd:double"&gt;18.2559215576943&lt;/D&gt;&lt;D xsi:type="xsd:double"&gt;18.8376900569584&lt;/D&gt;&lt;D xsi:type="xsd:double"&gt;19.549420270733&lt;/D&gt;&lt;D xsi:type="xsd:double"&gt;20.3932552278047&lt;/D&gt;&lt;D xsi:type="xsd:double"&gt;20.5164977181422&lt;/D&gt;&lt;D xsi:type="xsd:double"&gt;20.4813574406354&lt;/D&gt;&lt;D xsi:type="xsd:double"&gt;20.4735204537044&lt;/D&gt;&lt;D xsi:type="xsd:double"&gt;20.7079510457922&lt;/D&gt;&lt;D xsi:type="xsd:double"&gt;21.5925551738265&lt;/D&gt;&lt;D xsi:type="xsd:double"&gt;20.3055888112466&lt;/D&gt;&lt;D xsi:type="xsd:double"&gt;20.5896848339831&lt;/D&gt;&lt;D xsi:type="xsd:double"&gt;21.570619563489&lt;/D&gt;&lt;/FQL&gt;&lt;FQL&gt;&lt;Q&gt;EWQ^FMA_COS_UP("EPS","1M",+1,0,,,"PORTAGG","MEANR")&lt;/Q&gt;&lt;R&gt;1&lt;/R&gt;&lt;C&gt;1&lt;/C&gt;&lt;D xsi:type="xsd:double"&gt;18&lt;/D&gt;&lt;/FQL&gt;&lt;FQL&gt;&lt;Q&gt;CC_NZ^IMF_IFS_RCPI_Q(0)&lt;/Q&gt;&lt;R&gt;0&lt;/R&gt;&lt;C&gt;0&lt;/C&gt;&lt;/FQL&gt;&lt;FQL&gt;&lt;Q&gt;URTH^P_PRICE(0)/P_PRICE_HIGH_PR(0,,,,,,"PRICE","INTRA","52W")&lt;/Q&gt;&lt;R&gt;1&lt;/R&gt;&lt;C&gt;1&lt;/C&gt;&lt;D xsi:type="xsd:double"&gt;0.99526644&lt;/D&gt;&lt;/FQL&gt;&lt;FQL&gt;&lt;Q&gt;VGK^FMA_EVAL_EBIT(LTMA,NOW,NOW,M,"PORTAGG","MEANR")&lt;/Q&gt;&lt;R&gt;1&lt;/R&gt;&lt;C&gt;1&lt;/C&gt;&lt;D xsi:type="xsd:double"&gt;13.5324814293996&lt;/D&gt;&lt;/FQL&gt;&lt;FQL&gt;&lt;Q&gt;DBA^FG_TOTAL_RETURNC(0,-3AM)&lt;/Q&gt;&lt;R&gt;1&lt;/R&gt;&lt;C&gt;1&lt;/C&gt;&lt;D xsi:type="xsd:double"&gt;7.0656776&lt;/D&gt;&lt;/FQL&gt;&lt;FQL&gt;&lt;Q&gt;EWC^FMA_PE(LTMA,-10AY,0,AM,"PORTAGG","MEANR")&lt;/Q&gt;&lt;R&gt;121&lt;/R&gt;&lt;C&gt;1&lt;/C&gt;&lt;D xsi:type="xsd:double"&gt;15.3566460622082&lt;/D&gt;&lt;D xsi:type="xsd:double"&gt;15.7213730404476&lt;/D&gt;&lt;D xsi:type="xsd:double"&gt;14.9300895619825&lt;/D&gt;&lt;D xsi:type="xsd:double"&gt;15.3376035407089&lt;/D&gt;&lt;D xsi:type="xsd:double"&gt;16.384985326369&lt;/D&gt;&lt;D xsi:type="xsd:double"&gt;16.9429131013332&lt;/D&gt;&lt;D xsi:type="xsd:double"&gt;17.2093417824561&lt;/D&gt;&lt;D xsi:type="xsd:double"&gt;17.3372816239292&lt;/D&gt;&lt;D xsi:type="xsd:double"&gt;17.1939253543029&lt;/D&gt;&lt;D xsi:type="xsd:double"&gt;16.9457934484426&lt;/D&gt;&lt;D xsi:type="xsd:double"&gt;17.0648662388392&lt;/D&gt;&lt;D xsi:type="xsd:double"&gt;16.4906200851584&lt;/D&gt;&lt;D xsi:type="xsd:double"&gt;17.0482870791567&lt;/D&gt;&lt;D xsi:type="xsd:double"&gt;16.708975438587&lt;/D&gt;&lt;D xsi:type="xsd:double"&gt;16.1558928770575&lt;/D&gt;&lt;D xsi:type="xsd:double"&gt;15.0505927050366&lt;/D&gt;&lt;D xsi:type="xsd:double"&gt;14.6632515914446&lt;/D&gt;&lt;D xsi:type="xsd:double"&gt;15.8580821507662&lt;/D&gt;&lt;D xsi:type="xsd:double"&gt;16.0124165674239&lt;/D&gt;&lt;D xsi:type="xsd:double"&gt;16.3699182297237&lt;/D&gt;&lt;D xsi:type="xsd:double"&gt;16.7352595149435&lt;/D&gt;&lt;D xsi:type="xsd:double"&gt;16.9398702942232&lt;/D&gt;&lt;D xsi:type="xsd:double"&gt;17.451736514453&lt;/D&gt;&lt;D xsi:type="xsd:double"&gt;17.5260598080156&lt;/D&gt;&lt;D xsi:type="xsd:double"&gt;17.8640168342934&lt;/D&gt;&lt;D xsi:type="xsd:double"&gt;18.3822413818129&lt;/D&gt;&lt;D xsi:type="xsd:double"&gt;19.1512962673975&lt;/D&gt;&lt;D xsi:type="xsd:double"&gt;19.4707394068165&lt;/D&gt;&lt;D xsi:type="xsd:double"&gt;19.8096750901768&lt;/D&gt;&lt;D xsi:type="xsd:double"&gt;19.3120615915666&lt;/D&gt;&lt;D xsi:type="xsd:double"&gt;19.0621228821075&lt;/D&gt;&lt;D xsi:type="xsd:double"&gt;18.7017736379147&lt;/D&gt;&lt;D xsi:type="xsd:double"&gt;18.3731674506928&lt;/D&gt;&lt;D xsi:type="xsd:double"&gt;17.9607493604994&lt;/D&gt;&lt;D xsi:type="xsd:double"&gt;17.7950302782118&lt;/D&gt;&lt;D xsi:type="xsd:double"&gt;17.3049876506492&lt;/D&gt;&lt;D xsi:type="xsd:double"&gt;17.6530263793447&lt;/D&gt;&lt;D xsi:type="xsd:double"&gt;17.4332531234355&lt;/D&gt;&lt;D xsi:type="xsd:double"&gt;17.3250294085497&lt;/D&gt;&lt;D xsi:type="xsd:double"&gt;17.2261274591593&lt;/D&gt;&lt;D xsi:type="xsd:double"&gt;15.7055638038075&lt;/D&gt;&lt;D xsi:type="xsd:double"&gt;15.8189162920825&lt;/D&gt;&lt;D xsi:type="xsd:double"&gt;15.6121989436434&lt;/D&gt;&lt;D xsi:type="xsd:double"&gt;15.6196487480347&lt;/D&gt;&lt;D xsi:type="xsd:double"&gt;15.5753314974297&lt;/D&gt;&lt;D xsi:type="xsd:double"&gt;15.5636912429196&lt;/D&gt;&lt;D xsi:type="xsd:double"&gt;15.3916115569486&lt;/D&gt;&lt;D xsi:type="xsd:double"&gt;15.0576434606227&lt;/D&gt;&lt;D xsi:type="xsd:double"&gt;14.6152684528601&lt;/D&gt;&lt;D xsi:type="xsd:double"&gt;14.1939020728361&lt;/D&gt;&lt;D xsi:type="xsd:double"&gt;13.6252766030966&lt;/D&gt;&lt;D xsi:type="xsd:double"&gt;13.7032780287191&lt;/D&gt;&lt;D xsi:type="xsd:double"&gt;14.6401791659123&lt;/D&gt;&lt;D xsi:type="xsd:double"&gt;14.7133223918647&lt;/D&gt;&lt;D xsi:type="xsd:double"&gt;14.7586327092801&lt;/D&gt;&lt;D xsi:type="xsd:double"&gt;14.510113844369&lt;/D&gt;&lt;D xsi:type="xsd:double"&gt;14.4242793561761&lt;/D&gt;&lt;D xsi:type="xsd:double"&gt;14.5208312258634&lt;/D&gt;&lt;D xsi:type="xsd:double"&gt;14.3899521995027&lt;/D&gt;&lt;D xsi:type="xsd:double"&gt;14.5348723493515&lt;/D&gt;&lt;D xsi:type="xsd:double"&gt;14.56074008688&lt;/D&gt;&lt;D xsi:type="xsd:double"&gt;15.0753348769341&lt;/D&gt;&lt;D xsi:type="xsd:double"&gt;15.1124317749259&lt;/D&gt;&lt;D xsi:type="xsd:double"&gt;15.4060748744998&lt;/D&gt;&lt;D xsi:type="xsd:double"&gt;15.781458086879&lt;/D&gt;&lt;D xsi:type="xsd:double"&gt;14.2105318935418&lt;/D&gt;&lt;D xsi:type="xsd:double"&gt;14.7431067081696&lt;/D&gt;&lt;D xsi:type="xsd:double"&gt;16.18864441677&lt;/D&gt;&lt;D xsi:type="xsd:double"&gt;17.348201618184&lt;/D&gt;&lt;D xsi:type="xsd:double"&gt;17.6097279377752&lt;/D&gt;&lt;D xsi:type="xsd:double"&gt;18.3152279830657&lt;/D&gt;&lt;D xsi:type="xsd:double"&gt;18.2056572013001&lt;/D&gt;&lt;D xsi:type="xsd:double"&gt;18.9068628674954&lt;/D&gt;&lt;D xsi:type="xsd:double"&gt;19.1199399833006&lt;/D&gt;&lt;D xsi:type="xsd:double"&gt;20.3227332099497&lt;/D&gt;&lt;D xsi:type="xsd:double"&gt;21.4404368605852&lt;/D&gt;&lt;D xsi:type="xsd:double"&gt;21.5037971268607&lt;/D&gt;&lt;D xsi:type="xsd:double"&gt;19.9668528688852&lt;/D&gt;&lt;D xsi:type="xsd:double"&gt;19.5942202240691&lt;/D&gt;&lt;D xsi:type="xsd:double"&gt;19.1861196484461&lt;/D&gt;&lt;D xsi:type="xsd:double"&gt;18.7220895058038&lt;/D&gt;&lt;D xsi:type="xsd:double"&gt;18.3582062524394&lt;/D&gt;&lt;D xsi:type="xsd:double"&gt;17.6542080703226&lt;/D&gt;&lt;D xsi:type="xsd:double"&gt;17.069186582347&lt;/D&gt;&lt;D xsi:type="xsd:double"&gt;16.5516939882521&lt;/D&gt;&lt;D xsi:type="xsd:double"&gt;16.6126418475339&lt;/D&gt;&lt;D xsi:type="xsd:double"&gt;15.5837416242614&lt;/D&gt;&lt;D xsi:type="xsd:double"&gt;15.3485962922363&lt;/D&gt;&lt;D xsi:type="xsd:double"&gt;15.6952584639682&lt;/D&gt;&lt;D xsi:type="xsd:double"&gt;15.176332530601&lt;/D&gt;&lt;D xsi:type="xsd:double"&gt;15.0103600521514&lt;/D&gt;&lt;D xsi:type="xsd:double"&gt;14.3040128306745&lt;/D&gt;&lt;D xsi:type="xsd:double"&gt;14.076152828962&lt;/D&gt;&lt;D xsi:type="xsd:double"&gt;13.4333809043909&lt;/D&gt;&lt;D xsi:type="xsd:double"&gt;13.3007760143107&lt;/D&gt;&lt;D xsi:type="xsd:double"&gt;12.9420678195138&lt;/D&gt;&lt;D xsi:type="xsd:double"&gt;12.1378834254551&lt;/D&gt;&lt;D xsi:type="xsd:double"&gt;12.6716415435481&lt;/D&gt;&lt;D xsi:type="xsd:double"&gt;12.5625790620668&lt;/D&gt;&lt;D xsi:type="xsd:double"&gt;12.3690929246929&lt;/D&gt;&lt;D xsi:type="xsd:double"&gt;12.8700460311236&lt;/D&gt;&lt;D xsi:type="xsd:double"&gt;12.5713877310329&lt;/D&gt;&lt;D xsi:type="xsd:double"&gt;12.7003086644226&lt;/D&gt;&lt;D xsi:type="xsd:double"&gt;12.8403498427864&lt;/D&gt;&lt;D xsi:type="xsd:double"&gt;12.9014976550509&lt;/D&gt;&lt;D xsi:type="xsd:double"&gt;12.9868427093078&lt;/D&gt;&lt;D xsi:type="xsd:double"&gt;13.4989847632542&lt;/D&gt;&lt;D xsi:type="xsd:double"&gt;13.4981964986573&lt;/D&gt;&lt;D xsi:type="xsd:double"&gt;13.28371047384&lt;/D&gt;&lt;D xsi:type="xsd:double"&gt;13.4089520375742&lt;/D&gt;&lt;D xsi:type="xsd:double"&gt;14.0322535262684&lt;/D&gt;&lt;D xsi:type="xsd:double"&gt;14.6427910859628&lt;/D&gt;&lt;D xsi:type="xsd:double"&gt;14.6630217271397&lt;/D&gt;&lt;D xsi:type="xsd:double"&gt;14.9455339498832&lt;/D&gt;&lt;D xsi:type="xsd:double"&gt;15.0012569904677&lt;/D&gt;&lt;D xsi:type="xsd:double"&gt;15.0066238477104&lt;/D&gt;&lt;D xsi:type="xsd:double"&gt;14.8996926909317&lt;/D&gt;&lt;D xsi:type="xsd:double"&gt;14.9814593966913&lt;/D&gt;&lt;D xsi:type="xsd:double"&gt;14.9413464739181&lt;/D&gt;&lt;D xsi:type="xsd:double"&gt;15.3186264783085&lt;/D&gt;&lt;D xsi:type="xsd:double"&gt;16.0595248517058&lt;/D&gt;&lt;/FQL&gt;&lt;FQL&gt;&lt;Q&gt;URTH^FG_TOTAL_RETURNC(0,-3AM)&lt;/Q&gt;&lt;R&gt;1&lt;/R&gt;&lt;C&gt;1&lt;/C&gt;&lt;D xsi:type="xsd:double"&gt;3.039074&lt;/D&gt;&lt;/FQL&gt;&lt;FQL&gt;&lt;Q&gt;DBA^FG_TOTAL_RETURNC(0,-1AM)&lt;/Q&gt;&lt;R&gt;1&lt;/R&gt;&lt;C&gt;1&lt;/C&gt;&lt;D xsi:type="xsd:double"&gt;5.185795&lt;/D&gt;&lt;/FQL&gt;&lt;FQL&gt;&lt;Q&gt;EWL^P_PRICE(0)/P_PRICE_LOW_PR(0,,,,,,"PRICE","INTRA","52W")-1&lt;/Q&gt;&lt;R&gt;1&lt;/R&gt;&lt;C&gt;1&lt;/C&gt;&lt;D xsi:type="xsd:double"&gt;0.22791815&lt;/D&gt;&lt;/FQL&gt;&lt;FQL&gt;&lt;Q&gt;QQQ^FG_PRICE_MAVG(0,,,,200)&lt;/Q&gt;&lt;R&gt;1&lt;/R&gt;&lt;C&gt;1&lt;/C&gt;&lt;D xsi:type="xsd:double"&gt;451.53854&lt;/D&gt;&lt;/FQL&gt;&lt;FQL&gt;&lt;Q&gt;DUMMY^ECON_DATE(45454,,, 'MM/YYYY')&lt;/Q&gt;&lt;R&gt;1&lt;/R&gt;&lt;C&gt;1&lt;/C&gt;&lt;D xsi:type="xsd:string"&gt;06/2024&lt;/D&gt;&lt;/FQL&gt;&lt;FQL&gt;&lt;Q&gt;DUMMY^ECON_DATE(45546,,, 'MM/YYYY')&lt;/Q&gt;&lt;R&gt;1&lt;/R&gt;&lt;C&gt;1&lt;/C&gt;&lt;D xsi:type="xsd:string"&gt;09/2024&lt;/D&gt;&lt;/FQL&gt;&lt;FQL&gt;&lt;Q&gt;CC_US^IMF_IFS_RCPI_Q(-1AM)&lt;/Q&gt;&lt;R&gt;1&lt;/R&gt;&lt;C&gt;1&lt;/C&gt;&lt;D xsi:type="xsd:double"&gt;3.19889&lt;/D&gt;&lt;/FQL&gt;&lt;FQL&gt;&lt;Q&gt;CC_NZ^IMF_IFS_RCPI_Q(-1AM)&lt;/Q&gt;&lt;R&gt;1&lt;/R&gt;&lt;C&gt;1&lt;/C&gt;&lt;D xsi:type="xsd:double"&gt;3.330626&lt;/D&gt;&lt;/FQL&gt;&lt;FQL&gt;&lt;Q&gt;CC_AU^IMF_IFS_RCPI_Q(-1AM)&lt;/Q&gt;&lt;R&gt;1&lt;/R&gt;&lt;C&gt;1&lt;/C&gt;&lt;D xsi:type="xsd:double"&gt;3.81451&lt;/D&gt;&lt;/FQL&gt;&lt;FQL&gt;&lt;Q&gt;CC_CA^IMF_IFS_RCPI_Q(-1AM)&lt;/Q&gt;&lt;R&gt;1&lt;/R&gt;&lt;C&gt;1&lt;/C&gt;&lt;D xsi:type="xsd:double"&gt;2.7411842&lt;/D&gt;&lt;/FQL&gt;&lt;FQL&gt;&lt;Q&gt;CC_DE^IMF_IFS_RCPI_Q(-1AM)&lt;/Q&gt;&lt;R&gt;1&lt;/R&gt;&lt;C&gt;1&lt;/C&gt;&lt;D xsi:type="xsd:double"&gt;2.2863681&lt;/D&gt;&lt;/FQL&gt;&lt;FQL&gt;&lt;Q&gt;CC_JP^IMF_IFS_RCPI_Q(-1AM)&lt;/Q&gt;&lt;R&gt;1&lt;/R&gt;&lt;C&gt;1&lt;/C&gt;&lt;D xsi:type="xsd:double"&gt;2.7266946&lt;/D&gt;&lt;/FQL&gt;&lt;FQL&gt;&lt;Q&gt;CC_CH^IMF_IFS_RCPI_Q(-1AM)&lt;/Q&gt;&lt;R&gt;1&lt;/R&gt;&lt;C&gt;1&lt;/C&gt;&lt;D xsi:type="xsd:double"&gt;1.3619826&lt;/D&gt;&lt;/FQL&gt;&lt;FQL&gt;&lt;Q&gt;CC_GB^IMF_IFS_RCPI_Q(-1AM)&lt;/Q&gt;&lt;R&gt;1&lt;/R&gt;&lt;C&gt;1&lt;/C&gt;&lt;D xsi:type="xsd:double"&gt;2.8697004&lt;/D&gt;&lt;/FQL&gt;&lt;FQL&gt;&lt;Q&gt;CC_FR^IMF_IFS_RCPI_Q(-1AM)&lt;/Q&gt;&lt;R&gt;1&lt;/R&gt;&lt;C&gt;1&lt;/C&gt;&lt;D xsi:type="xsd:double"&gt;2.2093682&lt;/D&gt;&lt;/FQL&gt;&lt;FQL&gt;&lt;Q&gt;CC_NL^IMF_IFS_RCPI_Q(-1AM)&lt;/Q&gt;&lt;R&gt;1&lt;/R&gt;&lt;C&gt;1&lt;/C&gt;&lt;D xsi:type="xsd:double"&gt;2.888117&lt;/D&gt;&lt;/FQL&gt;&lt;FQL&gt;&lt;Q&gt;CC_SE^IMF_IFS_RCPI_Q(-1AM)&lt;/Q&gt;&lt;R&gt;1&lt;/R&gt;&lt;C&gt;1&lt;/C&gt;&lt;D xsi:type="xsd:double"&gt;3.39215&lt;/D&gt;&lt;/FQL&gt;&lt;FQL&gt;&lt;Q&gt;CC_IT^IMF_IFS_RCPI_Q(-1AM)&lt;/Q&gt;&lt;R&gt;1&lt;/R&gt;&lt;C&gt;1&lt;/C&gt;&lt;D xsi:type="xsd:double"&gt;0.80847347&lt;/D&gt;&lt;/FQL&gt;&lt;FQL&gt;&lt;Q&gt;DUMMY^ECON_EXPR_DATA('FDS_ECON[PMIDMMANHE]',09/2024,,Q)&lt;/Q&gt;&lt;R&gt;1&lt;/R&gt;&lt;C&gt;1&lt;/C&gt;&lt;D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xsi:type="xsd:double"&gt;51.999874&lt;/D&gt;&lt;/FQL&gt;&lt;FQL&gt;&lt;Q&gt;DUMMY^ECON_EXPR_DATA('FDS_ECON[NTCPMIMFGSA@NZ]',09/2024,,Q)&lt;/Q&gt;&lt;R&gt;1&lt;/R&gt;&lt;C&gt;1&lt;/C&gt;&lt;D xsi:type="xsd:double"&gt;45.848022&lt;/D&gt;&lt;/FQL&gt;&lt;FQL&gt;&lt;Q&gt;DUMMY^ECON_EXPR_DATA('FDS_ECON[NTCPMIMFGSA@NZ]',06/2024,,Q)&lt;/Q&gt;&lt;R&gt;1&lt;/R&gt;&lt;C&gt;1&lt;/C&gt;&lt;D xsi:type="xsd:double"&gt;45.54339&lt;/D&gt;&lt;/FQL&gt;&lt;FQL&gt;&lt;Q&gt;DUMMY^ECON_EXPR_DATA('FDS_ECON[NTCPMIMFGSA@AU]',09/2024,,Q)&lt;/Q&gt;&lt;R&gt;1&lt;/R&gt;&lt;C&gt;1&lt;/C&gt;&lt;D xsi:type="xsd:double"&gt;47.56789&lt;/D&gt;&lt;/FQL&gt;&lt;FQL&gt;&lt;Q&gt;DUMMY^ECON_EXPR_DATA('FDS_ECON[NTCPMIMFGSA@AU]',06/2024,,Q)&lt;/Q&gt;&lt;R&gt;1&lt;/R&gt;&lt;C&gt;1&lt;/C&gt;&lt;D xsi:type="xsd:double"&gt;48.811333&lt;/D&gt;&lt;/FQL&gt;&lt;FQL&gt;&lt;Q&gt;DUMMY^ECON_EXPR_DATA('FDS_ECON[NTCPMIMFGSA@CA]',09/2024,,Q)&lt;/Q&gt;&lt;R&gt;1&lt;/R&gt;&lt;C&gt;1&lt;/C&gt;&lt;D xsi:type="xsd:double"&gt;49.193687&lt;/D&gt;&lt;/FQL&gt;&lt;FQL&gt;&lt;Q&gt;DUMMY^ECON_EXPR_DATA('FDS_ECON[NTCPMIMFGSA@CA]',06/2024,,Q)&lt;/Q&gt;&lt;R&gt;1&lt;/R&gt;&lt;C&gt;1&lt;/C&gt;&lt;D xsi:type="xsd:double"&gt;49.331886&lt;/D&gt;&lt;/FQL&gt;&lt;FQL&gt;&lt;Q&gt;DUMMY^ECON_EXPR_DATA('FDS_ECON[NTCPMIMFGSA@DE]',09/2024,,Q)&lt;/Q&gt;&lt;R&gt;1&lt;/R&gt;&lt;C&gt;1&lt;/C&gt;&lt;D xsi:type="xsd:double"&gt;42.06591&lt;/D&gt;&lt;/FQL&gt;&lt;FQL&gt;&lt;Q&gt;DUMMY^ECON_EXPR_DATA('FDS_ECON[NTCPMIMFGSA@DE]',06/2024,,Q)&lt;/Q&gt;&lt;R&gt;1&lt;/R&gt;&lt;C&gt;1&lt;/C&gt;&lt;D xsi:type="xsd:double"&gt;43.782&lt;/D&gt;&lt;/FQL&gt;&lt;FQL&gt;&lt;Q&gt;DUMMY^ECON_EXPR_DATA('FDS_ECON[NTCPMIMFGSA@JP]',09/2024,,Q)&lt;/Q&gt;&lt;R&gt;1&lt;/R&gt;&lt;C&gt;1&lt;/C&gt;&lt;D xsi:type="xsd:double"&gt;49.560066&lt;/D&gt;&lt;/FQL&gt;&lt;FQL&gt;&lt;Q&gt;DUMMY^ECON_EXPR_DATA('FDS_ECON[NTCPMIMFGSA@JP]',06/2024,,Q)&lt;/Q&gt;&lt;R&gt;1&lt;/R&gt;&lt;C&gt;1&lt;/C&gt;&lt;D xsi:type="xsd:double"&gt;49.991356&lt;/D&gt;&lt;/FQL&gt;&lt;FQL&gt;&lt;Q&gt;DUMMY^ECON_EXPR_DATA('FDS_ECON[NTCPMIMFGSA@CH]',09/2024,,Q)&lt;/Q&gt;&lt;R&gt;1&lt;/R&gt;&lt;C&gt;1&lt;/C&gt;&lt;D xsi:type="xsd:double"&gt;47.458324&lt;/D&gt;&lt;/FQL&gt;&lt;FQL&gt;&lt;Q&gt;DUMMY^ECON_EXPR_DATA('FDS_ECON[NTCPMIMFGSA@CH]',06/2024,,Q)&lt;/Q&gt;&lt;R&gt;1&lt;/R&gt;&lt;C&gt;1&lt;/C&gt;&lt;D xsi:type="xsd:double"&gt;43.896877&lt;/D&gt;&lt;/FQL&gt;&lt;FQL&gt;&lt;Q&gt;DUMMY^ECON_EXPR_DATA('FDS_ECON[NTCPMIMFGSA@GB]',09/2024,,Q)&lt;/Q&gt;&lt;R&gt;1&lt;/R&gt;&lt;C&gt;1&lt;/C&gt;&lt;D xsi:type="xsd:double"&gt;52.055466&lt;/D&gt;&lt;/FQL&gt;&lt;FQL&gt;&lt;Q&gt;DUMMY^ECON_EXPR_DATA('FDS_ECON[NTCPMIMFGSA@GB]',06/2024,,Q)&lt;/Q&gt;&lt;R&gt;1&lt;/R&gt;&lt;C&gt;1&lt;/C&gt;&lt;D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xsi:type="xsd:double"&gt;50.395269999999996&lt;/D&gt;&lt;/FQL&gt;&lt;FQL&gt;&lt;Q&gt;DUMMY^ECON_EXPR_DATA('FDS_ECON[NTCPMIMFGMESA@US]',09/2024,,Q)&lt;/Q&gt;&lt;R&gt;1&lt;/R&gt;&lt;C&gt;1&lt;/C&gt;&lt;D xsi:type="xsd:double"&gt;48.26175&lt;/D&gt;&lt;/FQL&gt;&lt;FQL&gt;&lt;Q&gt;DUMMY^ECON_EXPR_DATA('FDS_ECON[NTCPMIMFGMESA@US]',06/2024,,Q)&lt;/Q&gt;&lt;R&gt;1&lt;/R&gt;&lt;C&gt;1&lt;/C&gt;&lt;D xsi:type="xsd:double"&gt;50.939392&lt;/D&gt;&lt;/FQL&gt;&lt;FQL&gt;&lt;Q&gt;DUMMY^ECON_EXPR_DATA('FDS_ECON[NTCPMIMFGSA@FR]',09/2024,,Q)&lt;/Q&gt;&lt;R&gt;1&lt;/R&gt;&lt;C&gt;1&lt;/C&gt;&lt;D xsi:type="xsd:double"&gt;44.15712&lt;/D&gt;&lt;/FQL&gt;&lt;FQL&gt;&lt;Q&gt;DUMMY^ECON_EXPR_DATA('FDS_ECON[NTCPMIMFGSA@FR]',06/2024,,Q)&lt;/Q&gt;&lt;R&gt;1&lt;/R&gt;&lt;C&gt;1&lt;/C&gt;&lt;D xsi:type="xsd:double"&gt;45.684513&lt;/D&gt;&lt;/FQL&gt;&lt;FQL&gt;&lt;Q&gt;DUMMY^ECON_EXPR_DATA('FDS_ECON[NTCPMIMFGSA@NL]',09/2024,,Q)&lt;/Q&gt;&lt;R&gt;1&lt;/R&gt;&lt;C&gt;1&lt;/C&gt;&lt;D xsi:type="xsd:double"&gt;48.353455&lt;/D&gt;&lt;/FQL&gt;&lt;FQL&gt;&lt;Q&gt;DUMMY^ECON_EXPR_DATA('FDS_ECON[NTCPMIMFGSA@NL]',06/2024,,Q)&lt;/Q&gt;&lt;R&gt;1&lt;/R&gt;&lt;C&gt;1&lt;/C&gt;&lt;D xsi:type="xsd:double"&gt;51.49388&lt;/D&gt;&lt;/FQL&gt;&lt;FQL&gt;&lt;Q&gt;DUMMY^ECON_EXPR_DATA('FDS_ECON[]',09/2024,,Q)&lt;/Q&gt;&lt;R&gt;0&lt;/R&gt;&lt;C&gt;0&lt;/C&gt;&lt;/FQL&gt;&lt;FQL&gt;&lt;Q&gt;DUMMY^ECON_EXPR_DATA('FDS_ECON[]',06/2024,,Q)&lt;/Q&gt;&lt;R&gt;0&lt;/R&gt;&lt;C&gt;0&lt;/C&gt;&lt;/FQL&gt;&lt;FQL&gt;&lt;Q&gt;DUMMY^ECON_EXPR_DATA('FDS_ECON[NTCPMIMFGSA@IT]',09/2024,,Q)&lt;/Q&gt;&lt;R&gt;1&lt;/R&gt;&lt;C&gt;1&lt;/C&gt;&lt;D xsi:type="xsd:double"&gt;48.375774&lt;/D&gt;&lt;/FQL&gt;&lt;FQL&gt;&lt;Q&gt;DUMMY^ECON_EXPR_DATA('FDS_ECON[NTCPMIMFGSA@IT]',06/2024,,Q)&lt;/Q&gt;&lt;R&gt;1&lt;/R&gt;&lt;C&gt;1&lt;/C&gt;&lt;D xsi:type="xsd:double"&gt;46.215786&lt;/D&gt;&lt;/FQL&gt;&lt;/Schema&gt;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<sst xmlns="http://schemas.openxmlformats.org/spreadsheetml/2006/main" count="2053" uniqueCount="915">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</sst>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4.6359354540405802E-2</v>
      </c>
      <c r="O13" s="55">
        <f>N13*(1+N9)</f>
        <v>4.9140915812830151E-2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3.7062957730728534E-2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0.05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4.0755E-2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-3.6406454595942009E-3</v>
      </c>
      <c r="O21" s="57">
        <f>O13-O16</f>
        <v>4.1409158128301524E-3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5.6043545404058023E-3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0.53846153846153844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1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6</v>
      </c>
      <c r="E13" s="58">
        <f t="shared" si="0"/>
        <v>6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8</v>
      </c>
      <c r="E15" s="14">
        <f t="shared" si="0"/>
        <v>8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0.28628230616302186</v>
      </c>
      <c r="D23" s="170"/>
      <c r="E23" s="171">
        <f>'Momnetum ranking'!I22</f>
        <v>0.38568588469184889</v>
      </c>
    </row>
    <row r="24" spans="2:15" x14ac:dyDescent="0.35">
      <c r="B24" s="56" t="s">
        <v>51</v>
      </c>
      <c r="C24" s="9">
        <f>'Momnetum ranking'!H10</f>
        <v>0.30392156862745096</v>
      </c>
      <c r="D24" s="9"/>
      <c r="E24" s="57">
        <f>'Momnetum ranking'!I10</f>
        <v>0.33333333333333331</v>
      </c>
    </row>
    <row r="25" spans="2:15" x14ac:dyDescent="0.35">
      <c r="B25" s="56" t="s">
        <v>895</v>
      </c>
      <c r="C25" s="9">
        <f>'Momnetum ranking'!H23</f>
        <v>0.49056603773584906</v>
      </c>
      <c r="D25" s="9"/>
      <c r="E25" s="57">
        <f>'Momnetum ranking'!I23</f>
        <v>0.24528301886792453</v>
      </c>
    </row>
    <row r="26" spans="2:15" x14ac:dyDescent="0.35">
      <c r="B26" s="56" t="s">
        <v>46</v>
      </c>
      <c r="C26" s="9">
        <f>'Momnetum ranking'!H21</f>
        <v>0.4020100502512563</v>
      </c>
      <c r="D26" s="9"/>
      <c r="E26" s="57">
        <f>'Momnetum ranking'!I21</f>
        <v>0.4020100502512563</v>
      </c>
    </row>
    <row r="27" spans="2:15" ht="15" thickBot="1" x14ac:dyDescent="0.4">
      <c r="B27" s="12" t="s">
        <v>536</v>
      </c>
      <c r="C27" s="172">
        <f>'Momnetum ranking'!H18</f>
        <v>0.3325545171339564</v>
      </c>
      <c r="D27" s="172"/>
      <c r="E27" s="59">
        <f>'Momnetum ranking'!I18</f>
        <v>0.4680685358255452</v>
      </c>
    </row>
    <row r="28" spans="2:15" x14ac:dyDescent="0.35">
      <c r="B28" s="62" t="s">
        <v>6</v>
      </c>
      <c r="C28" s="170">
        <f>'Momnetum ranking'!H19</f>
        <v>0.2110583866309057</v>
      </c>
      <c r="D28" s="170"/>
      <c r="E28" s="171">
        <f>'Momnetum ranking'!I19</f>
        <v>0.34516195584897874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-0.1355140186915888</v>
      </c>
      <c r="F35" s="5">
        <f>'Momnetum ranking'!K18</f>
        <v>0.63370253164557</v>
      </c>
      <c r="G35" s="9">
        <f>'Momnetum ranking'!Q18</f>
        <v>0.96059930000000004</v>
      </c>
      <c r="H35" s="3">
        <f>'Momnetum ranking'!O18</f>
        <v>1.5499711</v>
      </c>
      <c r="K35">
        <f>_xlfn.RANK.EQ(E35,$E$35:$E$39)</f>
        <v>5</v>
      </c>
      <c r="L35">
        <f>_xlfn.RANK.EQ(F35,$F$35:$F$39)</f>
        <v>3</v>
      </c>
      <c r="M35">
        <f>_xlfn.RANK.EQ(G35,$G$35:$G$39)</f>
        <v>5</v>
      </c>
      <c r="N35">
        <f>_xlfn.RANK.EQ(H35,$H$35:$H$39)</f>
        <v>4</v>
      </c>
      <c r="O35" s="58">
        <f>MEDIAN(K35:N35)</f>
        <v>4.5</v>
      </c>
    </row>
    <row r="36" spans="3:15" x14ac:dyDescent="0.35">
      <c r="C36" s="56" t="s">
        <v>749</v>
      </c>
      <c r="E36" s="9">
        <f>'Momnetum ranking'!J19</f>
        <v>-0.13410356921807304</v>
      </c>
      <c r="F36" s="5">
        <f>'Momnetum ranking'!K19</f>
        <v>0.36883336862163901</v>
      </c>
      <c r="G36" s="9">
        <f>'Momnetum ranking'!Q19</f>
        <v>0.96449470000000004</v>
      </c>
      <c r="H36" s="3">
        <f>'Momnetum ranking'!O19</f>
        <v>6.4887404000000002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1</v>
      </c>
      <c r="O36" s="58">
        <f t="shared" ref="O36:O39" si="5">MEDIAN(K36:N36)</f>
        <v>4</v>
      </c>
    </row>
    <row r="37" spans="3:15" x14ac:dyDescent="0.35">
      <c r="C37" s="56" t="s">
        <v>781</v>
      </c>
      <c r="E37" s="9">
        <f>'Momnetum ranking'!J20</f>
        <v>-7.3654390934844161E-2</v>
      </c>
      <c r="F37" s="5">
        <f>'Momnetum ranking'!K20</f>
        <v>0.67093105899076089</v>
      </c>
      <c r="G37" s="9">
        <f>'Momnetum ranking'!Q20</f>
        <v>0.99526643999999997</v>
      </c>
      <c r="H37" s="3">
        <f>'Momnetum ranking'!O20</f>
        <v>3.0390739999999998</v>
      </c>
      <c r="K37">
        <f t="shared" si="1"/>
        <v>2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</v>
      </c>
      <c r="F38" s="5">
        <f>'Momnetum ranking'!K21</f>
        <v>0.542713567839196</v>
      </c>
      <c r="G38" s="9">
        <f>'Momnetum ranking'!Q21</f>
        <v>0.96805030000000003</v>
      </c>
      <c r="H38" s="3">
        <f>'Momnetum ranking'!O21</f>
        <v>-0.53310394000000005</v>
      </c>
      <c r="K38">
        <f t="shared" si="1"/>
        <v>1</v>
      </c>
      <c r="L38">
        <f t="shared" si="2"/>
        <v>4</v>
      </c>
      <c r="M38">
        <f t="shared" si="3"/>
        <v>3</v>
      </c>
      <c r="N38">
        <f t="shared" si="4"/>
        <v>5</v>
      </c>
      <c r="O38" s="58">
        <f t="shared" si="5"/>
        <v>3.5</v>
      </c>
    </row>
    <row r="39" spans="3:15" ht="15" thickBot="1" x14ac:dyDescent="0.4">
      <c r="C39" s="12" t="s">
        <v>119</v>
      </c>
      <c r="D39" s="13"/>
      <c r="E39" s="172">
        <f>'Momnetum ranking'!J22</f>
        <v>-9.940357852882703E-2</v>
      </c>
      <c r="F39" s="17">
        <f>'Momnetum ranking'!K22</f>
        <v>0.72799999999999998</v>
      </c>
      <c r="G39" s="172">
        <f>'Momnetum ranking'!Q22</f>
        <v>0.99726504000000005</v>
      </c>
      <c r="H39" s="175">
        <f>'Momnetum ranking'!O22</f>
        <v>2.9537081999999999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1</v>
      </c>
      <c r="N39" s="13">
        <f t="shared" si="4"/>
        <v>3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9.7296949999999995</v>
      </c>
      <c r="F3" s="3" cm="1">
        <f t="array" ref="F3">_xll.FDS(C3,"FG_TOTAL_RETURNC(0,-3AM)")</f>
        <v>6.4887404000000002</v>
      </c>
      <c r="G3" s="3" cm="1">
        <f t="array" ref="G3">_xll.FDS(C3,"FG_TOTAL_RETURNC(0,-6AM)")</f>
        <v>13.854778</v>
      </c>
      <c r="H3" s="9" cm="1">
        <f t="array" ref="H3">_xll.FDS(C3,"P_PRICE(0)/P_PRICE_HIGH_PR(0,,,USD,,,""PRICE"",""INTRA"",""52W"")")</f>
        <v>0.96449470000000004</v>
      </c>
      <c r="K3" s="4">
        <f>_xlfn.RANK.EQ(H3,H$3:H$12)</f>
        <v>5</v>
      </c>
      <c r="L3" s="4">
        <f>_xlfn.RANK.EQ(F3,F$3:F$12)</f>
        <v>3</v>
      </c>
      <c r="M3" s="4">
        <f>_xlfn.RANK.EQ(G3,G$3:G$12)</f>
        <v>1</v>
      </c>
      <c r="N3" s="4"/>
      <c r="P3" s="3">
        <f t="shared" ref="P3:P12" si="0">SUMPRODUCT($K$2:$M$2,K3:M3)</f>
        <v>2.97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5.3043484999999997</v>
      </c>
      <c r="F4" s="3" cm="1">
        <f t="array" ref="F4">_xll.FDS(C4,"FG_TOTAL_RETURNC(0,-3AM)")</f>
        <v>2.9537081999999999</v>
      </c>
      <c r="G4" s="3" cm="1">
        <f t="array" ref="G4">_xll.FDS(C4,"FG_TOTAL_RETURNC(0,-6AM)")</f>
        <v>12.768734</v>
      </c>
      <c r="H4" s="9" cm="1">
        <f t="array" ref="H4">_xll.FDS(C4,"P_PRICE(0)/P_PRICE_HIGH_PR(0,,,USD,,,""PRICE"",""INTRA"",""52W"")")</f>
        <v>0.99726504000000005</v>
      </c>
      <c r="I4" s="177"/>
      <c r="K4" s="4">
        <f t="shared" ref="K4:K12" si="3">_xlfn.RANK.EQ(H4,H$3:H$12)</f>
        <v>1</v>
      </c>
      <c r="L4" s="4">
        <f t="shared" ref="L4:M12" si="4">_xlfn.RANK.EQ(F4,F$3:F$12)</f>
        <v>4</v>
      </c>
      <c r="M4" s="4">
        <f t="shared" si="4"/>
        <v>2</v>
      </c>
      <c r="N4" s="4"/>
      <c r="P4" s="3">
        <f t="shared" si="0"/>
        <v>2.31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4.3848395</v>
      </c>
      <c r="F5" s="3" cm="1">
        <f t="array" ref="F5">_xll.FDS(C5,"FG_TOTAL_RETURNC(0,-3AM)")</f>
        <v>10.694754</v>
      </c>
      <c r="G5" s="3" cm="1">
        <f t="array" ref="G5">_xll.FDS(C5,"FG_TOTAL_RETURNC(0,-6AM)")</f>
        <v>12.620008</v>
      </c>
      <c r="H5" s="9" cm="1">
        <f t="array" ref="H5">_xll.FDS(C5,"P_PRICE(0)/P_PRICE_HIGH_PR(0,,,USD,,,""PRICE"",""INTRA"",""52W"")")</f>
        <v>0.98160654000000003</v>
      </c>
      <c r="I5" s="177"/>
      <c r="K5" s="4">
        <f t="shared" si="3"/>
        <v>2</v>
      </c>
      <c r="L5" s="4">
        <f t="shared" si="4"/>
        <v>1</v>
      </c>
      <c r="M5" s="4">
        <f t="shared" si="4"/>
        <v>4</v>
      </c>
      <c r="N5" s="4"/>
      <c r="P5" s="3">
        <f t="shared" si="0"/>
        <v>2.31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1.7661572000000001</v>
      </c>
      <c r="F6" s="3" cm="1">
        <f t="array" ref="F6">_xll.FDS(C6,"FG_TOTAL_RETURNC(0,-3AM)")</f>
        <v>-0.44921040000000001</v>
      </c>
      <c r="G6" s="3" cm="1">
        <f t="array" ref="G6">_xll.FDS(C6,"FG_TOTAL_RETURNC(0,-6AM)")</f>
        <v>0.76949595999999998</v>
      </c>
      <c r="H6" s="9" cm="1">
        <f t="array" ref="H6">_xll.FDS(C6,"P_PRICE(0)/P_PRICE_HIGH_PR(0,,,USD,,,""PRICE"",""INTRA"",""52W"")")</f>
        <v>0.95508033000000003</v>
      </c>
      <c r="I6" s="177"/>
      <c r="K6" s="4">
        <f t="shared" si="3"/>
        <v>7</v>
      </c>
      <c r="L6" s="4">
        <f t="shared" si="4"/>
        <v>7</v>
      </c>
      <c r="M6" s="4">
        <f t="shared" si="4"/>
        <v>9</v>
      </c>
      <c r="N6" s="4"/>
      <c r="P6" s="3">
        <f t="shared" si="0"/>
        <v>7.59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7.5481296000000002</v>
      </c>
      <c r="F7" s="3" cm="1">
        <f t="array" ref="F7">_xll.FDS(C7,"FG_TOTAL_RETURNC(0,-3AM)")</f>
        <v>-1.9245565</v>
      </c>
      <c r="G7" s="3" cm="1">
        <f t="array" ref="G7">_xll.FDS(C7,"FG_TOTAL_RETURNC(0,-6AM)")</f>
        <v>12.706804</v>
      </c>
      <c r="H7" s="9" cm="1">
        <f t="array" ref="H7">_xll.FDS(C7,"P_PRICE(0)/P_PRICE_HIGH_PR(0,,,USD,,,""PRICE"",""INTRA"",""52W"")")</f>
        <v>0.97829279999999996</v>
      </c>
      <c r="I7" s="1"/>
      <c r="K7" s="4">
        <f t="shared" si="3"/>
        <v>3</v>
      </c>
      <c r="L7" s="4">
        <f t="shared" si="4"/>
        <v>9</v>
      </c>
      <c r="M7" s="4">
        <f t="shared" si="4"/>
        <v>3</v>
      </c>
      <c r="N7" s="4"/>
      <c r="P7" s="3">
        <f t="shared" si="0"/>
        <v>4.95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5.1857949999999997</v>
      </c>
      <c r="F8" s="3" cm="1">
        <f t="array" ref="F8">_xll.FDS(C8,"FG_TOTAL_RETURNC(0,-3AM)")</f>
        <v>7.0656775999999999</v>
      </c>
      <c r="G8" s="3" cm="1">
        <f t="array" ref="G8">_xll.FDS(C8,"FG_TOTAL_RETURNC(0,-6AM)")</f>
        <v>1.9794106</v>
      </c>
      <c r="H8" s="9" cm="1">
        <f t="array" ref="H8">_xll.FDS(C8,"P_PRICE(0)/P_PRICE_HIGH_PR(0,,,USD,,,""PRICE"",""INTRA"",""52W"")")</f>
        <v>0.95055350000000005</v>
      </c>
      <c r="I8" s="1"/>
      <c r="K8" s="4">
        <f t="shared" si="3"/>
        <v>8</v>
      </c>
      <c r="L8" s="4">
        <f t="shared" si="4"/>
        <v>2</v>
      </c>
      <c r="M8" s="4">
        <f t="shared" si="4"/>
        <v>8</v>
      </c>
      <c r="N8" s="4"/>
      <c r="P8" s="3">
        <f t="shared" si="0"/>
        <v>5.94</v>
      </c>
      <c r="Q8">
        <f t="shared" si="1"/>
        <v>0</v>
      </c>
      <c r="S8" s="3">
        <f t="shared" si="5"/>
        <v>6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16.143967</v>
      </c>
      <c r="F9" s="3" cm="1">
        <f t="array" ref="F9">_xll.FDS(C9,"FG_TOTAL_RETURNC(0,-3AM)")</f>
        <v>-3.3673047999999999</v>
      </c>
      <c r="G9" s="3" cm="1">
        <f t="array" ref="G9">_xll.FDS(C9,"FG_TOTAL_RETURNC(0,-6AM)")</f>
        <v>-5.262518</v>
      </c>
      <c r="H9" s="9" cm="1">
        <f t="array" ref="H9">_xll.FDS(C9,"P_PRICE(0)/P_PRICE_HIGH_PR(0,,,USD,,,""PRICE"",""INTRA"",""52W"")")</f>
        <v>0.93238209999999999</v>
      </c>
      <c r="I9" s="1"/>
      <c r="K9" s="4">
        <f t="shared" si="3"/>
        <v>9</v>
      </c>
      <c r="L9" s="4">
        <f t="shared" si="4"/>
        <v>10</v>
      </c>
      <c r="M9" s="4">
        <f t="shared" si="4"/>
        <v>10</v>
      </c>
      <c r="N9" s="4"/>
      <c r="P9" s="3">
        <f t="shared" si="0"/>
        <v>9.57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-6.2651515</v>
      </c>
      <c r="F10" s="3" cm="1">
        <f t="array" ref="F10">_xll.FDS(C10,"FG_TOTAL_RETURNC(0,-3AM)")</f>
        <v>2.5436163000000001</v>
      </c>
      <c r="G10" s="3" cm="1">
        <f t="array" ref="G10">_xll.FDS(C10,"FG_TOTAL_RETURNC(0,-6AM)")</f>
        <v>6.3589333999999997</v>
      </c>
      <c r="H10" s="9" cm="1">
        <f t="array" ref="H10">_xll.FDS(C10,"P_PRICE(0)/P_PRICE_HIGH_PR(0,,,USD,,,""PRICE"",""INTRA"",""52W"")")</f>
        <v>0.92561983999999997</v>
      </c>
      <c r="K10" s="4">
        <f t="shared" si="3"/>
        <v>10</v>
      </c>
      <c r="L10" s="4">
        <f t="shared" si="4"/>
        <v>5</v>
      </c>
      <c r="M10" s="4">
        <f t="shared" si="4"/>
        <v>6</v>
      </c>
      <c r="N10" s="4"/>
      <c r="P10" s="3">
        <f t="shared" si="0"/>
        <v>6.93</v>
      </c>
      <c r="Q10">
        <f t="shared" si="1"/>
        <v>0</v>
      </c>
      <c r="S10" s="3">
        <f t="shared" si="5"/>
        <v>8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1.3719916000000001</v>
      </c>
      <c r="F11" s="3" cm="1">
        <f t="array" ref="F11">_xll.FDS(C11,"FG_TOTAL_RETURNC(0,-3AM)")</f>
        <v>1.5499711</v>
      </c>
      <c r="G11" s="3" cm="1">
        <f t="array" ref="G11">_xll.FDS(C11,"FG_TOTAL_RETURNC(0,-6AM)")</f>
        <v>6.5093636999999998</v>
      </c>
      <c r="H11" s="9" cm="1">
        <f t="array" ref="H11">_xll.FDS(C11,"P_PRICE(0)/P_PRICE_HIGH_PR(0,,,USD,,,""PRICE"",""INTRA"",""52W"")")</f>
        <v>0.96059930000000004</v>
      </c>
      <c r="K11" s="4">
        <f t="shared" si="3"/>
        <v>6</v>
      </c>
      <c r="L11" s="4">
        <f t="shared" si="4"/>
        <v>6</v>
      </c>
      <c r="M11" s="4">
        <f t="shared" si="4"/>
        <v>5</v>
      </c>
      <c r="P11" s="3">
        <f t="shared" si="0"/>
        <v>5.61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2.5455594000000001</v>
      </c>
      <c r="F12" s="3" cm="1">
        <f t="array" ref="F12">_xll.FDS(C12,"FG_TOTAL_RETURNC(0,-3AM)")</f>
        <v>-0.53310394000000005</v>
      </c>
      <c r="G12" s="3" cm="1">
        <f t="array" ref="G12">_xll.FDS(C12,"FG_TOTAL_RETURNC(0,-6AM)")</f>
        <v>2.9545664999999999</v>
      </c>
      <c r="H12" s="9" cm="1">
        <f t="array" ref="H12">_xll.FDS(C12,"P_PRICE(0)/P_PRICE_HIGH_PR(0,,,USD,,,""PRICE"",""INTRA"",""52W"")")</f>
        <v>0.96805030000000003</v>
      </c>
      <c r="K12" s="4">
        <f t="shared" si="3"/>
        <v>4</v>
      </c>
      <c r="L12" s="4">
        <f t="shared" si="4"/>
        <v>8</v>
      </c>
      <c r="M12" s="4">
        <f t="shared" si="4"/>
        <v>7</v>
      </c>
      <c r="P12" s="3">
        <f t="shared" si="0"/>
        <v>6.27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85.7</v>
      </c>
      <c r="G6" s="179">
        <f t="shared" ref="G6:G18" si="0">(D6*$D$2 +E6*$E$2 +F6*$F$2)/($D$2+$E$2+$F$2)</f>
        <v>73.766666666666666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28.499999999999996</v>
      </c>
      <c r="J6" s="120">
        <f ca="1">VLOOKUP(B6,'Momnetum ranking'!$A$3:$AJ$15,36,FALSE)</f>
        <v>64.2</v>
      </c>
      <c r="K6" s="163">
        <f>VLOOKUP(B6,'Momnetum ranking'!$A$3:$H$15,8,FALSE)</f>
        <v>0.27659574468085107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62.787787000000002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64.2</v>
      </c>
      <c r="G7" s="180">
        <f t="shared" si="0"/>
        <v>57.099999999999994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0.4020100502512563</v>
      </c>
      <c r="L7" s="121">
        <f>VLOOKUP(B7,'Currency- 2'!$A$3:$U$15,21,FALSE)</f>
        <v>28.499999999999996</v>
      </c>
      <c r="M7" s="160">
        <f t="shared" ca="1" si="1"/>
        <v>35.678286999999997</v>
      </c>
      <c r="N7" s="121" cm="1">
        <f t="array" aca="1" ref="N7" ca="1">_xlfn.PERCENTRANK.EXC(_xlfn._xlws.FILTER($M$6:M$18, ISNUMBER($M$6:M$18)),M7)*100</f>
        <v>28.499999999999996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78.5</v>
      </c>
      <c r="G8" s="180">
        <f t="shared" si="0"/>
        <v>59.466666666666669</v>
      </c>
      <c r="H8" s="125" cm="1">
        <f t="array" ref="H8">_xlfn.PERCENTRANK.EXC(_xlfn._xlws.FILTER($G$6:G$18, ISNUMBER($G$6:G$18)),G8)*100</f>
        <v>64.2</v>
      </c>
      <c r="I8" s="159">
        <f>VLOOKUP(B8,'LIQIDITY 2'!$A$3:$X$15,24,FALSE)</f>
        <v>28.499999999999996</v>
      </c>
      <c r="J8" s="121">
        <f ca="1">VLOOKUP(B8,'Momnetum ranking'!$A$3:$AJ$15,36,FALSE)</f>
        <v>57.099999999999994</v>
      </c>
      <c r="K8" s="161">
        <f>VLOOKUP(B8,'Momnetum ranking'!$A$3:$H$15,8,FALSE)</f>
        <v>0.30392156862745096</v>
      </c>
      <c r="L8" s="121">
        <f>VLOOKUP(B8,'Currency- 2'!$A$3:$U$15,21,FALSE)</f>
        <v>42.8</v>
      </c>
      <c r="M8" s="160">
        <f t="shared" ca="1" si="1"/>
        <v>50.658215999999996</v>
      </c>
      <c r="N8" s="121" cm="1">
        <f t="array" aca="1" ref="N8" ca="1">_xlfn.PERCENTRANK.EXC(_xlfn._xlws.FILTER($M$6:M$18, ISNUMBER($M$6:M$18)),M8)*100</f>
        <v>71.399999999999991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57.099999999999994</v>
      </c>
      <c r="G9" s="180">
        <f t="shared" si="0"/>
        <v>59.466666666666669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28.499999999999996</v>
      </c>
      <c r="J9" s="121">
        <f ca="1">VLOOKUP(B9,'Momnetum ranking'!$A$3:$AJ$15,36,FALSE)</f>
        <v>85.7</v>
      </c>
      <c r="K9" s="161">
        <f>VLOOKUP(B9,'Momnetum ranking'!$A$3:$H$15,8,FALSE)</f>
        <v>0.28628230616302186</v>
      </c>
      <c r="L9" s="121">
        <f>VLOOKUP(B9,'Currency- 2'!$A$3:$U$15,21,FALSE)</f>
        <v>42.8</v>
      </c>
      <c r="M9" s="160">
        <f t="shared" ca="1" si="1"/>
        <v>62.098216000000001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28.499999999999996</v>
      </c>
      <c r="F10" s="159">
        <f>VLOOKUP(B10,Safety!$B$4:$R$16,17,FALSE)</f>
        <v>7.1</v>
      </c>
      <c r="G10" s="180">
        <f t="shared" si="0"/>
        <v>38.033333333333339</v>
      </c>
      <c r="H10" s="125" cm="1">
        <f t="array" ref="H10">_xlfn.PERCENTRANK.EXC(_xlfn._xlws.FILTER($G$6:G$18, ISNUMBER($G$6:G$18)),G10)*100</f>
        <v>35.699999999999996</v>
      </c>
      <c r="I10" s="159">
        <f>VLOOKUP(B10,'LIQIDITY 2'!$A$3:$X$15,24,FALSE)</f>
        <v>28.499999999999996</v>
      </c>
      <c r="J10" s="121">
        <f ca="1">VLOOKUP(B10,'Momnetum ranking'!$A$3:$AJ$15,36,FALSE)</f>
        <v>50</v>
      </c>
      <c r="K10" s="161">
        <f>VLOOKUP(B10,'Momnetum ranking'!$A$3:$H$15,8,FALSE)</f>
        <v>0.42105263157894735</v>
      </c>
      <c r="L10" s="121">
        <f>VLOOKUP(B10,'Currency- 2'!$A$3:$U$15,21,FALSE)</f>
        <v>78.5</v>
      </c>
      <c r="M10" s="160">
        <f t="shared" ca="1" si="1"/>
        <v>44.958858999999997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64.2</v>
      </c>
      <c r="F11" s="159">
        <f>VLOOKUP(B11,Safety!$B$4:$R$16,17,FALSE)</f>
        <v>50</v>
      </c>
      <c r="G11" s="180">
        <f t="shared" si="0"/>
        <v>66.633333333333326</v>
      </c>
      <c r="H11" s="125" cm="1">
        <f t="array" ref="H11">_xlfn.PERCENTRANK.EXC(_xlfn._xlws.FILTER($G$6:G$18, ISNUMBER($G$6:G$18)),G11)*100</f>
        <v>78.5</v>
      </c>
      <c r="I11" s="159">
        <f>VLOOKUP(B11,'LIQIDITY 2'!$A$3:$X$15,24,FALSE)</f>
        <v>21.4</v>
      </c>
      <c r="J11" s="121">
        <f ca="1">VLOOKUP(B11,'Momnetum ranking'!$A$3:$AJ$15,36,FALSE)</f>
        <v>42.8</v>
      </c>
      <c r="K11" s="161">
        <f>VLOOKUP(B11,'Momnetum ranking'!$A$3:$H$15,8,FALSE)</f>
        <v>0.41772151898734178</v>
      </c>
      <c r="L11" s="121">
        <f>VLOOKUP(B11,'Currency- 2'!$A$3:$U$15,21,FALSE)</f>
        <v>64.2</v>
      </c>
      <c r="M11" s="160">
        <f t="shared" ca="1" si="1"/>
        <v>47.808001000000004</v>
      </c>
      <c r="N11" s="121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50</v>
      </c>
      <c r="F12" s="159">
        <f>VLOOKUP(B12,Safety!$B$4:$R$16,17,FALSE)</f>
        <v>14.2</v>
      </c>
      <c r="G12" s="180">
        <f t="shared" si="0"/>
        <v>35.666666666666671</v>
      </c>
      <c r="H12" s="125" cm="1">
        <f t="array" ref="H12">_xlfn.PERCENTRANK.EXC(_xlfn._xlws.FILTER($G$6:G$18, ISNUMBER($G$6:G$18)),G12)*100</f>
        <v>21.4</v>
      </c>
      <c r="I12" s="159">
        <f>VLOOKUP(B12,'LIQIDITY 2'!$A$3:$X$15,24,FALSE)</f>
        <v>28.499999999999996</v>
      </c>
      <c r="J12" s="121">
        <f ca="1">VLOOKUP(B12,'Momnetum ranking'!$A$3:$AJ$15,36,FALSE)</f>
        <v>92.800000000000011</v>
      </c>
      <c r="K12" s="161">
        <f>VLOOKUP(B12,'Momnetum ranking'!$A$3:$H$15,8,FALSE)</f>
        <v>0.19767441860465115</v>
      </c>
      <c r="L12" s="121">
        <f>VLOOKUP(B12,'Currency- 2'!$A$3:$U$15,21,FALSE)</f>
        <v>14.2</v>
      </c>
      <c r="M12" s="160">
        <f t="shared" ca="1" si="1"/>
        <v>54.938930000000006</v>
      </c>
      <c r="N12" s="121" cm="1">
        <f t="array" aca="1" ref="N12" ca="1">_xlfn.PERCENTRANK.EXC(_xlfn._xlws.FILTER($M$6:M$18, ISNUMBER($M$6:M$18)),M12)*100</f>
        <v>78.5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28.499999999999996</v>
      </c>
      <c r="G13" s="180">
        <f t="shared" si="0"/>
        <v>23.766666666666669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78.5</v>
      </c>
      <c r="K13" s="161">
        <f>VLOOKUP(B13,'Momnetum ranking'!$A$3:$H$15,8,FALSE)</f>
        <v>0.34482758620689657</v>
      </c>
      <c r="L13" s="121">
        <f>VLOOKUP(B13,'Currency- 2'!$A$3:$U$15,21,FALSE)</f>
        <v>21.4</v>
      </c>
      <c r="M13" s="160">
        <f t="shared" ca="1" si="1"/>
        <v>42.089286999999999</v>
      </c>
      <c r="N13" s="121" cm="1">
        <f t="array" aca="1" ref="N13" ca="1">_xlfn.PERCENTRANK.EXC(_xlfn._xlws.FILTER($M$6:M$18, ISNUMBER($M$6:M$18)),M13)*100</f>
        <v>42.8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7.1</v>
      </c>
      <c r="F14" s="159">
        <f>VLOOKUP(B14,Safety!$B$4:$R$16,17,FALSE)</f>
        <v>71.399999999999991</v>
      </c>
      <c r="G14" s="180">
        <f t="shared" si="0"/>
        <v>28.533333333333331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28.499999999999996</v>
      </c>
      <c r="J14" s="121">
        <f ca="1">VLOOKUP(B14,'Momnetum ranking'!$A$3:$AJ$15,36,FALSE)</f>
        <v>71.399999999999991</v>
      </c>
      <c r="K14" s="161">
        <f>VLOOKUP(B14,'Momnetum ranking'!$A$3:$H$15,8,FALSE)</f>
        <v>0.23076923076923078</v>
      </c>
      <c r="L14" s="121">
        <f>VLOOKUP(B14,'Currency- 2'!$A$3:$U$15,21,FALSE)</f>
        <v>7.1</v>
      </c>
      <c r="M14" s="160">
        <f t="shared" ca="1" si="1"/>
        <v>43.529143999999995</v>
      </c>
      <c r="N14" s="121" cm="1">
        <f t="array" aca="1" ref="N14" ca="1">_xlfn.PERCENTRANK.EXC(_xlfn._xlws.FILTER($M$6:M$18, ISNUMBER($M$6:M$18)),M14)*100</f>
        <v>50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73.766666666666666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28.499999999999996</v>
      </c>
      <c r="J15" s="121">
        <f ca="1">VLOOKUP(B15,'Momnetum ranking'!$A$3:$AJ$15,36,FALSE)</f>
        <v>7.1</v>
      </c>
      <c r="K15" s="161">
        <f>VLOOKUP(B15,'Momnetum ranking'!$A$3:$H$15,8,FALSE)</f>
        <v>0.29508196721311475</v>
      </c>
      <c r="L15" s="121">
        <f>VLOOKUP(B15,'Currency- 2'!$A$3:$U$15,21,FALSE)</f>
        <v>71.399999999999991</v>
      </c>
      <c r="M15" s="160">
        <f t="shared" ca="1" si="1"/>
        <v>37.807786999999998</v>
      </c>
      <c r="N15" s="121" cm="1">
        <f t="array" aca="1" ref="N15" ca="1">_xlfn.PERCENTRANK.EXC(_xlfn._xlws.FILTER($M$6:M$18, ISNUMBER($M$6:M$18)),M15)*100</f>
        <v>35.699999999999996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42.8</v>
      </c>
      <c r="G16" s="180">
        <f t="shared" si="0"/>
        <v>35.666666666666671</v>
      </c>
      <c r="H16" s="125" cm="1">
        <f t="array" ref="H16">_xlfn.PERCENTRANK.EXC(_xlfn._xlws.FILTER($G$6:G$18, ISNUMBER($G$6:G$18)),G16)*100</f>
        <v>21.4</v>
      </c>
      <c r="I16" s="159">
        <f>VLOOKUP(B16,'LIQIDITY 2'!$A$3:$X$15,24,FALSE)</f>
        <v>28.499999999999996</v>
      </c>
      <c r="J16" s="121">
        <f ca="1">VLOOKUP(B16,'Momnetum ranking'!$A$3:$AJ$15,36,FALSE)</f>
        <v>14.2</v>
      </c>
      <c r="K16" s="161">
        <f>VLOOKUP(B16,'Momnetum ranking'!$A$3:$H$15,8,FALSE)</f>
        <v>0.33333333333333331</v>
      </c>
      <c r="L16" s="121">
        <f>VLOOKUP(B16,'Currency- 2'!$A$3:$U$15,21,FALSE)</f>
        <v>85.7</v>
      </c>
      <c r="M16" s="160">
        <f t="shared" ca="1" si="1"/>
        <v>30.64893</v>
      </c>
      <c r="N16" s="121" cm="1">
        <f t="array" aca="1" ref="N16" ca="1">_xlfn.PERCENTRANK.EXC(_xlfn._xlws.FILTER($M$6:M$18, ISNUMBER($M$6:M$18)),M16)*100</f>
        <v>7.1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14.2</v>
      </c>
      <c r="G17" s="180">
        <f t="shared" si="0"/>
        <v>42.8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28.499999999999996</v>
      </c>
      <c r="J17" s="121">
        <f ca="1">VLOOKUP(B17,'Momnetum ranking'!$A$3:$AJ$15,36,FALSE)</f>
        <v>21.4</v>
      </c>
      <c r="K17" s="161">
        <f>VLOOKUP(B17,'Momnetum ranking'!$A$3:$H$15,8,FALSE)</f>
        <v>0.17391304347826086</v>
      </c>
      <c r="L17" s="121">
        <f>VLOOKUP(B17,'Currency- 2'!$A$3:$U$15,21,FALSE)</f>
        <v>57.099999999999994</v>
      </c>
      <c r="M17" s="160">
        <f t="shared" ca="1" si="1"/>
        <v>32.808715999999997</v>
      </c>
      <c r="N17" s="121" cm="1">
        <f t="array" aca="1" ref="N17" ca="1">_xlfn.PERCENTRANK.EXC(_xlfn._xlws.FILTER($M$6:M$18, ISNUMBER($M$6:M$18)),M17)*100</f>
        <v>14.2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35.699999999999996</v>
      </c>
      <c r="G18" s="181">
        <f t="shared" si="0"/>
        <v>47.56666666666667</v>
      </c>
      <c r="H18" s="126" cm="1">
        <f t="array" ref="H18">_xlfn.PERCENTRANK.EXC(_xlfn._xlws.FILTER($G$6:G$18, ISNUMBER($G$6:G$18)),G18)*100</f>
        <v>50</v>
      </c>
      <c r="I18" s="154">
        <f>VLOOKUP(B18,'LIQIDITY 2'!$A$3:$X$15,24,FALSE)</f>
        <v>28.499999999999996</v>
      </c>
      <c r="J18" s="122">
        <f ca="1">VLOOKUP(B18,'Momnetum ranking'!$A$3:$AJ$15,36,FALSE)</f>
        <v>28.499999999999996</v>
      </c>
      <c r="K18" s="165">
        <f>VLOOKUP(B18,'Momnetum ranking'!$A$3:$H$15,8,FALSE)</f>
        <v>0.26923076923076922</v>
      </c>
      <c r="L18" s="122">
        <f>VLOOKUP(B18,'Currency- 2'!$A$3:$U$15,21,FALSE)</f>
        <v>35.699999999999996</v>
      </c>
      <c r="M18" s="164">
        <f t="shared" ca="1" si="1"/>
        <v>34.938572999999998</v>
      </c>
      <c r="N18" s="122" cm="1">
        <f t="array" aca="1" ref="N18" ca="1">_xlfn.PERCENTRANK.EXC(_xlfn._xlws.FILTER($M$6:M$18, ISNUMBER($M$6:M$18)),M18)*100</f>
        <v>21.4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0.17599795077165215</v>
      </c>
      <c r="F9">
        <f ca="1">VLOOKUP(B9,OUTPUT_COUNTRY!$B$6:$N$18, 9, FALSE)</f>
        <v>71.399999999999991</v>
      </c>
      <c r="G9" s="47">
        <f>IFERROR(VLOOKUP(B9,OUTPUT_COUNTRY!$B$6:$N$18, 7, FALSE),0)</f>
        <v>14.2</v>
      </c>
      <c r="H9">
        <f>VLOOKUP(B9,OUTPUT_COUNTRY!$B$6:$N$18, 8, FALSE)</f>
        <v>28.499999999999996</v>
      </c>
      <c r="I9">
        <f>VLOOKUP(B9,OUTPUT_COUNTRY!$B$6:$N$18, 11, FALSE)</f>
        <v>7.1</v>
      </c>
      <c r="J9" s="47">
        <f t="shared" ref="J9:J21" ca="1" si="0">IF(F9&gt;=$D$3,1/E9,0)</f>
        <v>5.6818843379457649</v>
      </c>
      <c r="K9" s="136">
        <f ca="1">J9/$J$22</f>
        <v>0.23413806630295964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0.18137083052429395</v>
      </c>
      <c r="F10">
        <f ca="1">VLOOKUP(B10,OUTPUT_COUNTRY!$B$6:$N$18, 9, FALSE)</f>
        <v>78.5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21.4</v>
      </c>
      <c r="J10" s="47">
        <f t="shared" ca="1" si="0"/>
        <v>5.5135657542575665</v>
      </c>
      <c r="K10" s="136">
        <f t="shared" ref="K10:K21" ca="1" si="6">J10/$J$22</f>
        <v>0.22720202442607482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0.16126435504218137</v>
      </c>
      <c r="F11">
        <f ca="1">VLOOKUP(B11,OUTPUT_COUNTRY!$B$6:$N$18, 9, FALSE)</f>
        <v>92.800000000000011</v>
      </c>
      <c r="G11" s="47">
        <f>IFERROR(VLOOKUP(B11,OUTPUT_COUNTRY!$B$6:$N$18, 7, FALSE),0)</f>
        <v>21.4</v>
      </c>
      <c r="H11">
        <f>VLOOKUP(B11,OUTPUT_COUNTRY!$B$6:$N$18, 8, FALSE)</f>
        <v>28.499999999999996</v>
      </c>
      <c r="I11">
        <f>VLOOKUP(B11,OUTPUT_COUNTRY!$B$6:$N$18, 11, FALSE)</f>
        <v>14.2</v>
      </c>
      <c r="J11" s="47">
        <f t="shared" ca="1" si="0"/>
        <v>6.2009983529121078</v>
      </c>
      <c r="K11" s="136">
        <f t="shared" ca="1" si="6"/>
        <v>0.25552962312210609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0.19571688404865942</v>
      </c>
      <c r="F12">
        <f ca="1">VLOOKUP(B12,OUTPUT_COUNTRY!$B$6:$N$18, 9, FALSE)</f>
        <v>50</v>
      </c>
      <c r="G12" s="47">
        <f>IFERROR(VLOOKUP(B12,OUTPUT_COUNTRY!$B$6:$N$18, 7, FALSE),0)</f>
        <v>35.699999999999996</v>
      </c>
      <c r="H12">
        <f>VLOOKUP(B12,OUTPUT_COUNTRY!$B$6:$N$18, 8, FALSE)</f>
        <v>28.499999999999996</v>
      </c>
      <c r="I12">
        <f>VLOOKUP(B12,OUTPUT_COUNTRY!$B$6:$N$18, 11, FALSE)</f>
        <v>78.5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5.1094212175960179</v>
      </c>
      <c r="Q12" s="136">
        <f t="shared" si="9"/>
        <v>0.17866520806320152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0.14098206687598147</v>
      </c>
      <c r="F13">
        <f ca="1">VLOOKUP(B13,OUTPUT_COUNTRY!$B$6:$N$18, 9, FALSE)</f>
        <v>35.699999999999996</v>
      </c>
      <c r="G13" s="47">
        <f>IFERROR(VLOOKUP(B13,OUTPUT_COUNTRY!$B$6:$N$18, 7, FALSE),0)</f>
        <v>57.099999999999994</v>
      </c>
      <c r="H13">
        <f>VLOOKUP(B13,OUTPUT_COUNTRY!$B$6:$N$18, 8, FALSE)</f>
        <v>7.1</v>
      </c>
      <c r="I13">
        <f>VLOOKUP(B13,OUTPUT_COUNTRY!$B$6:$N$18, 11, FALSE)</f>
        <v>28.499999999999996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0</v>
      </c>
      <c r="Q13" s="136">
        <f t="shared" si="9"/>
        <v>0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0.1466300890211939</v>
      </c>
      <c r="F14">
        <f ca="1">VLOOKUP(B14,OUTPUT_COUNTRY!$B$6:$N$18, 9, FALSE)</f>
        <v>64.2</v>
      </c>
      <c r="G14" s="47">
        <f>IFERROR(VLOOKUP(B14,OUTPUT_COUNTRY!$B$6:$N$18, 7, FALSE),0)</f>
        <v>85.7</v>
      </c>
      <c r="H14">
        <f>VLOOKUP(B14,OUTPUT_COUNTRY!$B$6:$N$18, 8, FALSE)</f>
        <v>28.499999999999996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6.8198826494298865</v>
      </c>
      <c r="M14" s="136">
        <f t="shared" si="7"/>
        <v>0.37053177330372183</v>
      </c>
      <c r="N14">
        <f t="shared" si="2"/>
        <v>0</v>
      </c>
      <c r="O14" s="136" t="e">
        <f t="shared" si="8"/>
        <v>#DIV/0!</v>
      </c>
      <c r="P14">
        <f t="shared" si="3"/>
        <v>6.8198826494298865</v>
      </c>
      <c r="Q14" s="136">
        <f t="shared" si="9"/>
        <v>0.23847627757343157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0.16287363152993517</v>
      </c>
      <c r="F15">
        <f ca="1">VLOOKUP(B15,OUTPUT_COUNTRY!$B$6:$N$18, 9, FALSE)</f>
        <v>42.8</v>
      </c>
      <c r="G15" s="47">
        <f>IFERROR(VLOOKUP(B15,OUTPUT_COUNTRY!$B$6:$N$18, 7, FALSE),0)</f>
        <v>78.5</v>
      </c>
      <c r="H15">
        <f>VLOOKUP(B15,OUTPUT_COUNTRY!$B$6:$N$18, 8, FALSE)</f>
        <v>21.4</v>
      </c>
      <c r="I15">
        <f>VLOOKUP(B15,OUTPUT_COUNTRY!$B$6:$N$18, 11, FALSE)</f>
        <v>64.2</v>
      </c>
      <c r="J15" s="47">
        <f t="shared" ca="1" si="0"/>
        <v>0</v>
      </c>
      <c r="K15" s="136">
        <f t="shared" ca="1" si="6"/>
        <v>0</v>
      </c>
      <c r="L15">
        <f t="shared" si="1"/>
        <v>6.1397292527133596</v>
      </c>
      <c r="M15" s="136">
        <f t="shared" si="7"/>
        <v>0.33357828639511755</v>
      </c>
      <c r="N15">
        <f t="shared" si="2"/>
        <v>0</v>
      </c>
      <c r="O15" s="136" t="e">
        <f t="shared" si="8"/>
        <v>#DIV/0!</v>
      </c>
      <c r="P15">
        <f t="shared" si="3"/>
        <v>6.1397292527133596</v>
      </c>
      <c r="Q15" s="136">
        <f t="shared" si="9"/>
        <v>0.21469281111723937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0.19459974559286658</v>
      </c>
      <c r="F16">
        <f ca="1">VLOOKUP(B16,OUTPUT_COUNTRY!$B$6:$N$18, 9, FALSE)</f>
        <v>57.099999999999994</v>
      </c>
      <c r="G16" s="47">
        <f>IFERROR(VLOOKUP(B16,OUTPUT_COUNTRY!$B$6:$N$18, 7, FALSE),0)</f>
        <v>64.2</v>
      </c>
      <c r="H16">
        <f>VLOOKUP(B16,OUTPUT_COUNTRY!$B$6:$N$18, 8, FALSE)</f>
        <v>28.499999999999996</v>
      </c>
      <c r="I16">
        <f>VLOOKUP(B16,OUTPUT_COUNTRY!$B$6:$N$18, 11, FALSE)</f>
        <v>42.8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0.14554366623036771</v>
      </c>
      <c r="F17">
        <f ca="1">VLOOKUP(B17,OUTPUT_COUNTRY!$B$6:$N$18, 9, FALSE)</f>
        <v>85.7</v>
      </c>
      <c r="G17" s="47">
        <f>IFERROR(VLOOKUP(B17,OUTPUT_COUNTRY!$B$6:$N$18, 7, FALSE),0)</f>
        <v>64.2</v>
      </c>
      <c r="H17">
        <f>VLOOKUP(B17,OUTPUT_COUNTRY!$B$6:$N$18, 8, FALSE)</f>
        <v>28.499999999999996</v>
      </c>
      <c r="I17">
        <f>VLOOKUP(B17,OUTPUT_COUNTRY!$B$6:$N$18, 11, FALSE)</f>
        <v>42.8</v>
      </c>
      <c r="J17" s="47">
        <f t="shared" ca="1" si="0"/>
        <v>6.8707902301786996</v>
      </c>
      <c r="K17" s="136">
        <f t="shared" ca="1" si="6"/>
        <v>0.28313028614885949</v>
      </c>
      <c r="L17">
        <f t="shared" si="1"/>
        <v>0</v>
      </c>
      <c r="M17" s="136">
        <f t="shared" si="7"/>
        <v>0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0.18361931077956437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28.499999999999996</v>
      </c>
      <c r="I18">
        <f>VLOOKUP(B18,OUTPUT_COUNTRY!$B$6:$N$18, 11, FALSE)</f>
        <v>71.399999999999991</v>
      </c>
      <c r="J18" s="47">
        <f t="shared" ca="1" si="0"/>
        <v>0</v>
      </c>
      <c r="K18" s="136">
        <f t="shared" ca="1" si="6"/>
        <v>0</v>
      </c>
      <c r="L18">
        <f t="shared" si="1"/>
        <v>5.4460502860753222</v>
      </c>
      <c r="M18" s="136">
        <f t="shared" si="7"/>
        <v>0.29588994030116067</v>
      </c>
      <c r="N18">
        <f t="shared" si="2"/>
        <v>0</v>
      </c>
      <c r="O18" s="136" t="e">
        <f t="shared" si="8"/>
        <v>#DIV/0!</v>
      </c>
      <c r="P18">
        <f t="shared" si="3"/>
        <v>5.4460502860753222</v>
      </c>
      <c r="Q18" s="136">
        <f t="shared" si="9"/>
        <v>0.19043638526676632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0.19674749336570257</v>
      </c>
      <c r="F19">
        <f ca="1">VLOOKUP(B19,OUTPUT_COUNTRY!$B$6:$N$18, 9, FALSE)</f>
        <v>14.2</v>
      </c>
      <c r="G19" s="47">
        <f>IFERROR(VLOOKUP(B19,OUTPUT_COUNTRY!$B$6:$N$18, 7, FALSE),0)</f>
        <v>21.4</v>
      </c>
      <c r="H19">
        <f>VLOOKUP(B19,OUTPUT_COUNTRY!$B$6:$N$18, 8, FALSE)</f>
        <v>28.499999999999996</v>
      </c>
      <c r="I19">
        <f>VLOOKUP(B19,OUTPUT_COUNTRY!$B$6:$N$18, 11, FALSE)</f>
        <v>85.7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5.0826568760459852</v>
      </c>
      <c r="Q19" s="136">
        <f t="shared" si="9"/>
        <v>0.17772931797936126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0.21474809493191396</v>
      </c>
      <c r="F20">
        <f ca="1">VLOOKUP(B20,OUTPUT_COUNTRY!$B$6:$N$18, 9, FALSE)</f>
        <v>21.4</v>
      </c>
      <c r="G20" s="47">
        <f>IFERROR(VLOOKUP(B20,OUTPUT_COUNTRY!$B$6:$N$18, 7, FALSE),0)</f>
        <v>42.8</v>
      </c>
      <c r="H20">
        <f>VLOOKUP(B20,OUTPUT_COUNTRY!$B$6:$N$18, 8, FALSE)</f>
        <v>28.499999999999996</v>
      </c>
      <c r="I20">
        <f>VLOOKUP(B20,OUTPUT_COUNTRY!$B$6:$N$18, 11, FALSE)</f>
        <v>57.099999999999994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0.21793707039109161</v>
      </c>
      <c r="F21" s="13">
        <f ca="1">VLOOKUP(B21,OUTPUT_COUNTRY!$B$6:$N$18, 9, FALSE)</f>
        <v>28.499999999999996</v>
      </c>
      <c r="G21" s="138">
        <f>IFERROR(VLOOKUP(B21,OUTPUT_COUNTRY!$B$6:$N$18, 7, FALSE),0)</f>
        <v>50</v>
      </c>
      <c r="H21" s="13">
        <f>VLOOKUP(B21,OUTPUT_COUNTRY!$B$6:$N$18, 8, FALSE)</f>
        <v>28.499999999999996</v>
      </c>
      <c r="I21" s="13">
        <f>VLOOKUP(B21,OUTPUT_COUNTRY!$B$6:$N$18, 11, FALSE)</f>
        <v>35.699999999999996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0</v>
      </c>
      <c r="Q21" s="137">
        <f t="shared" si="9"/>
        <v>0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24.267238675294138</v>
      </c>
      <c r="K22" s="169"/>
      <c r="L22">
        <f>SUM(L9:L21)</f>
        <v>18.405662188218567</v>
      </c>
      <c r="N22">
        <f>SUM(N9:N21)</f>
        <v>0</v>
      </c>
      <c r="P22">
        <f>SUM(P9:P21)</f>
        <v>28.59774028186057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-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--</v>
      </c>
      <c r="H10" s="121" t="str">
        <f>IF(VLOOKUP(C10,OUTPUT_COUNTRY!$B$6:$N$18,7,FALSE)&gt;75,"++",(IF(VLOOKUP(C10,OUTPUT_COUNTRY!$B$6:$N$18,7,FALSE)&gt;50,"+",(IF(VLOOKUP(C10,OUTPUT_COUNTRY!$B$6:$N$18,7,FALSE)&gt;25,"-","--")))))</f>
        <v>--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--</v>
      </c>
      <c r="K15" s="159" t="str">
        <f>IF(VLOOKUP(C15,OUTPUT_COUNTRY!$B$6:$N$18,11,FALSE)&gt;75,"++",(IF(VLOOKUP(C15,OUTPUT_COUNTRY!$B$6:$N$18,11,FALSE)&gt;50,"+",(IF(VLOOKUP(C15,OUTPUT_COUNTRY!$B$6:$N$18,11,FALSE)&gt;25,"-","--")))))</f>
        <v>+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49.558414358714899</v>
      </c>
      <c r="H3" s="4" cm="1">
        <f t="array" ref="H3">_xll.FDS(D3,"FMA_PE(NTMA,0,,,""PORTAGG"",""MEANR"")")</f>
        <v>24.309251830204101</v>
      </c>
      <c r="I3" cm="1">
        <f t="array" ref="I3">_xll.FDS(D3,"FMA_DIV_YLD(NTMA,NOW,NOW,M,""PORTAGG"",""MEANR"")")</f>
        <v>3.1055861975912502</v>
      </c>
      <c r="J3" s="52" cm="1">
        <f t="array" ref="J3">IFERROR(_xll.FDS(D3,"FG_FCF_YIELD_NTM(0)"),(1/G3*100))</f>
        <v>1.97446643246985</v>
      </c>
      <c r="K3" s="3" cm="1">
        <f t="array" ref="K3">_xll.FDS(D3,"FMA_EVAL_EBITDA(NTMA,0,,,""PORTAGG"",""MEANR"")")</f>
        <v>12.816317050387401</v>
      </c>
      <c r="L3" cm="1">
        <f t="array" ref="L3">_xll.FDS(D3,"FMA_EVAL_EBIT(LTMA,NOW,NOW,M,""PORTAGG"",""MEANR"")")</f>
        <v>19.7849457837534</v>
      </c>
      <c r="M3">
        <f>HLOOKUP(D3,'Index ROE'!$A$1:$N$25,25,FALSE)</f>
        <v>6.5791075223619204</v>
      </c>
      <c r="N3">
        <f>VLOOKUP(A3,'LIQIDITY 2'!$A$3:$E$16,5,FALSE)</f>
        <v>4.3563999999999998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-1.2508138024087496</v>
      </c>
      <c r="R3" s="52">
        <f t="shared" ref="R3:R11" si="1">J3-N3</f>
        <v>-2.3819335675301501</v>
      </c>
      <c r="S3">
        <f t="shared" ref="S3:S11" si="2">M3-N3</f>
        <v>2.2227075223619206</v>
      </c>
      <c r="T3">
        <f t="shared" ref="T3:T11" si="3">M3-O3</f>
        <v>3.2484815223619203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19.270084205230901</v>
      </c>
      <c r="H4" s="4" cm="1">
        <f t="array" ref="H4">_xll.FDS(D4,"FMA_PE(NTMA,0,,,""PORTAGG"",""MEANR"")")</f>
        <v>18.1969661506315</v>
      </c>
      <c r="I4" cm="1">
        <f t="array" ref="I4">_xll.FDS(D4,"FMA_DIV_YLD(NTMA,NOW,NOW,M,""PORTAGG"",""MEANR"")")</f>
        <v>3.5620213520369099</v>
      </c>
      <c r="J4" s="52" cm="1">
        <f t="array" ref="J4">IFERROR(_xll.FDS(D4,"FG_FCF_YIELD_NTM(0)"),(1/G4*100))</f>
        <v>4.5940122302066202</v>
      </c>
      <c r="K4" s="3" cm="1">
        <f t="array" ref="K4">_xll.FDS(D4,"FMA_EVAL_EBITDA(NTMA,0,,,""PORTAGG"",""MEANR"")")</f>
        <v>9.1584460073136604</v>
      </c>
      <c r="L4" cm="1">
        <f t="array" ref="L4">_xll.FDS(D4,"FMA_EVAL_EBIT(LTMA,NOW,NOW,M,""PORTAGG"",""MEANR"")")</f>
        <v>13.4359801799229</v>
      </c>
      <c r="M4">
        <f>HLOOKUP(D4,'Index ROE'!$A$1:$N$25,25,FALSE)</f>
        <v>13.226394097123199</v>
      </c>
      <c r="N4">
        <f>VLOOKUP(A4,'LIQIDITY 2'!$A$3:$E$16,5,FALSE)</f>
        <v>4.2009999999999996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-0.63897864796308967</v>
      </c>
      <c r="R4" s="52">
        <f t="shared" si="1"/>
        <v>0.39301223020662057</v>
      </c>
      <c r="S4">
        <f t="shared" si="2"/>
        <v>9.0253940971232005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18.973094497137399</v>
      </c>
      <c r="H5" s="4" cm="1">
        <f t="array" ref="H5">_xll.FDS(D5,"FMA_PE(NTMA,0,,,""PORTAGG"",""MEANR"")")</f>
        <v>15.154169455037801</v>
      </c>
      <c r="I5" cm="1">
        <f t="array" ref="I5">_xll.FDS(D5,"FMA_DIV_YLD(NTMA,NOW,NOW,M,""PORTAGG"",""MEANR"")")</f>
        <v>3.0595973679689599</v>
      </c>
      <c r="J5" s="52" cm="1">
        <f t="array" ref="J5">IFERROR(_xll.FDS(D5,"FG_FCF_YIELD_NTM(0)"),(1/G5*100))</f>
        <v>4.8349584227768201</v>
      </c>
      <c r="K5" s="3" cm="1">
        <f t="array" ref="K5">_xll.FDS(D5,"FMA_EVAL_EBITDA(NTMA,0,,,""PORTAGG"",""MEANR"")")</f>
        <v>10.041383735643601</v>
      </c>
      <c r="L5" cm="1">
        <f t="array" ref="L5">_xll.FDS(D5,"FMA_EVAL_EBIT(LTMA,NOW,NOW,M,""PORTAGG"",""MEANR"")")</f>
        <v>16.294701635770501</v>
      </c>
      <c r="M5">
        <f>HLOOKUP(D5,'Index ROE'!$A$1:$N$25,25,FALSE)</f>
        <v>13.1479323697033</v>
      </c>
      <c r="N5">
        <f>VLOOKUP(A5,'LIQIDITY 2'!$A$3:$E$16,5,FALSE)</f>
        <v>3.2347000000000001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-0.17510263203104026</v>
      </c>
      <c r="R5" s="52">
        <f t="shared" si="1"/>
        <v>1.60025842277682</v>
      </c>
      <c r="S5">
        <f t="shared" si="2"/>
        <v>9.9132323697032998</v>
      </c>
      <c r="T5">
        <f t="shared" si="3"/>
        <v>10.406748169703299</v>
      </c>
      <c r="U5" cm="1">
        <f t="array" ref="U5">_xlfn.PERCENTRANK.EXC(_xlfn._xlws.FILTER(Q$3:Q$15, ISNUMBER(Q$3:Q$15)),Q5)*100</f>
        <v>42.8</v>
      </c>
      <c r="V5" cm="1">
        <f t="array" ref="V5">_xlfn.PERCENTRANK.EXC(_xlfn._xlws.FILTER(R$3:R$15, ISNUMBER(R$3:R$15)),R5)*100</f>
        <v>50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50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48.2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15.5679795337788</v>
      </c>
      <c r="H6" s="4" cm="1">
        <f t="array" ref="H6">_xll.FDS(D6,"FMA_PE(NTMA,0,,,""PORTAGG"",""MEANR"")")</f>
        <v>12.7094869372742</v>
      </c>
      <c r="I6" cm="1">
        <f t="array" ref="I6">_xll.FDS(D6,"FMA_DIV_YLD(NTMA,NOW,NOW,M,""PORTAGG"",""MEANR"")")</f>
        <v>3.1832723461946202</v>
      </c>
      <c r="J6" s="52" cm="1">
        <f t="array" ref="J6">IFERROR(_xll.FDS(D6,"FG_FCF_YIELD_NTM(0)"),(1/G6*100))</f>
        <v>5.7301803467233396</v>
      </c>
      <c r="K6" s="3" cm="1">
        <f t="array" ref="K6">_xll.FDS(D6,"FMA_EVAL_EBITDA(NTMA,0,,,""PORTAGG"",""MEANR"")")</f>
        <v>8.8716069509358793</v>
      </c>
      <c r="L6" cm="1">
        <f t="array" ref="L6">_xll.FDS(D6,"FMA_EVAL_EBIT(LTMA,NOW,NOW,M,""PORTAGG"",""MEANR"")")</f>
        <v>14.6994790732026</v>
      </c>
      <c r="M6">
        <f>HLOOKUP(D6,'Index ROE'!$A$1:$N$25,25,FALSE)</f>
        <v>11.938792865095699</v>
      </c>
      <c r="N6">
        <f>VLOOKUP(A6,'LIQIDITY 2'!$A$3:$E$16,5,FALSE)</f>
        <v>2.2639999999999998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0.91927234619462039</v>
      </c>
      <c r="R6" s="52">
        <f t="shared" si="1"/>
        <v>3.4661803467233399</v>
      </c>
      <c r="S6">
        <f t="shared" si="2"/>
        <v>9.6747928650957</v>
      </c>
      <c r="T6">
        <f t="shared" si="3"/>
        <v>9.6524247650956987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17.505235777399601</v>
      </c>
      <c r="H7" s="4" cm="1">
        <f t="array" ref="H7">_xll.FDS(D7,"FMA_PE(NTMA,0,,,""PORTAGG"",""MEANR"")")</f>
        <v>14.6427122957341</v>
      </c>
      <c r="I7" cm="1">
        <f t="array" ref="I7">_xll.FDS(D7,"FMA_DIV_YLD(NTMA,NOW,NOW,M,""PORTAGG"",""MEANR"")")</f>
        <v>2.4628355931619899</v>
      </c>
      <c r="J7" s="52" cm="1">
        <f t="array" ref="J7">IFERROR(_xll.FDS(D7,"FG_FCF_YIELD_NTM(0)"),(1/G7*100))</f>
        <v>4.1901052526588796</v>
      </c>
      <c r="K7" s="3" cm="1">
        <f t="array" ref="K7">_xll.FDS(D7,"FMA_EVAL_EBITDA(NTMA,0,,,""PORTAGG"",""MEANR"")")</f>
        <v>10.2480997007273</v>
      </c>
      <c r="L7" cm="1">
        <f t="array" ref="L7">_xll.FDS(D7,"FMA_EVAL_EBIT(LTMA,NOW,NOW,M,""PORTAGG"",""MEANR"")")</f>
        <v>16.811766839127198</v>
      </c>
      <c r="M7">
        <f>HLOOKUP(D7,'Index ROE'!$A$1:$N$25,25,FALSE)</f>
        <v>9.2997686176437409</v>
      </c>
      <c r="N7">
        <f>VLOOKUP(A7,'LIQIDITY 2'!$A$3:$E$16,5,FALSE)</f>
        <v>0.94479999999999997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1.51803559316199</v>
      </c>
      <c r="R7" s="52">
        <f t="shared" si="1"/>
        <v>3.2453052526588797</v>
      </c>
      <c r="S7">
        <f t="shared" si="2"/>
        <v>8.3549686176437401</v>
      </c>
      <c r="T7">
        <f t="shared" si="3"/>
        <v>6.5730740176437408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56.765000000000001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21.4532188141219</v>
      </c>
      <c r="H8" s="4" cm="1">
        <f t="array" ref="H8">_xll.FDS(D8,"FMA_PE(NTMA,0,,,""PORTAGG"",""MEANR"")")</f>
        <v>17.096908951945601</v>
      </c>
      <c r="I8" cm="1">
        <f t="array" ref="I8">_xll.FDS(D8,"FMA_DIV_YLD(NTMA,NOW,NOW,M,""PORTAGG"",""MEANR"")")</f>
        <v>3.1384714049975702</v>
      </c>
      <c r="J8" s="52" cm="1">
        <f t="array" ref="J8">IFERROR(_xll.FDS(D8,"FG_FCF_YIELD_NTM(0)"),(1/G8*100))</f>
        <v>4.73444517227012</v>
      </c>
      <c r="K8" s="3" cm="1">
        <f t="array" ref="K8">_xll.FDS(D8,"FMA_EVAL_EBITDA(NTMA,0,,,""PORTAGG"",""MEANR"")")</f>
        <v>13.1059321814945</v>
      </c>
      <c r="L8" cm="1">
        <f t="array" ref="L8">_xll.FDS(D8,"FMA_EVAL_EBIT(LTMA,NOW,NOW,M,""PORTAGG"",""MEANR"")")</f>
        <v>16.951724125623599</v>
      </c>
      <c r="M8">
        <f>HLOOKUP(D8,'Index ROE'!$A$1:$N$25,25,FALSE)</f>
        <v>19.302463641340701</v>
      </c>
      <c r="N8">
        <f>VLOOKUP(A8,'LIQIDITY 2'!$A$3:$E$16,5,FALSE)</f>
        <v>0.53600000000000003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2.6024714049975701</v>
      </c>
      <c r="R8" s="52">
        <f t="shared" si="1"/>
        <v>4.1984451722701195</v>
      </c>
      <c r="S8">
        <f t="shared" si="2"/>
        <v>18.7664636413407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35.799999999999997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62.88000000000001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13.857774605487201</v>
      </c>
      <c r="H9" s="4" cm="1">
        <f t="array" ref="H9">_xll.FDS(D9,"FMA_PE(NTMA,0,,,""PORTAGG"",""MEANR"")")</f>
        <v>11.7662455304602</v>
      </c>
      <c r="I9" cm="1">
        <f t="array" ref="I9">_xll.FDS(D9,"FMA_DIV_YLD(NTMA,NOW,NOW,M,""PORTAGG"",""MEANR"")")</f>
        <v>3.8728075549833099</v>
      </c>
      <c r="J9" s="52" cm="1">
        <f t="array" ref="J9">IFERROR(_xll.FDS(D9,"FG_FCF_YIELD_NTM(0)"),(1/G9*100))</f>
        <v>6.1862080813900304</v>
      </c>
      <c r="K9" s="3" cm="1">
        <f t="array" ref="K9">_xll.FDS(D9,"FMA_EVAL_EBITDA(NTMA,0,,,""PORTAGG"",""MEANR"")")</f>
        <v>7.6637460245179403</v>
      </c>
      <c r="L9" cm="1">
        <f t="array" ref="L9">_xll.FDS(D9,"FMA_EVAL_EBIT(LTMA,NOW,NOW,M,""PORTAGG"",""MEANR"")")</f>
        <v>10.9552698594165</v>
      </c>
      <c r="M9">
        <f>HLOOKUP(D9,'Index ROE'!$A$1:$N$25,25,FALSE)</f>
        <v>14.7202942014685</v>
      </c>
      <c r="N9">
        <f>VLOOKUP(A9,'LIQIDITY 2'!$A$3:$E$16,5,FALSE)</f>
        <v>4.2190000000000003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-0.34619244501669044</v>
      </c>
      <c r="R9" s="52">
        <f t="shared" si="1"/>
        <v>1.9672080813900301</v>
      </c>
      <c r="S9">
        <f t="shared" si="2"/>
        <v>10.5012942014685</v>
      </c>
      <c r="T9">
        <f t="shared" si="3"/>
        <v>11.850593801468499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71.089999999999989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36.6356675136186</v>
      </c>
      <c r="H10" s="4" cm="1">
        <f t="array" ref="H10">_xll.FDS(D10,"FMA_PE(NTMA,0,,,""PORTAGG"",""MEANR"")")</f>
        <v>26.6065593247422</v>
      </c>
      <c r="I10" cm="1">
        <f t="array" ref="I10">_xll.FDS(D10,"FMA_DIV_YLD(NTMA,NOW,NOW,M,""PORTAGG"",""MEANR"")")</f>
        <v>0.817342229199014</v>
      </c>
      <c r="J10" s="52" cm="1">
        <f t="array" ref="J10">IFERROR(_xll.FDS(D10,"FG_FCF_YIELD_NTM(0)"),(1/G10*100))</f>
        <v>3.5225712961591702</v>
      </c>
      <c r="K10" s="3" cm="1">
        <f t="array" ref="K10">_xll.FDS(D10,"FMA_EVAL_EBITDA(NTMA,0,,,""PORTAGG"",""MEANR"")")</f>
        <v>16.769241122924399</v>
      </c>
      <c r="L10" cm="1">
        <f t="array" ref="L10">_xll.FDS(D10,"FMA_EVAL_EBIT(LTMA,NOW,NOW,M,""PORTAGG"",""MEANR"")")</f>
        <v>25.1711968245089</v>
      </c>
      <c r="M10">
        <f>HLOOKUP(D10,'Index ROE'!$A$1:$N$25,25,FALSE)</f>
        <v>25.30628712435</v>
      </c>
      <c r="N10">
        <f>VLOOKUP(A10,'LIQIDITY 2'!$A$3:$E$16,5,FALSE)</f>
        <v>4.0754999999999999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-3.2581577708009859</v>
      </c>
      <c r="R10" s="52">
        <f t="shared" si="1"/>
        <v>-0.55292870384082971</v>
      </c>
      <c r="S10">
        <f t="shared" si="2"/>
        <v>21.230787124350002</v>
      </c>
      <c r="T10">
        <f t="shared" si="3"/>
        <v>22.107397124350001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26.9811170297105</v>
      </c>
      <c r="H11" s="4" cm="1">
        <f t="array" ref="H11">_xll.FDS(D11,"FMA_PE(NTMA,0,,,""PORTAGG"",""MEANR"")")</f>
        <v>21.570619563489</v>
      </c>
      <c r="I11" cm="1">
        <f t="array" ref="I11">_xll.FDS(D11,"FMA_DIV_YLD(NTMA,NOW,NOW,M,""PORTAGG"",""MEANR"")")</f>
        <v>1.346001568938</v>
      </c>
      <c r="J11" s="52" cm="1">
        <f t="array" ref="J11">IFERROR(_xll.FDS(D11,"FG_FCF_YIELD_NTM(0)"),(1/G11*100))</f>
        <v>3.9707144245542301</v>
      </c>
      <c r="K11" s="3" cm="1">
        <f t="array" ref="K11">_xll.FDS(D11,"FMA_EVAL_EBITDA(NTMA,0,,,""PORTAGG"",""MEANR"")")</f>
        <v>14.8354041590595</v>
      </c>
      <c r="L11" cm="1">
        <f t="array" ref="L11">_xll.FDS(D11,"FMA_EVAL_EBIT(LTMA,NOW,NOW,M,""PORTAGG"",""MEANR"")")</f>
        <v>21.5261618255531</v>
      </c>
      <c r="M11">
        <f>HLOOKUP(D11,'Index ROE'!$A$1:$N$25,25,FALSE)</f>
        <v>20.344268503591</v>
      </c>
      <c r="N11">
        <f>VLOOKUP(A11,'LIQIDITY 2'!$A$3:$E$16,5,FALSE)</f>
        <v>4.0754999999999999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-2.7294984310619999</v>
      </c>
      <c r="R11" s="52">
        <f t="shared" si="1"/>
        <v>-0.10478557544576983</v>
      </c>
      <c r="S11">
        <f t="shared" si="2"/>
        <v>16.268768503590998</v>
      </c>
      <c r="T11">
        <f t="shared" si="3"/>
        <v>17.145378503591001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16.693092146764901</v>
      </c>
      <c r="H12" s="4" cm="1">
        <f t="array" ref="H12">_xll.FDS(D12,"FMA_PE(NTMA,0,,,""PORTAGG"",""MEANR"")")</f>
        <v>13.817677645899201</v>
      </c>
      <c r="I12" cm="1">
        <f t="array" ref="I12">_xll.FDS(D12,"FMA_DIV_YLD(NTMA,NOW,NOW,M,""PORTAGG"",""MEANR"")")</f>
        <v>3.3334973095882998</v>
      </c>
      <c r="J12" s="52" cm="1">
        <f t="array" ref="J12">IFERROR(_xll.FDS(D12,"FG_FCF_YIELD_NTM(0)"),(1/G12*100))</f>
        <v>5.7950733391241798</v>
      </c>
      <c r="K12" s="3" cm="1">
        <f t="array" ref="K12">_xll.FDS(D12,"FMA_EVAL_EBITDA(NTMA,0,,,""PORTAGG"",""MEANR"")")</f>
        <v>9.2479198333334001</v>
      </c>
      <c r="L12" cm="1">
        <f t="array" ref="L12">_xll.FDS(D12,"FMA_EVAL_EBIT(LTMA,NOW,NOW,M,""PORTAGG"",""MEANR"")")</f>
        <v>13.5836279614691</v>
      </c>
      <c r="M12">
        <f>HLOOKUP(D12,'Index ROE'!$A$1:$N$25,25,FALSE)</f>
        <v>13.2312741384504</v>
      </c>
      <c r="N12">
        <f>VLOOKUP(A12,'LIQIDITY 2'!$A$3:$E$16,5,FALSE)</f>
        <v>3.0350000000000001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0.29849730958829968</v>
      </c>
      <c r="R12" s="52">
        <f t="shared" ref="R12:R15" si="5">J12-N12</f>
        <v>2.7600733391241796</v>
      </c>
      <c r="S12">
        <f t="shared" ref="S12:S15" si="6">M12-N12</f>
        <v>10.1962741384504</v>
      </c>
      <c r="T12">
        <f t="shared" ref="T12:T15" si="7">M12-O12</f>
        <v>11.0219059384504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21.4558119714235</v>
      </c>
      <c r="H13" s="4" cm="1">
        <f t="array" ref="H13">_xll.FDS(D13,"FMA_PE(NTMA,0,,,""PORTAGG"",""MEANR"")")</f>
        <v>15.1303784360714</v>
      </c>
      <c r="I13" cm="1">
        <f t="array" ref="I13">_xll.FDS(D13,"FMA_DIV_YLD(NTMA,NOW,NOW,M,""PORTAGG"",""MEANR"")")</f>
        <v>2.6053092474692501</v>
      </c>
      <c r="J13" s="52" cm="1">
        <f t="array" ref="J13">IFERROR(_xll.FDS(D13,"FG_FCF_YIELD_NTM(0)"),(1/G13*100))</f>
        <v>4.0394787542277797</v>
      </c>
      <c r="K13" s="3" cm="1">
        <f t="array" ref="K13">_xll.FDS(D13,"FMA_EVAL_EBITDA(NTMA,0,,,""PORTAGG"",""MEANR"")")</f>
        <v>12.015913510856</v>
      </c>
      <c r="L13" cm="1">
        <f t="array" ref="L13">_xll.FDS(D13,"FMA_EVAL_EBIT(LTMA,NOW,NOW,M,""PORTAGG"",""MEANR"")")</f>
        <v>20.981830326291501</v>
      </c>
      <c r="M13">
        <f>HLOOKUP(D13,'Index ROE'!$A$1:$N$25,25,FALSE)</f>
        <v>12.750726724682799</v>
      </c>
      <c r="N13">
        <f>VLOOKUP(A13,'LIQIDITY 2'!$A$3:$E$16,5,FALSE)</f>
        <v>2.556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4.9309247469250028E-2</v>
      </c>
      <c r="R13" s="52">
        <f t="shared" si="5"/>
        <v>1.4834787542277796</v>
      </c>
      <c r="S13">
        <f t="shared" si="6"/>
        <v>10.194726724682798</v>
      </c>
      <c r="T13">
        <f t="shared" si="7"/>
        <v>9.8626097246827999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57.2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41.445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14.811449684523</v>
      </c>
      <c r="H14" s="4" cm="1">
        <f t="array" ref="H14">_xll.FDS(D14,"FMA_PE(NTMA,0,,,""PORTAGG"",""MEANR"")")</f>
        <v>16.376862147760399</v>
      </c>
      <c r="I14" cm="1">
        <f t="array" ref="I14">_xll.FDS(D14,"FMA_DIV_YLD(NTMA,NOW,NOW,M,""PORTAGG"",""MEANR"")")</f>
        <v>3.1232894810281402</v>
      </c>
      <c r="J14" s="52" cm="1">
        <f t="array" ref="J14">IFERROR(_xll.FDS(D14,"FG_FCF_YIELD_NTM(0)"),(1/G14*100))</f>
        <v>4.9445315159499001</v>
      </c>
      <c r="K14" s="3" cm="1">
        <f t="array" ref="K14">_xll.FDS(D14,"FMA_EVAL_EBITDA(NTMA,0,,,""PORTAGG"",""MEANR"")")</f>
        <v>11.1896314234224</v>
      </c>
      <c r="L14" cm="1">
        <f t="array" ref="L14">_xll.FDS(D14,"FMA_EVAL_EBIT(LTMA,NOW,NOW,M,""PORTAGG"",""MEANR"")")</f>
        <v>16.384898299898101</v>
      </c>
      <c r="M14">
        <f>HLOOKUP(D14,'Index ROE'!$A$1:$N$25,25,FALSE)</f>
        <v>15.368050598586001</v>
      </c>
      <c r="N14">
        <f>VLOOKUP(A14,'LIQIDITY 2'!$A$3:$E$16,5,FALSE)</f>
        <v>2.1339999999999999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0.98928948102814029</v>
      </c>
      <c r="R14" s="52">
        <f t="shared" si="5"/>
        <v>2.8105315159499002</v>
      </c>
      <c r="S14">
        <f t="shared" si="6"/>
        <v>13.234050598586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11.1517799427447</v>
      </c>
      <c r="H15" s="4" cm="1">
        <f t="array" ref="H15">_xll.FDS(D15,"FMA_PE(NTMA,0,,,""PORTAGG"",""MEANR"")")</f>
        <v>10.2748890249973</v>
      </c>
      <c r="I15" cm="1">
        <f t="array" ref="I15">_xll.FDS(D15,"FMA_DIV_YLD(NTMA,NOW,NOW,M,""PORTAGG"",""MEANR"")")</f>
        <v>5.3259539231313999</v>
      </c>
      <c r="J15" s="52" cm="1">
        <f t="array" ref="J15">IFERROR(_xll.FDS(D15,"FG_FCF_YIELD_NTM(0)"),(1/G15*100))</f>
        <v>5.0547158466666904</v>
      </c>
      <c r="K15" s="3" cm="1">
        <f t="array" ref="K15">_xll.FDS(D15,"FMA_EVAL_EBITDA(NTMA,0,,,""PORTAGG"",""MEANR"")")</f>
        <v>7.7876988170190797</v>
      </c>
      <c r="L15" cm="1">
        <f t="array" ref="L15">_xll.FDS(D15,"FMA_EVAL_EBIT(LTMA,NOW,NOW,M,""PORTAGG"",""MEANR"")")</f>
        <v>12.0294286641653</v>
      </c>
      <c r="M15">
        <f>HLOOKUP(D15,'Index ROE'!$A$1:$N$25,25,FALSE)</f>
        <v>13.3572149047324</v>
      </c>
      <c r="N15">
        <f>VLOOKUP(A15,'LIQIDITY 2'!$A$3:$E$16,5,FALSE)</f>
        <v>3.5529999999999999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1.7729539231314</v>
      </c>
      <c r="R15" s="52">
        <f t="shared" si="5"/>
        <v>1.5017158466666904</v>
      </c>
      <c r="S15">
        <f t="shared" si="6"/>
        <v>9.804214904732401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15.5204531278484</v>
      </c>
      <c r="H19" s="4" cm="1">
        <f t="array" ref="H19">_xll.FDS(D19,"FG_PE_NTM(0,,,90,0)")</f>
        <v>13.3519132854373</v>
      </c>
      <c r="I19" cm="1">
        <f t="array" ref="I19">_xll.FDS(D19,"FMA_DIV_YLD(NTMA,NOW,NOW,M,""PORTAGG"",""MEANR"")")</f>
        <v>3.4822100327256198</v>
      </c>
      <c r="J19" s="52" cm="1">
        <f t="array" ref="J19">_xll.FDS(D19,"FG_FCF_YIELD_NTM(0)")</f>
        <v>5.2832389440043901</v>
      </c>
      <c r="K19" s="3" cm="1">
        <f t="array" ref="K19">_xll.FDS(D19,"FMA_EVAL_EBITDA(NTMA,0,,,""PORTAGG"",""MEANR"")")</f>
        <v>9.0576513947074897</v>
      </c>
      <c r="L19" cm="1">
        <f t="array" ref="L19">_xll.FDS(D19,"FMA_EVAL_EBIT(LTMA,NOW,NOW,M,""PORTAGG"",""MEANR"")")</f>
        <v>13.532481429399599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45534</v>
      </c>
      <c r="G20" s="4" cm="1">
        <f t="array" ref="G20">_xll.FDS(D20,"FG_PE(0)")</f>
        <v>15.257602938288199</v>
      </c>
      <c r="H20" s="4" cm="1">
        <f t="array" ref="H20">_xll.FDS(D20,"FG_PE_NTM(0,,,90,0)")</f>
        <v>12.8384353290412</v>
      </c>
      <c r="I20" cm="1">
        <f t="array" ref="I20">_xll.FDS(D20,"FMA_DIV_YLD(NTMA,NOW,NOW,M,""PORTAGG"",""MEANR"")")</f>
        <v>2.9815136932541502</v>
      </c>
      <c r="J20" s="52" cm="1">
        <f t="array" ref="J20">_xll.FDS(D20,"FG_FCF_YIELD_NTM(0)")</f>
        <v>5.3690699868963696</v>
      </c>
      <c r="K20" s="3" cm="1">
        <f t="array" ref="K20">_xll.FDS(D20,"FMA_EVAL_EBITDA(NTMA,0,,,""PORTAGG"",""MEANR"")")</f>
        <v>8.9176153183754394</v>
      </c>
      <c r="L20" cm="1">
        <f t="array" ref="L20">_xll.FDS(D20,"FMA_EVAL_EBIT(LTMA,NOW,NOW,M,""PORTAGG"",""MEANR"")")</f>
        <v>14.516023323941701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4.3563999999999998</v>
      </c>
      <c r="G3" s="26" cm="1">
        <f t="array" ref="G3">_xll.FDSB(C3,"PCTCHG(FG_YIELD(0,,,,""YTM""),FG_YIELD(-1AM,,,,""YTM""))")</f>
        <v>3.5143187</v>
      </c>
      <c r="H3" s="26" cm="1">
        <f t="array" ref="H3">_xll.FDSB(C3,"PCTCHG(FG_YIELD(0,,,,""YTM""),FG_YIELD(-3AM,,,,""YTM""))")</f>
        <v>-4.8176712999999998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4.75</v>
      </c>
      <c r="M3" s="36" cm="1">
        <f t="array" ref="M3">_xll.FDSB(J3,"(SUBARRAY(NOT_NA(NO_REPEAT_F(FG_YIELD(now,-10AY,D))),0,1)-SUBARRAY(NOT_NA(NO_REPEAT_F(FG_YIELD(now,-10AY,D))),1,1))*100")</f>
        <v>-50</v>
      </c>
      <c r="N3" s="38">
        <f t="shared" ref="N3:N15" si="0">M3*-1</f>
        <v>50</v>
      </c>
      <c r="O3" s="26">
        <f>L3-E3</f>
        <v>0.39360000000000017</v>
      </c>
      <c r="S3">
        <f t="shared" ref="S3:S15" si="1">IF(M3&gt; 0, 0, 1)</f>
        <v>1</v>
      </c>
      <c r="T3">
        <f t="shared" ref="T3:T15" si="2">IF(G3&lt;0, 1, 0)</f>
        <v>0</v>
      </c>
      <c r="U3">
        <f t="shared" ref="U3:U15" si="3">IF(H3&lt;0, 1, 0)</f>
        <v>1</v>
      </c>
      <c r="V3" s="47">
        <f t="shared" ref="V3:V15" si="4">SUMPRODUCT($S$1:$U$1,S3:U3)</f>
        <v>0.75</v>
      </c>
      <c r="X3">
        <f>_xlfn.PERCENTRANK.EXC($V$3:$V$15,V3)*100</f>
        <v>28.499999999999996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4.2009999999999996</v>
      </c>
      <c r="G4" s="26" cm="1">
        <f t="array" ref="G4">_xll.FDSB(C4,"PCTCHG(FG_YIELD(0,,,,""YTM""),FG_YIELD(-1AM,,,,""YTM""))")</f>
        <v>7.4699489999999997</v>
      </c>
      <c r="H4" s="26" cm="1">
        <f t="array" ref="H4">_xll.FDSB(C4,"PCTCHG(FG_YIELD(0,,,,""YTM""),FG_YIELD(-3AM,,,,""YTM""))")</f>
        <v>-3.3141446000000001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0.14900000000000002</v>
      </c>
      <c r="S4">
        <f t="shared" si="1"/>
        <v>0</v>
      </c>
      <c r="T4">
        <f t="shared" si="2"/>
        <v>0</v>
      </c>
      <c r="U4">
        <f t="shared" si="3"/>
        <v>1</v>
      </c>
      <c r="V4" s="47">
        <f t="shared" si="4"/>
        <v>0.25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3.2347000000000001</v>
      </c>
      <c r="G5" s="26" cm="1">
        <f t="array" ref="G5">_xll.FDSB(C5,"PCTCHG(FG_YIELD(0,,,,""YTM""),FG_YIELD(-1AM,,,,""YTM""))")</f>
        <v>11.730159</v>
      </c>
      <c r="H5" s="26" cm="1">
        <f t="array" ref="H5">_xll.FDSB(C5,"PCTCHG(FG_YIELD(0,,,,""YTM""),FG_YIELD(-3AM,,,,""YTM""))")</f>
        <v>-6.8963520000000003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1.0152999999999999</v>
      </c>
      <c r="S5">
        <f t="shared" si="1"/>
        <v>1</v>
      </c>
      <c r="T5">
        <f t="shared" si="2"/>
        <v>0</v>
      </c>
      <c r="U5">
        <f t="shared" si="3"/>
        <v>1</v>
      </c>
      <c r="V5" s="47">
        <f t="shared" si="4"/>
        <v>0.75</v>
      </c>
      <c r="X5">
        <f t="shared" si="6"/>
        <v>28.499999999999996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2.2639999999999998</v>
      </c>
      <c r="G6" s="26" cm="1">
        <f t="array" ref="G6">_xll.FDSB(C6,"PCTCHG(FG_YIELD(0,,,,""YTM""),FG_YIELD(-1AM,,,,""YTM""))")</f>
        <v>4.717854</v>
      </c>
      <c r="H6" s="26" cm="1">
        <f t="array" ref="H6">_xll.FDSB(C6,"PCTCHG(FG_YIELD(0,,,,""YTM""),FG_YIELD(-3AM,,,,""YTM""))")</f>
        <v>-10.372133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3.65</v>
      </c>
      <c r="M6" s="36" cm="1">
        <f t="array" ref="M6">_xll.FDSB(J6,"(SUBARRAY(NOT_NA(NO_REPEAT_F(FG_YIELD(now,-10AY,D))),0,1)-SUBARRAY(NOT_NA(NO_REPEAT_F(FG_YIELD(now,-10AY,D))),1,1))*100")</f>
        <v>-60</v>
      </c>
      <c r="N6" s="38">
        <f t="shared" si="0"/>
        <v>60</v>
      </c>
      <c r="O6" s="26">
        <f t="shared" si="5"/>
        <v>1.3860000000000001</v>
      </c>
      <c r="S6">
        <f t="shared" si="1"/>
        <v>1</v>
      </c>
      <c r="T6">
        <f t="shared" si="2"/>
        <v>0</v>
      </c>
      <c r="U6">
        <f t="shared" si="3"/>
        <v>1</v>
      </c>
      <c r="V6" s="47">
        <f t="shared" si="4"/>
        <v>0.75</v>
      </c>
      <c r="X6">
        <f t="shared" si="6"/>
        <v>28.499999999999996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0.94479999999999997</v>
      </c>
      <c r="G7" s="26" cm="1">
        <f t="array" ref="G7">_xll.FDSB(C7,"PCTCHG(FG_YIELD(0,,,,""YTM""),FG_YIELD(-1AM,,,,""YTM""))")</f>
        <v>6.1453790000000001</v>
      </c>
      <c r="H7" s="26" cm="1">
        <f t="array" ref="H7">_xll.FDSB(C7,"PCTCHG(FG_YIELD(0,,,,""YTM""),FG_YIELD(-3AM,,,,""YTM""))")</f>
        <v>-12.937701000000001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-0.69479999999999997</v>
      </c>
      <c r="S7">
        <f t="shared" si="1"/>
        <v>0</v>
      </c>
      <c r="T7">
        <f t="shared" si="2"/>
        <v>0</v>
      </c>
      <c r="U7">
        <f t="shared" si="3"/>
        <v>1</v>
      </c>
      <c r="V7" s="47">
        <f t="shared" si="4"/>
        <v>0.25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0.53600000000000003</v>
      </c>
      <c r="G8" s="26" cm="1">
        <f t="array" ref="G8">_xll.FDSB(C8,"PCTCHG(FG_YIELD(0,,,,""YTM""),FG_YIELD(-1AM,,,,""YTM""))")</f>
        <v>18.322296000000001</v>
      </c>
      <c r="H8" s="26" cm="1">
        <f t="array" ref="H8">_xll.FDSB(C8,"PCTCHG(FG_YIELD(0,,,,""YTM""),FG_YIELD(-3AM,,,,""YTM""))")</f>
        <v>-11.696866999999999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0.46399999999999997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28.499999999999996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4.2190000000000003</v>
      </c>
      <c r="G9" s="26" cm="1">
        <f t="array" ref="G9">_xll.FDSB(C9,"PCTCHG(FG_YIELD(0,,,,""YTM""),FG_YIELD(-1AM,,,,""YTM""))")</f>
        <v>9.6128839999999993</v>
      </c>
      <c r="H9" s="26" cm="1">
        <f t="array" ref="H9">_xll.FDSB(C9,"PCTCHG(FG_YIELD(0,,,,""YTM""),FG_YIELD(-3AM,,,,""YTM""))")</f>
        <v>2.2292225000000001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0.78099999999999969</v>
      </c>
      <c r="S9">
        <f t="shared" si="1"/>
        <v>1</v>
      </c>
      <c r="T9">
        <f t="shared" si="2"/>
        <v>0</v>
      </c>
      <c r="U9">
        <f t="shared" si="3"/>
        <v>0</v>
      </c>
      <c r="V9" s="47">
        <f t="shared" si="4"/>
        <v>0.5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4.0754999999999999</v>
      </c>
      <c r="G10" s="26" cm="1">
        <f t="array" ref="G10">_xll.FDSB(C10,"PCTCHG(FG_YIELD(0,,,,""YTM""),FG_YIELD(-1AM,,,,""YTM""))")</f>
        <v>11.822972999999999</v>
      </c>
      <c r="H10" s="26" cm="1">
        <f t="array" ref="H10">_xll.FDSB(C10,"PCTCHG(FG_YIELD(0,,,,""YTM""),FG_YIELD(-3AM,,,,""YTM""))")</f>
        <v>-4.8158469999999998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</v>
      </c>
      <c r="M10" s="36" cm="1">
        <f t="array" ref="M10">_xll.FDSB(J10,"(SUBARRAY(NOT_NA(NO_REPEAT_F(FG_YIELD(now,-10AY,D))),0,1)-SUBARRAY(NOT_NA(NO_REPEAT_F(FG_YIELD(now,-10AY,D))),1,1))*100")</f>
        <v>-50</v>
      </c>
      <c r="N10" s="38">
        <f t="shared" si="0"/>
        <v>50</v>
      </c>
      <c r="O10" s="26">
        <f t="shared" si="5"/>
        <v>0.9245000000000001</v>
      </c>
      <c r="S10">
        <f t="shared" si="1"/>
        <v>1</v>
      </c>
      <c r="T10">
        <f t="shared" si="2"/>
        <v>0</v>
      </c>
      <c r="U10">
        <f t="shared" si="3"/>
        <v>1</v>
      </c>
      <c r="V10" s="47">
        <f t="shared" si="4"/>
        <v>0.75</v>
      </c>
      <c r="X10">
        <f t="shared" si="6"/>
        <v>28.499999999999996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4.0754999999999999</v>
      </c>
      <c r="G11" s="26" cm="1">
        <f t="array" ref="G11">_xll.FDSB(C11,"PCTCHG(FG_YIELD(0,,,,""YTM""),FG_YIELD(-1AM,,,,""YTM""))")</f>
        <v>11.822972999999999</v>
      </c>
      <c r="H11" s="26" cm="1">
        <f t="array" ref="H11">_xll.FDSB(C11,"PCTCHG(FG_YIELD(0,,,,""YTM""),FG_YIELD(-3AM,,,,""YTM""))")</f>
        <v>-4.8158469999999998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</v>
      </c>
      <c r="M11" s="36" cm="1">
        <f t="array" ref="M11">_xll.FDSB(J11,"(SUBARRAY(NOT_NA(NO_REPEAT_F(FG_YIELD(now,-10AY,D))),0,1)-SUBARRAY(NOT_NA(NO_REPEAT_F(FG_YIELD(now,-10AY,D))),1,1))*100")</f>
        <v>-50</v>
      </c>
      <c r="N11" s="38">
        <f t="shared" si="0"/>
        <v>50</v>
      </c>
      <c r="O11" s="26">
        <f t="shared" si="5"/>
        <v>0.9245000000000001</v>
      </c>
      <c r="S11">
        <f t="shared" si="1"/>
        <v>1</v>
      </c>
      <c r="T11">
        <f t="shared" si="2"/>
        <v>0</v>
      </c>
      <c r="U11">
        <f t="shared" si="3"/>
        <v>1</v>
      </c>
      <c r="V11" s="47">
        <f t="shared" si="4"/>
        <v>0.75</v>
      </c>
      <c r="X11">
        <f t="shared" si="6"/>
        <v>28.499999999999996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3.0350000000000001</v>
      </c>
      <c r="G12" s="26" cm="1">
        <f t="array" ref="G12">_xll.FDSB(C12,"PCTCHG(FG_YIELD(0,,,,""YTM""),FG_YIELD(-1AM,,,,""YTM""))")</f>
        <v>5.2357845000000003</v>
      </c>
      <c r="H12" s="26" cm="1">
        <f t="array" ref="H12">_xll.FDSB(C12,"PCTCHG(FG_YIELD(0,,,,""YTM""),FG_YIELD(-3AM,,,,""YTM""))")</f>
        <v>-4.5297203000000001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3.65</v>
      </c>
      <c r="M12" s="36" cm="1">
        <f t="array" ref="M12">_xll.FDSB(J12,"(SUBARRAY(NOT_NA(NO_REPEAT_F(FG_YIELD(now,-10AY,D))),0,1)-SUBARRAY(NOT_NA(NO_REPEAT_F(FG_YIELD(now,-10AY,D))),1,1))*100")</f>
        <v>-60</v>
      </c>
      <c r="N12" s="38">
        <f t="shared" si="0"/>
        <v>60</v>
      </c>
      <c r="O12" s="26">
        <f t="shared" si="5"/>
        <v>0.61499999999999977</v>
      </c>
      <c r="S12">
        <f t="shared" si="1"/>
        <v>1</v>
      </c>
      <c r="T12">
        <f t="shared" si="2"/>
        <v>0</v>
      </c>
      <c r="U12">
        <f t="shared" si="3"/>
        <v>1</v>
      </c>
      <c r="V12" s="47">
        <f t="shared" si="4"/>
        <v>0.75</v>
      </c>
      <c r="X12">
        <f t="shared" si="6"/>
        <v>28.499999999999996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2.556</v>
      </c>
      <c r="G13" s="26" cm="1">
        <f t="array" ref="G13">_xll.FDSB(C13,"PCTCHG(FG_YIELD(0,,,,""YTM""),FG_YIELD(-1AM,,,,""YTM""))")</f>
        <v>4.0716570000000001</v>
      </c>
      <c r="H13" s="26" cm="1">
        <f t="array" ref="H13">_xll.FDSB(C13,"PCTCHG(FG_YIELD(0,,,,""YTM""),FG_YIELD(-3AM,,,,""YTM""))")</f>
        <v>-8.974361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3.65</v>
      </c>
      <c r="M13" s="36" cm="1">
        <f t="array" ref="M13">_xll.FDSB(J13,"(SUBARRAY(NOT_NA(NO_REPEAT_F(FG_YIELD(now,-10AY,D))),0,1)-SUBARRAY(NOT_NA(NO_REPEAT_F(FG_YIELD(now,-10AY,D))),1,1))*100")</f>
        <v>-60</v>
      </c>
      <c r="N13" s="38">
        <f t="shared" si="0"/>
        <v>60</v>
      </c>
      <c r="O13" s="26">
        <f t="shared" si="5"/>
        <v>1.0939999999999999</v>
      </c>
      <c r="S13">
        <f t="shared" si="1"/>
        <v>1</v>
      </c>
      <c r="T13">
        <f t="shared" si="2"/>
        <v>0</v>
      </c>
      <c r="U13">
        <f t="shared" si="3"/>
        <v>1</v>
      </c>
      <c r="V13" s="47">
        <f t="shared" si="4"/>
        <v>0.75</v>
      </c>
      <c r="X13">
        <f t="shared" si="6"/>
        <v>28.499999999999996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2.1339999999999999</v>
      </c>
      <c r="G14" s="26" cm="1">
        <f t="array" ref="G14">_xll.FDSB(C14,"PCTCHG(FG_YIELD(0,,,,""YTM""),FG_YIELD(-1AM,,,,""YTM""))")</f>
        <v>9.6045230000000004</v>
      </c>
      <c r="H14" s="26" cm="1">
        <f t="array" ref="H14">_xll.FDSB(C14,"PCTCHG(FG_YIELD(0,,,,""YTM""),FG_YIELD(-3AM,,,,""YTM""))")</f>
        <v>-4.5617175000000003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3.25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1.1160000000000001</v>
      </c>
      <c r="S14">
        <f t="shared" si="1"/>
        <v>1</v>
      </c>
      <c r="T14">
        <f t="shared" si="2"/>
        <v>0</v>
      </c>
      <c r="U14">
        <f t="shared" si="3"/>
        <v>1</v>
      </c>
      <c r="V14" s="47">
        <f t="shared" si="4"/>
        <v>0.75</v>
      </c>
      <c r="X14">
        <f t="shared" si="6"/>
        <v>28.499999999999996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3.5529999999999999</v>
      </c>
      <c r="G15" s="26" cm="1">
        <f t="array" ref="G15">_xll.FDSB(C15,"PCTCHG(FG_YIELD(0,,,,""YTM""),FG_YIELD(-1AM,,,,""YTM""))")</f>
        <v>0.53763590000000006</v>
      </c>
      <c r="H15" s="26" cm="1">
        <f t="array" ref="H15">_xll.FDSB(C15,"PCTCHG(FG_YIELD(0,,,,""YTM""),FG_YIELD(-3AM,,,,""YTM""))")</f>
        <v>-7.7622020000000003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O15" s="26">
        <f t="shared" si="5"/>
        <v>9.6999999999999975E-2</v>
      </c>
      <c r="S15">
        <f t="shared" si="1"/>
        <v>1</v>
      </c>
      <c r="T15">
        <f t="shared" si="2"/>
        <v>0</v>
      </c>
      <c r="U15">
        <f t="shared" si="3"/>
        <v>1</v>
      </c>
      <c r="V15" s="47">
        <f t="shared" si="4"/>
        <v>0.75</v>
      </c>
      <c r="X15">
        <f t="shared" si="6"/>
        <v>28.499999999999996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4.0754999999999999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4.3563999999999998</v>
      </c>
      <c r="H2" cm="1">
        <f t="array" ref="H2">_xll.FDS(B2,"FG_ROE(0)")</f>
        <v>3.3912677954808701</v>
      </c>
      <c r="I2">
        <f>HLOOKUP(B2,'Index ROE'!$B$1:$N$25,24,FALSE)</f>
        <v>9.8238973987983247</v>
      </c>
      <c r="J2" cm="1">
        <f t="array" ref="J2">_xll.FDS(B2, "FMA_RBICS_REV_CURRENT(30, LOC, ""PORTAGG"")")</f>
        <v>25.628699849389399</v>
      </c>
      <c r="K2" s="74">
        <f>HLOOKUP(B2,'Index earnings'!$B$1:$N$25,25,FALSE)</f>
        <v>-9.3828156139095231E-3</v>
      </c>
      <c r="L2">
        <f>HLOOKUP(A2,'Yearly returns'!$B$1:$N$128,126,FALSE)</f>
        <v>-32.786430000000003</v>
      </c>
      <c r="M2">
        <f t="shared" ref="M2:M10" si="0">I2-G2</f>
        <v>5.4674973987983249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42.900000000000006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21.400000000000002</v>
      </c>
      <c r="S2" cm="1">
        <f t="array" ref="S2">_xlfn.PERCENTRANK.EXC(_xlfn._xlws.FILTER(R$2:R$14, ISNUMBER(R$2:R$14)),R2)*100</f>
        <v>7.1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4.2009999999999996</v>
      </c>
      <c r="H3" cm="1">
        <f t="array" ref="H3">_xll.FDS(B3,"FG_ROE(0)")</f>
        <v>13.1041761514924</v>
      </c>
      <c r="I3">
        <f>HLOOKUP(B3,'Index ROE'!$B$1:$N$25,24,FALSE)</f>
        <v>13.020733299173699</v>
      </c>
      <c r="J3" cm="1">
        <f t="array" ref="J3">_xll.FDS(B3, "FMA_RBICS_REV_CURRENT(30, LOC, ""PORTAGG"")")</f>
        <v>43.296210954324103</v>
      </c>
      <c r="K3" s="74">
        <f>HLOOKUP(B3,'Index earnings'!$B$1:$N$25,25,FALSE)</f>
        <v>1.1174820218081027E-2</v>
      </c>
      <c r="L3">
        <f>HLOOKUP(A3,'Yearly returns'!$B$1:$N$128,126,FALSE)</f>
        <v>-27.062380000000001</v>
      </c>
      <c r="M3">
        <f t="shared" si="0"/>
        <v>8.8197332991736985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30.349999999999998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3.2347000000000001</v>
      </c>
      <c r="H4" cm="1">
        <f t="array" ref="H4">_xll.FDS(B4,"FG_ROE(0)")</f>
        <v>10.7746299545691</v>
      </c>
      <c r="I4">
        <f>HLOOKUP(B4,'Index ROE'!$B$1:$N$25,24,FALSE)</f>
        <v>12.7516875895064</v>
      </c>
      <c r="J4" cm="1">
        <f t="array" ref="J4">_xll.FDS(B4, "FMA_RBICS_REV_CURRENT(30, LOC, ""PORTAGG"")")</f>
        <v>42.359395995409997</v>
      </c>
      <c r="K4" s="74">
        <f>HLOOKUP(B4,'Index earnings'!$B$1:$N$25,25,FALSE)</f>
        <v>4.0814241598043699E-2</v>
      </c>
      <c r="L4">
        <f>HLOOKUP(A4,'Yearly returns'!$B$1:$N$128,126,FALSE)</f>
        <v>-26.546794999999999</v>
      </c>
      <c r="M4">
        <f t="shared" si="0"/>
        <v>9.5169875895063996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46.4</v>
      </c>
      <c r="S4" cm="1">
        <f t="array" ref="S4">_xlfn.PERCENTRANK.EXC(_xlfn._xlws.FILTER(R$2:R$14, ISNUMBER(R$2:R$14)),R4)*100</f>
        <v>50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2.2639999999999998</v>
      </c>
      <c r="H5" cm="1">
        <f t="array" ref="H5">_xll.FDS(B5,"FG_ROE(0)")</f>
        <v>10.8278116952907</v>
      </c>
      <c r="I5">
        <f>HLOOKUP(B5,'Index ROE'!$B$1:$N$25,24,FALSE)</f>
        <v>11.98362890343655</v>
      </c>
      <c r="J5" cm="1">
        <f t="array" ref="J5">_xll.FDS(B5, "FMA_RBICS_REV_CURRENT(30, LOC, ""PORTAGG"")")</f>
        <v>23.5276247083657</v>
      </c>
      <c r="K5" s="74">
        <f>HLOOKUP(B5,'Index earnings'!$B$1:$N$25,25,FALSE)</f>
        <v>2.8283094678403842E-2</v>
      </c>
      <c r="L5">
        <f>HLOOKUP(A5,'Yearly returns'!$B$1:$N$128,126,FALSE)</f>
        <v>-36.364227</v>
      </c>
      <c r="M5">
        <f t="shared" si="0"/>
        <v>9.7196289034365506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50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42.824999999999996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0.94479999999999997</v>
      </c>
      <c r="H6" cm="1">
        <f t="array" ref="H6">_xll.FDS(B6,"FG_ROE(0)")</f>
        <v>8.6998746022168696</v>
      </c>
      <c r="I6">
        <f>HLOOKUP(B6,'Index ROE'!$B$1:$N$25,24,FALSE)</f>
        <v>8.994618118763011</v>
      </c>
      <c r="J6" cm="1">
        <f t="array" ref="J6">_xll.FDS(B6, "FMA_RBICS_REV_CURRENT(30, LOC, ""PORTAGG"")")</f>
        <v>18.372455273807098</v>
      </c>
      <c r="K6" s="74">
        <f>HLOOKUP(B6,'Index earnings'!$B$1:$N$25,25,FALSE)</f>
        <v>2.4111183294471816E-2</v>
      </c>
      <c r="L6">
        <f>HLOOKUP(A6,'Yearly returns'!$B$1:$N$128,126,FALSE)</f>
        <v>-25.503195000000002</v>
      </c>
      <c r="M6">
        <f t="shared" si="0"/>
        <v>8.0498181187630102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71.500000000000014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64.2</v>
      </c>
      <c r="R6">
        <f>N6*Assumption!$F$64 + O6*Assumption!$F$61 + P6*Assumption!$F$62 + Q6*Assumption!$F$63</f>
        <v>49.974999999999994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0.53600000000000003</v>
      </c>
      <c r="H7" cm="1">
        <f t="array" ref="H7">_xll.FDS(B7,"FG_ROE(0)")</f>
        <v>18.723741604735299</v>
      </c>
      <c r="I7">
        <f>HLOOKUP(B7,'Index ROE'!$B$1:$N$25,24,FALSE)</f>
        <v>15.55096443559315</v>
      </c>
      <c r="J7" cm="1">
        <f t="array" ref="J7">_xll.FDS(B7, "FMA_RBICS_REV_CURRENT(30, LOC, ""PORTAGG"")")</f>
        <v>18.379237132783299</v>
      </c>
      <c r="K7" s="74">
        <f>HLOOKUP(B7,'Index earnings'!$B$1:$N$25,25,FALSE)</f>
        <v>4.6616158051884682E-2</v>
      </c>
      <c r="L7">
        <f>HLOOKUP(A7,'Yearly returns'!$B$1:$N$128,126,FALSE)</f>
        <v>-20.304466000000001</v>
      </c>
      <c r="M7">
        <f t="shared" si="0"/>
        <v>15.01496443559315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4.2190000000000003</v>
      </c>
      <c r="H8" cm="1">
        <f t="array" ref="H8">_xll.FDS(B8,"FG_ROE(0)")</f>
        <v>13.8261325277146</v>
      </c>
      <c r="I8">
        <f>HLOOKUP(B8,'Index ROE'!$B$1:$N$25,24,FALSE)</f>
        <v>14.561964916400001</v>
      </c>
      <c r="J8" cm="1">
        <f t="array" ref="J8">_xll.FDS(B8, "FMA_RBICS_REV_CURRENT(30, LOC, ""PORTAGG"")")</f>
        <v>19.911644146953801</v>
      </c>
      <c r="K8" s="74">
        <f>HLOOKUP(B8,'Index earnings'!$B$1:$N$25,25,FALSE)</f>
        <v>3.714974898957335E-3</v>
      </c>
      <c r="L8">
        <f>HLOOKUP(A8,'Yearly returns'!$B$1:$N$128,126,FALSE)</f>
        <v>-22.542137</v>
      </c>
      <c r="M8">
        <f t="shared" si="0"/>
        <v>10.3429649164</v>
      </c>
      <c r="N8" cm="1">
        <f t="array" ref="N8">_xlfn.PERCENTRANK.EXC(_xlfn._xlws.FILTER(M$2:M$14, ISNUMBER(M$2:M$14)),M8)*100</f>
        <v>57.099999999999994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51.75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4.0754999999999999</v>
      </c>
      <c r="H9" cm="1">
        <f t="array" ref="H9">_xll.FDS(B9,"FG_ROE(0)")</f>
        <v>22.270785979306901</v>
      </c>
      <c r="I9">
        <f>HLOOKUP(B9,'Index ROE'!$B$1:$N$25,24,FALSE)</f>
        <v>21.036882269896502</v>
      </c>
      <c r="J9" cm="1">
        <f t="array" ref="J9">_xll.FDS(B9, "FMA_RBICS_REV_CURRENT(30, LOC, ""PORTAGG"")")</f>
        <v>0.944515959592101</v>
      </c>
      <c r="K9" s="74">
        <f>HLOOKUP(B9,'Index earnings'!$B$1:$N$25,25,FALSE)</f>
        <v>0.12989456714169711</v>
      </c>
      <c r="L9">
        <f>HLOOKUP(A9,'Yearly returns'!$B$1:$N$128,126,FALSE)</f>
        <v>-27.922893999999999</v>
      </c>
      <c r="M9">
        <f t="shared" si="0"/>
        <v>16.961382269896504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42.8</v>
      </c>
      <c r="R9">
        <f>N9*Assumption!$F$64 + O9*Assumption!$F$61 + P9*Assumption!$F$62 + Q9*Assumption!$F$63</f>
        <v>80.325000000000003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4.0754999999999999</v>
      </c>
      <c r="H10" cm="1">
        <f t="array" ref="H10">_xll.FDS(B10,"FG_ROE(0)")</f>
        <v>18.624401796030799</v>
      </c>
      <c r="I10">
        <f>HLOOKUP(B10,'Index ROE'!$B$1:$N$25,24,FALSE)</f>
        <v>16.391058174766847</v>
      </c>
      <c r="J10" cm="1">
        <f t="array" ref="J10">_xll.FDS(B10, "FMA_RBICS_REV_CURRENT(30, LOC, ""PORTAGG"")")</f>
        <v>12.4668204376818</v>
      </c>
      <c r="K10" s="74">
        <f>HLOOKUP(B10,'Index earnings'!$B$1:$N$25,25,FALSE)</f>
        <v>5.9885244145746919E-2</v>
      </c>
      <c r="L10">
        <f>HLOOKUP(A10,'Yearly returns'!$B$1:$N$128,126,FALSE)</f>
        <v>-16.5303</v>
      </c>
      <c r="M10">
        <f t="shared" si="0"/>
        <v>12.315558174766847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3.0350000000000001</v>
      </c>
      <c r="H11" cm="1">
        <f t="array" ref="H11">_xll.FDS(B11,"FG_ROE(0)")</f>
        <v>12.137277538568201</v>
      </c>
      <c r="I11">
        <f>HLOOKUP(B11,'Index ROE'!$B$1:$N$25,24,FALSE)</f>
        <v>11.16089938202855</v>
      </c>
      <c r="J11" cm="1">
        <f t="array" ref="J11">_xll.FDS(B11, "FMA_RBICS_REV_CURRENT(30, LOC, ""PORTAGG"")")</f>
        <v>11.512421549902699</v>
      </c>
      <c r="K11" s="74">
        <f>HLOOKUP(B11,'Index earnings'!$B$1:$N$25,25,FALSE)</f>
        <v>1.8533351250322294E-2</v>
      </c>
      <c r="L11">
        <f>HLOOKUP(A11,'Yearly returns'!$B$1:$N$128,126,FALSE)</f>
        <v>-23.181861999999999</v>
      </c>
      <c r="M11">
        <f t="shared" ref="M11:M14" si="1">I11-G11</f>
        <v>8.1258993820285497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2.556</v>
      </c>
      <c r="H12" cm="1">
        <f t="array" ref="H12">_xll.FDS(B12,"FG_ROE(0)")</f>
        <v>11.012309164006901</v>
      </c>
      <c r="I12">
        <f>HLOOKUP(B12,'Index ROE'!$B$1:$N$25,24,FALSE)</f>
        <v>13.04966082823935</v>
      </c>
      <c r="J12" cm="1">
        <f t="array" ref="J12">_xll.FDS(B12, "FMA_RBICS_REV_CURRENT(30, LOC, ""PORTAGG"")")</f>
        <v>26.680073368060899</v>
      </c>
      <c r="K12" s="74">
        <f>HLOOKUP(B12,'Index earnings'!$B$1:$N$25,25,FALSE)</f>
        <v>3.4820198321761975E-2</v>
      </c>
      <c r="L12">
        <f>HLOOKUP(A12,'Yearly returns'!$B$1:$N$128,126,FALSE)</f>
        <v>-36.667614</v>
      </c>
      <c r="M12">
        <f t="shared" si="1"/>
        <v>10.493660828239349</v>
      </c>
      <c r="N12" cm="1">
        <f t="array" ref="N12">_xlfn.PERCENTRANK.EXC(_xlfn._xlws.FILTER(M$2:M$14, ISNUMBER(M$2:M$14)),M12)*100</f>
        <v>64.2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2.1339999999999999</v>
      </c>
      <c r="H13" cm="1">
        <f t="array" ref="H13">_xll.FDS(B13,"FG_ROE(0)")</f>
        <v>16.991073849869402</v>
      </c>
      <c r="I13">
        <f>HLOOKUP(B13,'Index ROE'!$B$1:$N$25,24,FALSE)</f>
        <v>14.442959457883401</v>
      </c>
      <c r="J13" cm="1">
        <f t="array" ref="J13">_xll.FDS(B13, "FMA_RBICS_REV_CURRENT(30, LOC, ""PORTAGG"")")</f>
        <v>26.732323101591199</v>
      </c>
      <c r="K13" s="74">
        <f>HLOOKUP(B13,'Index earnings'!$B$1:$N$25,25,FALSE)</f>
        <v>2.4305006375947347E-2</v>
      </c>
      <c r="L13">
        <f>HLOOKUP(A13,'Yearly returns'!$B$1:$N$128,126,FALSE)</f>
        <v>-36.199359999999999</v>
      </c>
      <c r="M13">
        <f t="shared" si="1"/>
        <v>12.3089594578834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3.5529999999999999</v>
      </c>
      <c r="H14" cm="1">
        <f t="array" ref="H14">_xll.FDS(B14,"FG_ROE(0)")</f>
        <v>13.4012788616542</v>
      </c>
      <c r="I14">
        <f>HLOOKUP(B14,'Index ROE'!$B$1:$N$25,24,FALSE)</f>
        <v>9.6445775045501065</v>
      </c>
      <c r="J14" cm="1">
        <f t="array" ref="J14">_xll.FDS(B14, "FMA_RBICS_REV_CURRENT(30, LOC, ""PORTAGG"")")</f>
        <v>39.950361512674903</v>
      </c>
      <c r="K14" s="74">
        <f>HLOOKUP(B14,'Index earnings'!$B$1:$N$25,25,FALSE)</f>
        <v>9.2743946932130061E-3</v>
      </c>
      <c r="L14">
        <f>HLOOKUP(A14,'Yearly returns'!$B$1:$N$128,126,FALSE)</f>
        <v>-29.575026000000001</v>
      </c>
      <c r="M14">
        <f t="shared" si="1"/>
        <v>6.0915775045501066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99515.08</v>
      </c>
      <c r="E3" cm="1">
        <f t="array" ref="E3">_xll.FDS(C3,"FMA_COS_UP(""EPS"",""1M"",+1,0,,,""PORTAGG"",""MEANR"")")</f>
        <v>6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26</v>
      </c>
      <c r="H3" s="9">
        <f t="shared" ref="H3:H11" si="0">E3/$G3</f>
        <v>0.23076923076923078</v>
      </c>
      <c r="I3" s="9">
        <f t="shared" ref="I3:I11" si="1">F3/$G3</f>
        <v>0.34615384615384615</v>
      </c>
      <c r="J3" s="9">
        <f t="shared" ref="J3:J11" si="2">H3-I3</f>
        <v>-0.11538461538461536</v>
      </c>
      <c r="K3" s="5" cm="1">
        <f t="array" ref="K3">_xll.FDS(A3,"FMA_PCT_ABOVE_MAVG(200,0,,,,""PORTAGG"")")/100</f>
        <v>0.46153846153846201</v>
      </c>
      <c r="L3" s="41" cm="1">
        <f t="array" ref="L3">_xll.FDSB(A3,"PERCENT_CHANGE(FMA_EPS(+1,0,,,,""PORTAGG"",""MEAN""),FMA_EPS(+1,-1AM,,,,""PORTAGG"",""MEAN""))")</f>
        <v>-2.3911870067964802</v>
      </c>
      <c r="M3" s="41" cm="1">
        <f t="array" ref="M3">_xll.FDSB(A3,"PERCENT_CHANGE(FMA_EPS(+1,0,,,,""PORTAGG"",""MEAN""),FMA_EPS(+1,-3AM,,,,""PORTAGG"",""MEAN""))")</f>
        <v>8.3040051427860408</v>
      </c>
      <c r="N3" s="3" cm="1">
        <f t="array" ref="N3">_xll.FDS(C3,"FG_TOTAL_RETURNC(0,-1AM)")</f>
        <v>-0.63136219999999998</v>
      </c>
      <c r="O3" s="3" cm="1">
        <f t="array" ref="O3">_xll.FDS(C3,"FG_TOTAL_RETURNC(0,-3AM)")</f>
        <v>5.9730650000000001</v>
      </c>
      <c r="P3" s="3" cm="1">
        <f t="array" ref="P3">_xll.FDS(C3,"FG_TOTAL_RETURNC(0,-6AM)")</f>
        <v>9.0833429999999993</v>
      </c>
      <c r="Q3" s="9" cm="1">
        <f t="array" ref="Q3">_xll.FDS(C3,"P_PRICE(0)/P_PRICE_HIGH_PR(0,,,,,,""PRICE"",""INTRA"",""52W"")")</f>
        <v>0.96786355999999996</v>
      </c>
      <c r="R3" s="9" cm="1">
        <f t="array" ref="R3">_xll.FDS(C3,"P_PRICE(0)/P_PRICE_low_PR(0,,,,,,""PRICE"",""INTRA"",""52W"")-1")</f>
        <v>0.18912697000000001</v>
      </c>
      <c r="S3" s="3" cm="1">
        <f t="array" ref="S3">_xll.FDS(C3,"FG_TOTAL_RETURNC(0,-12AM)")</f>
        <v>10.984014999999999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64.2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42.8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42.8</v>
      </c>
      <c r="AC3" s="4">
        <f t="shared" ref="AC3:AC15" si="4">_xlfn.PERCENTRANK.EXC($L$3:$L$15,L3)*100</f>
        <v>28.499999999999996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71.399999999999991</v>
      </c>
      <c r="AH3" s="4">
        <f t="shared" ref="AH3:AH15" ca="1" si="7">SUMPRODUCT($U$2:$AG$2,U3:AG3)</f>
        <v>64.23</v>
      </c>
      <c r="AJ3" s="3" cm="1">
        <f t="array" aca="1" ref="AJ3" ca="1">_xlfn.PERCENTRANK.EXC(_xlfn._xlws.FILTER($AH$3:$AH$15, ISNUMBER($AH$3:$AH$15)),AH3)*100</f>
        <v>71.399999999999991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1802580.6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58</v>
      </c>
      <c r="H4" s="9">
        <f t="shared" si="0"/>
        <v>0.34482758620689657</v>
      </c>
      <c r="I4" s="9">
        <f t="shared" si="1"/>
        <v>0.36206896551724138</v>
      </c>
      <c r="J4" s="9">
        <f t="shared" si="2"/>
        <v>-1.7241379310344807E-2</v>
      </c>
      <c r="K4" s="5" cm="1">
        <f t="array" ref="K4">_xll.FDS(A4,"FMA_PCT_ABOVE_MAVG(200,0,,,,""PORTAGG"")")/100</f>
        <v>0.68965517241379304</v>
      </c>
      <c r="L4" s="41" cm="1">
        <f t="array" ref="L4">_xll.FDSB(A4,"PERCENT_CHANGE(FMA_EPS(+1,0,,,,""PORTAGG"",""MEAN""),FMA_EPS(+1,-1AM,,,,""PORTAGG"",""MEAN""))")</f>
        <v>0.62527931000558301</v>
      </c>
      <c r="M4" s="41" cm="1">
        <f t="array" ref="M4">_xll.FDSB(A4,"PERCENT_CHANGE(FMA_EPS(+1,0,,,,""PORTAGG"",""MEAN""),FMA_EPS(+1,-3AM,,,,""PORTAGG"",""MEAN""))")</f>
        <v>-2.0790120134405599</v>
      </c>
      <c r="N4" s="3" cm="1">
        <f t="array" ref="N4">_xll.FDS(C4,"FG_TOTAL_RETURNC(0,-1AM)")</f>
        <v>3.4184575000000001</v>
      </c>
      <c r="O4" s="3" cm="1">
        <f t="array" ref="O4">_xll.FDS(C4,"FG_TOTAL_RETURNC(0,-3AM)")</f>
        <v>4.6937110000000004</v>
      </c>
      <c r="P4" s="3" cm="1">
        <f t="array" ref="P4">_xll.FDS(C4,"FG_TOTAL_RETURNC(0,-6AM)")</f>
        <v>10.468793</v>
      </c>
      <c r="Q4" s="9" cm="1">
        <f t="array" ref="Q4">_xll.FDS(C4,"P_PRICE(0)/P_PRICE_HIGH_PR(0,,,,,,""PRICE"",""INTRA"",""52W"")")</f>
        <v>0.96658100000000002</v>
      </c>
      <c r="R4" s="9" cm="1">
        <f t="array" ref="R4">_xll.FDS(C4,"P_PRICE(0)/P_PRICE_low_PR(0,,,,,,""PRICE"",""INTRA"",""52W"")-1")</f>
        <v>0.28641260000000002</v>
      </c>
      <c r="S4" s="3" cm="1">
        <f t="array" ref="S4">_xll.FDS(C4,"FG_TOTAL_RETURNC(0,-12AM)")</f>
        <v>26.027249999999999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71.399999999999991</v>
      </c>
      <c r="Y4" s="201" cm="1">
        <f t="array" ref="Y4">_xlfn.PERCENTRANK.EXC(_xlfn._xlws.FILTER($S$3:$S$15, ISNUMBER($S$3:$S$15)),S4)*100</f>
        <v>42.8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71.399999999999991</v>
      </c>
      <c r="AB4" s="4" cm="1">
        <f t="array" ref="AB4">_xlfn.PERCENTRANK.EXC(_xlfn._xlws.FILTER($J$3:$J$15, ISNUMBER($J$3:$J$15)),J4)*100</f>
        <v>71.399999999999991</v>
      </c>
      <c r="AC4" s="4">
        <f t="shared" si="4"/>
        <v>92.800000000000011</v>
      </c>
      <c r="AD4" s="4">
        <f t="shared" si="5"/>
        <v>35.699999999999996</v>
      </c>
      <c r="AE4" s="4">
        <f t="shared" si="6"/>
        <v>35.699999999999996</v>
      </c>
      <c r="AF4" s="4">
        <f>'Economic Momentum'!Q5</f>
        <v>21.4</v>
      </c>
      <c r="AG4" s="4">
        <f ca="1">'Economic Momentum'!R5</f>
        <v>50</v>
      </c>
      <c r="AH4" s="4">
        <f t="shared" ca="1" si="7"/>
        <v>65.679999999999993</v>
      </c>
      <c r="AJ4" s="3" cm="1">
        <f t="array" aca="1" ref="AJ4" ca="1">_xlfn.PERCENTRANK.EXC(_xlfn._xlws.FILTER($AH$3:$AH$15, ISNUMBER($AH$3:$AH$15)),AH4)*100</f>
        <v>78.5</v>
      </c>
      <c r="AK4">
        <f t="shared" si="8"/>
        <v>5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2961441.3</v>
      </c>
      <c r="E5" cm="1">
        <f t="array" ref="E5">_xll.FDS(C5,"FMA_COS_UP(""EPS"",""1M"",+1,0,,,""PORTAGG"",""MEANR"")")</f>
        <v>17</v>
      </c>
      <c r="F5" cm="1">
        <f t="array" ref="F5">_xll.FDS(C5,"FMA_COS_DOWN(""EPS"",""1M"",+1,0,,,""PORTAGG"",""MEANR"")")</f>
        <v>40</v>
      </c>
      <c r="G5" cm="1">
        <f t="array" ref="G5">_xll.FDS(A5,"SIZE(FG_CONSTITUENTS)")</f>
        <v>86</v>
      </c>
      <c r="H5" s="9">
        <f t="shared" si="0"/>
        <v>0.19767441860465115</v>
      </c>
      <c r="I5" s="9">
        <f t="shared" si="1"/>
        <v>0.46511627906976744</v>
      </c>
      <c r="J5" s="9">
        <f t="shared" si="2"/>
        <v>-0.26744186046511631</v>
      </c>
      <c r="K5" s="5" cm="1">
        <f t="array" ref="K5">_xll.FDS(A5,"FMA_PCT_ABOVE_MAVG(200,0,,,,""PORTAGG"")")/100</f>
        <v>0.79069767441860506</v>
      </c>
      <c r="L5" s="41" cm="1">
        <f t="array" ref="L5">_xll.FDSB(A5,"PERCENT_CHANGE(FMA_EPS(+1,0,,,,""PORTAGG"",""MEAN""),FMA_EPS(+1,-1AM,,,,""PORTAGG"",""MEAN""))")</f>
        <v>-1.7832543565625201</v>
      </c>
      <c r="M5" s="41" cm="1">
        <f t="array" ref="M5">_xll.FDSB(A5,"PERCENT_CHANGE(FMA_EPS(+1,0,,,,""PORTAGG"",""MEAN""),FMA_EPS(+1,-3AM,,,,""PORTAGG"",""MEAN""))")</f>
        <v>-1.3105967595603101</v>
      </c>
      <c r="N5" s="3" cm="1">
        <f t="array" ref="N5">_xll.FDS(C5,"FG_TOTAL_RETURNC(0,-1AM)")</f>
        <v>4.6776295000000001</v>
      </c>
      <c r="O5" s="3" cm="1">
        <f t="array" ref="O5">_xll.FDS(C5,"FG_TOTAL_RETURNC(0,-3AM)")</f>
        <v>8.6044199999999993</v>
      </c>
      <c r="P5" s="3" cm="1">
        <f t="array" ref="P5">_xll.FDS(C5,"FG_TOTAL_RETURNC(0,-6AM)")</f>
        <v>10.094822000000001</v>
      </c>
      <c r="Q5" s="9" cm="1">
        <f t="array" ref="Q5">_xll.FDS(C5,"P_PRICE(0)/P_PRICE_HIGH_PR(0,,,,,,""PRICE"",""INTRA"",""52W"")")</f>
        <v>0.98877484000000004</v>
      </c>
      <c r="R5" s="9" cm="1">
        <f t="array" ref="R5">_xll.FDS(C5,"P_PRICE(0)/P_PRICE_low_PR(0,,,,,,""PRICE"",""INTRA"",""52W"")-1")</f>
        <v>0.31805158</v>
      </c>
      <c r="S5" s="3" cm="1">
        <f t="array" ref="S5">_xll.FDS(C5,"FG_TOTAL_RETURNC(0,-12AM)")</f>
        <v>26.792622000000001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Y5" s="201" cm="1">
        <f t="array" ref="Y5">_xlfn.PERCENTRANK.EXC(_xlfn._xlws.FILTER($S$3:$S$15, ISNUMBER($S$3:$S$15)),S5)*100</f>
        <v>50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21.4</v>
      </c>
      <c r="AC5" s="4">
        <f t="shared" si="4"/>
        <v>35.699999999999996</v>
      </c>
      <c r="AD5" s="4">
        <f t="shared" si="5"/>
        <v>57.099999999999994</v>
      </c>
      <c r="AE5" s="4">
        <f t="shared" si="6"/>
        <v>57.099999999999994</v>
      </c>
      <c r="AF5" s="4">
        <f>'Economic Momentum'!Q6</f>
        <v>85.7</v>
      </c>
      <c r="AG5" s="4">
        <f ca="1">'Economic Momentum'!R6</f>
        <v>64.2</v>
      </c>
      <c r="AH5" s="4">
        <f t="shared" ca="1" si="7"/>
        <v>81.38000000000001</v>
      </c>
      <c r="AJ5" s="3" cm="1">
        <f t="array" aca="1" ref="AJ5" ca="1">_xlfn.PERCENTRANK.EXC(_xlfn._xlws.FILTER($AH$3:$AH$15, ISNUMBER($AH$3:$AH$15)),AH5)*100</f>
        <v>92.800000000000011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2363407.5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22</v>
      </c>
      <c r="G6" cm="1">
        <f t="array" ref="G6">_xll.FDS(A6,"SIZE(FG_CONSTITUENTS)")</f>
        <v>57</v>
      </c>
      <c r="H6" s="9">
        <f t="shared" si="0"/>
        <v>0.42105263157894735</v>
      </c>
      <c r="I6" s="9">
        <f t="shared" si="1"/>
        <v>0.38596491228070173</v>
      </c>
      <c r="J6" s="9">
        <f t="shared" si="2"/>
        <v>3.5087719298245612E-2</v>
      </c>
      <c r="K6" s="5" cm="1">
        <f t="array" ref="K6">_xll.FDS(A6,"FMA_PCT_ABOVE_MAVG(200,0,,,,""PORTAGG"")")/100</f>
        <v>0.61403508771929804</v>
      </c>
      <c r="L6" s="41" cm="1">
        <f t="array" ref="L6">_xll.FDSB(A6,"PERCENT_CHANGE(FMA_EPS(+1,0,,,,""PORTAGG"",""MEAN""),FMA_EPS(+1,-1AM,,,,""PORTAGG"",""MEAN""))")</f>
        <v>-3.9676617997355899</v>
      </c>
      <c r="M6" s="41" cm="1">
        <f t="array" ref="M6">_xll.FDSB(A6,"PERCENT_CHANGE(FMA_EPS(+1,0,,,,""PORTAGG"",""MEAN""),FMA_EPS(+1,-3AM,,,,""PORTAGG"",""MEAN""))")</f>
        <v>-5.4373170665544102</v>
      </c>
      <c r="N6" s="3" cm="1">
        <f t="array" ref="N6">_xll.FDS(C6,"FG_TOTAL_RETURNC(0,-1AM)")</f>
        <v>4.3024420000000001</v>
      </c>
      <c r="O6" s="3" cm="1">
        <f t="array" ref="O6">_xll.FDS(C6,"FG_TOTAL_RETURNC(0,-3AM)")</f>
        <v>5.6730746999999999</v>
      </c>
      <c r="P6" s="3" cm="1">
        <f t="array" ref="P6">_xll.FDS(C6,"FG_TOTAL_RETURNC(0,-6AM)")</f>
        <v>9.0837479999999999</v>
      </c>
      <c r="Q6" s="9" cm="1">
        <f t="array" ref="Q6">_xll.FDS(C6,"P_PRICE(0)/P_PRICE_HIGH_PR(0,,,,,,""PRICE"",""INTRA"",""52W"")")</f>
        <v>0.96629549999999997</v>
      </c>
      <c r="R6" s="9" cm="1">
        <f t="array" ref="R6">_xll.FDS(C6,"P_PRICE(0)/P_PRICE_low_PR(0,,,,,,""PRICE"",""INTRA"",""52W"")-1")</f>
        <v>0.33454776000000003</v>
      </c>
      <c r="S6" s="3" cm="1">
        <f t="array" ref="S6">_xll.FDS(C6,"FG_TOTAL_RETURNC(0,-12AM)")</f>
        <v>28.362476000000001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64.2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92.800000000000011</v>
      </c>
      <c r="AC6" s="4">
        <f t="shared" si="4"/>
        <v>14.2</v>
      </c>
      <c r="AD6" s="4">
        <f t="shared" si="5"/>
        <v>21.4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58.55</v>
      </c>
      <c r="AJ6" s="3" cm="1">
        <f t="array" aca="1" ref="AJ6" ca="1">_xlfn.PERCENTRANK.EXC(_xlfn._xlws.FILTER($AH$3:$AH$15, ISNUMBER($AH$3:$AH$15)),AH6)*100</f>
        <v>50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6639800</v>
      </c>
      <c r="E7" cm="1">
        <f t="array" ref="E7">_xll.FDS(C7,"FMA_COS_UP(""EPS"",""1M"",+1,0,,,""PORTAGG"",""MEANR"")")</f>
        <v>80</v>
      </c>
      <c r="F7" cm="1">
        <f t="array" ref="F7">_xll.FDS(C7,"FMA_COS_DOWN(""EPS"",""1M"",+1,0,,,""PORTAGG"",""MEANR"")")</f>
        <v>80</v>
      </c>
      <c r="G7" cm="1">
        <f t="array" ref="G7">_xll.FDS(A7,"SIZE(FG_CONSTITUENTS)")</f>
        <v>199</v>
      </c>
      <c r="H7" s="9">
        <f t="shared" si="0"/>
        <v>0.4020100502512563</v>
      </c>
      <c r="I7" s="9">
        <f t="shared" si="1"/>
        <v>0.4020100502512563</v>
      </c>
      <c r="J7" s="9">
        <f t="shared" si="2"/>
        <v>0</v>
      </c>
      <c r="K7" s="5" cm="1">
        <f t="array" ref="K7">_xll.FDS(A7,"FMA_PCT_ABOVE_MAVG(200,0,,,,""PORTAGG"")")/100</f>
        <v>0.542713567839196</v>
      </c>
      <c r="L7" s="41" cm="1">
        <f t="array" ref="L7">_xll.FDSB(A7,"PERCENT_CHANGE(FMA_EPS(+1,0,,,,""PORTAGG"",""MEAN""),FMA_EPS(+1,-1AM,,,,""PORTAGG"",""MEAN""))")</f>
        <v>-3.5605451622122799</v>
      </c>
      <c r="M7" s="41" cm="1">
        <f t="array" ref="M7">_xll.FDSB(A7,"PERCENT_CHANGE(FMA_EPS(+1,0,,,,""PORTAGG"",""MEAN""),FMA_EPS(+1,-3AM,,,,""PORTAGG"",""MEAN""))")</f>
        <v>8.1460404025002298</v>
      </c>
      <c r="N7" s="3" cm="1">
        <f t="array" ref="N7">_xll.FDS(C7,"FG_TOTAL_RETURNC(0,-1AM)")</f>
        <v>2.5455594000000001</v>
      </c>
      <c r="O7" s="3" cm="1">
        <f t="array" ref="O7">_xll.FDS(C7,"FG_TOTAL_RETURNC(0,-3AM)")</f>
        <v>-0.53310394000000005</v>
      </c>
      <c r="P7" s="3" cm="1">
        <f t="array" ref="P7">_xll.FDS(C7,"FG_TOTAL_RETURNC(0,-6AM)")</f>
        <v>2.9545664999999999</v>
      </c>
      <c r="Q7" s="9" cm="1">
        <f t="array" ref="Q7">_xll.FDS(C7,"P_PRICE(0)/P_PRICE_HIGH_PR(0,,,,,,""PRICE"",""INTRA"",""52W"")")</f>
        <v>0.96805030000000003</v>
      </c>
      <c r="R7" s="9" cm="1">
        <f t="array" ref="R7">_xll.FDS(C7,"P_PRICE(0)/P_PRICE_low_PR(0,,,,,,""PRICE"",""INTRA"",""52W"")-1")</f>
        <v>0.23951053999999999</v>
      </c>
      <c r="S7" s="3" cm="1">
        <f t="array" ref="S7">_xll.FDS(C7,"FG_TOTAL_RETURNC(0,-12AM)")</f>
        <v>20.067416999999999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35.699999999999996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78.5</v>
      </c>
      <c r="AC7" s="4">
        <f t="shared" si="4"/>
        <v>21.4</v>
      </c>
      <c r="AD7" s="4">
        <f t="shared" si="5"/>
        <v>85.7</v>
      </c>
      <c r="AE7" s="4">
        <f t="shared" si="6"/>
        <v>78.5</v>
      </c>
      <c r="AF7" s="4">
        <f>'Economic Momentum'!Q8</f>
        <v>71.399999999999991</v>
      </c>
      <c r="AG7" s="4">
        <f ca="1">'Economic Momentum'!R8</f>
        <v>57.099999999999994</v>
      </c>
      <c r="AH7" s="4">
        <f t="shared" ca="1" si="7"/>
        <v>41.4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2295681.7999999998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47</v>
      </c>
      <c r="H8" s="9">
        <f t="shared" si="0"/>
        <v>0.27659574468085107</v>
      </c>
      <c r="I8" s="9">
        <f t="shared" si="1"/>
        <v>0.5957446808510638</v>
      </c>
      <c r="J8" s="9">
        <f t="shared" si="2"/>
        <v>-0.31914893617021273</v>
      </c>
      <c r="K8" s="5" cm="1">
        <f t="array" ref="K8">_xll.FDS(A8,"FMA_PCT_ABOVE_MAVG(200,0,,,,""PORTAGG"")")/100</f>
        <v>0.67391304347826098</v>
      </c>
      <c r="L8" s="41" cm="1">
        <f t="array" ref="L8">_xll.FDSB(A8,"PERCENT_CHANGE(FMA_EPS(+1,0,,,,""PORTAGG"",""MEAN""),FMA_EPS(+1,-1AM,,,,""PORTAGG"",""MEAN""))")</f>
        <v>-1.67209260923939</v>
      </c>
      <c r="M8" s="41" cm="1">
        <f t="array" ref="M8">_xll.FDSB(A8,"PERCENT_CHANGE(FMA_EPS(+1,0,,,,""PORTAGG"",""MEAN""),FMA_EPS(+1,-3AM,,,,""PORTAGG"",""MEAN""))")</f>
        <v>3.26901559040301</v>
      </c>
      <c r="N8" s="3" cm="1">
        <f t="array" ref="N8">_xll.FDS(C8,"FG_TOTAL_RETURNC(0,-1AM)")</f>
        <v>-0.37102102999999997</v>
      </c>
      <c r="O8" s="3" cm="1">
        <f t="array" ref="O8">_xll.FDS(C8,"FG_TOTAL_RETURNC(0,-3AM)")</f>
        <v>4.1437030000000004</v>
      </c>
      <c r="P8" s="3" cm="1">
        <f t="array" ref="P8">_xll.FDS(C8,"FG_TOTAL_RETURNC(0,-6AM)")</f>
        <v>13.116740999999999</v>
      </c>
      <c r="Q8" s="9" cm="1">
        <f t="array" ref="Q8">_xll.FDS(C8,"P_PRICE(0)/P_PRICE_HIGH_PR(0,,,,,,""PRICE"",""INTRA"",""52W"")")</f>
        <v>0.96209690000000003</v>
      </c>
      <c r="R8" s="9" cm="1">
        <f t="array" ref="R8">_xll.FDS(C8,"P_PRICE(0)/P_PRICE_low_PR(0,,,,,,""PRICE"",""INTRA"",""52W"")-1")</f>
        <v>0.22791815000000001</v>
      </c>
      <c r="S8" s="3" cm="1">
        <f t="array" ref="S8">_xll.FDS(C8,"FG_TOTAL_RETURNC(0,-12AM)")</f>
        <v>17.877949000000001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92.800000000000011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64.2</v>
      </c>
      <c r="AA8" s="4" cm="1">
        <f t="array" ref="AA8">_xlfn.PERCENTRANK.EXC(_xlfn._xlws.FILTER($H$3:$H$15, ISNUMBER($H$3:$H$15)),H8)*100</f>
        <v>35.699999999999996</v>
      </c>
      <c r="AB8" s="4" cm="1">
        <f t="array" ref="AB8">_xlfn.PERCENTRANK.EXC(_xlfn._xlws.FILTER($J$3:$J$15, ISNUMBER($J$3:$J$15)),J8)*100</f>
        <v>7.1</v>
      </c>
      <c r="AC8" s="4">
        <f t="shared" si="4"/>
        <v>50</v>
      </c>
      <c r="AD8" s="4">
        <f t="shared" si="5"/>
        <v>78.5</v>
      </c>
      <c r="AE8" s="4">
        <f t="shared" si="6"/>
        <v>42.8</v>
      </c>
      <c r="AF8" s="4">
        <f>'Economic Momentum'!Q9</f>
        <v>78.5</v>
      </c>
      <c r="AG8" s="4">
        <f ca="1">'Economic Momentum'!R9</f>
        <v>92.800000000000011</v>
      </c>
      <c r="AH8" s="4">
        <f t="shared" ca="1" si="7"/>
        <v>61.38</v>
      </c>
      <c r="AJ8" s="3" cm="1">
        <f t="array" aca="1" ref="AJ8" ca="1">_xlfn.PERCENTRANK.EXC(_xlfn._xlws.FILTER($AH$3:$AH$15, ISNUMBER($AH$3:$AH$15)),AH8)*100</f>
        <v>64.2</v>
      </c>
      <c r="AK8">
        <f t="shared" si="8"/>
        <v>1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3282035.8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31</v>
      </c>
      <c r="G9" cm="1">
        <f t="array" ref="G9">_xll.FDS(A9,"SIZE(FG_CONSTITUENTS)")</f>
        <v>79</v>
      </c>
      <c r="H9" s="9">
        <f t="shared" si="0"/>
        <v>0.41772151898734178</v>
      </c>
      <c r="I9" s="9">
        <f t="shared" si="1"/>
        <v>0.39240506329113922</v>
      </c>
      <c r="J9" s="9">
        <f t="shared" si="2"/>
        <v>2.5316455696202556E-2</v>
      </c>
      <c r="K9" s="5" cm="1">
        <f t="array" ref="K9">_xll.FDS(A9,"FMA_PCT_ABOVE_MAVG(200,0,,,,""PORTAGG"")")/100</f>
        <v>0.60256410256410298</v>
      </c>
      <c r="L9" s="41" cm="1">
        <f t="array" ref="L9">_xll.FDSB(A9,"PERCENT_CHANGE(FMA_EPS(+1,0,,,,""PORTAGG"",""MEAN""),FMA_EPS(+1,-1AM,,,,""PORTAGG"",""MEAN""))")</f>
        <v>-1.24561232644616</v>
      </c>
      <c r="M9" s="41" cm="1">
        <f t="array" ref="M9">_xll.FDSB(A9,"PERCENT_CHANGE(FMA_EPS(+1,0,,,,""PORTAGG"",""MEAN""),FMA_EPS(+1,-3AM,,,,""PORTAGG"",""MEAN""))")</f>
        <v>9.7183616223234098E-2</v>
      </c>
      <c r="N9" s="3" cm="1">
        <f t="array" ref="N9">_xll.FDS(C9,"FG_TOTAL_RETURNC(0,-1AM)")</f>
        <v>0.19173622000000001</v>
      </c>
      <c r="O9" s="3" cm="1">
        <f t="array" ref="O9">_xll.FDS(C9,"FG_TOTAL_RETURNC(0,-3AM)")</f>
        <v>2.9552580000000002</v>
      </c>
      <c r="P9" s="3" cm="1">
        <f t="array" ref="P9">_xll.FDS(C9,"FG_TOTAL_RETURNC(0,-6AM)")</f>
        <v>9.4055890000000009</v>
      </c>
      <c r="Q9" s="9" cm="1">
        <f t="array" ref="Q9">_xll.FDS(C9,"P_PRICE(0)/P_PRICE_HIGH_PR(0,,,,,,""PRICE"",""INTRA"",""52W"")")</f>
        <v>0.96568114000000005</v>
      </c>
      <c r="R9" s="9" cm="1">
        <f t="array" ref="R9">_xll.FDS(C9,"P_PRICE(0)/P_PRICE_low_PR(0,,,,,,""PRICE"",""INTRA"",""52W"")-1")</f>
        <v>0.21366966000000001</v>
      </c>
      <c r="S9" s="3" cm="1">
        <f t="array" ref="S9">_xll.FDS(C9,"FG_TOTAL_RETURNC(0,-12AM)")</f>
        <v>19.234324000000001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28.499999999999996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85.7</v>
      </c>
      <c r="AC9" s="4">
        <f t="shared" si="4"/>
        <v>64.2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51.379999999999995</v>
      </c>
      <c r="AJ9" s="3" cm="1">
        <f t="array" aca="1" ref="AJ9" ca="1">_xlfn.PERCENTRANK.EXC(_xlfn._xlws.FILTER($AH$3:$AH$15, ISNUMBER($AH$3:$AH$15)),AH9)*100</f>
        <v>42.8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59975580</v>
      </c>
      <c r="E10" cm="1">
        <f t="array" ref="E10">_xll.FDS(C10,"FMA_COS_UP(""EPS"",""1M"",+1,0,,,""PORTAGG"",""MEANR"")")</f>
        <v>31</v>
      </c>
      <c r="F10" cm="1">
        <f t="array" ref="F10">_xll.FDS(C10,"FMA_COS_DOWN(""EPS"",""1M"",+1,0,,,""PORTAGG"",""MEANR"")")</f>
        <v>34</v>
      </c>
      <c r="G10" cm="1">
        <f t="array" ref="G10">_xll.FDS(A10,"SIZE(FG_CONSTITUENTS)")</f>
        <v>102</v>
      </c>
      <c r="H10" s="9">
        <f t="shared" si="0"/>
        <v>0.30392156862745096</v>
      </c>
      <c r="I10" s="9">
        <f t="shared" si="1"/>
        <v>0.33333333333333331</v>
      </c>
      <c r="J10" s="9">
        <f t="shared" si="2"/>
        <v>-2.9411764705882359E-2</v>
      </c>
      <c r="K10" s="5" cm="1">
        <f t="array" ref="K10">_xll.FDS(A10,"FMA_PCT_ABOVE_MAVG(200,0,,,,""PORTAGG"")")/100</f>
        <v>0.61764705882352899</v>
      </c>
      <c r="L10" s="41" cm="1">
        <f t="array" ref="L10">_xll.FDSB(A10,"PERCENT_CHANGE(FMA_EPS(+1,0,,,,""PORTAGG"",""MEAN""),FMA_EPS(+1,-1AM,,,,""PORTAGG"",""MEAN""))")</f>
        <v>1.52389138775051E-2</v>
      </c>
      <c r="M10" s="41" cm="1">
        <f t="array" ref="M10">_xll.FDSB(A10,"PERCENT_CHANGE(FMA_EPS(+1,0,,,,""PORTAGG"",""MEAN""),FMA_EPS(+1,-3AM,,,,""PORTAGG"",""MEAN""))")</f>
        <v>-2.53825415888506</v>
      </c>
      <c r="N10" s="3" cm="1">
        <f t="array" ref="N10">_xll.FDS(C10,"FG_TOTAL_RETURNC(0,-1AM)")</f>
        <v>7.5481296000000002</v>
      </c>
      <c r="O10" s="3" cm="1">
        <f t="array" ref="O10">_xll.FDS(C10,"FG_TOTAL_RETURNC(0,-3AM)")</f>
        <v>-1.9245565</v>
      </c>
      <c r="P10" s="3" cm="1">
        <f t="array" ref="P10">_xll.FDS(C10,"FG_TOTAL_RETURNC(0,-6AM)")</f>
        <v>12.706804</v>
      </c>
      <c r="Q10" s="9" cm="1">
        <f t="array" ref="Q10">_xll.FDS(C10,"P_PRICE(0)/P_PRICE_HIGH_PR(0,,,,,,""PRICE"",""INTRA"",""52W"")")</f>
        <v>0.97829279999999996</v>
      </c>
      <c r="R10" s="9" cm="1">
        <f t="array" ref="R10">_xll.FDS(C10,"P_PRICE(0)/P_PRICE_low_PR(0,,,,,,""PRICE"",""INTRA"",""52W"")-1")</f>
        <v>0.43884909999999999</v>
      </c>
      <c r="S10" s="3" cm="1">
        <f t="array" ref="S10">_xll.FDS(C10,"FG_TOTAL_RETURNC(0,-12AM)")</f>
        <v>34.556747000000001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78.5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64.2</v>
      </c>
      <c r="AC10" s="4">
        <f t="shared" si="4"/>
        <v>85.7</v>
      </c>
      <c r="AD10" s="4">
        <f t="shared" si="5"/>
        <v>28.499999999999996</v>
      </c>
      <c r="AE10" s="4">
        <f t="shared" si="6"/>
        <v>85.7</v>
      </c>
      <c r="AF10" s="4">
        <f>'Economic Momentum'!Q11</f>
        <v>35.699999999999996</v>
      </c>
      <c r="AG10" s="4">
        <f ca="1">'Economic Momentum'!R11</f>
        <v>14.2</v>
      </c>
      <c r="AH10" s="4">
        <f t="shared" ca="1" si="7"/>
        <v>59.210000000000008</v>
      </c>
      <c r="AJ10" s="3" cm="1">
        <f t="array" aca="1" ref="AJ10" ca="1">_xlfn.PERCENTRANK.EXC(_xlfn._xlws.FILTER($AH$3:$AH$15, ISNUMBER($AH$3:$AH$15)),AH10)*100</f>
        <v>57.099999999999994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59975580</v>
      </c>
      <c r="E11" cm="1">
        <f t="array" ref="E11">_xll.FDS(C11,"FMA_COS_UP(""EPS"",""1M"",+1,0,,,""PORTAGG"",""MEANR"")")</f>
        <v>144</v>
      </c>
      <c r="F11" cm="1">
        <f t="array" ref="F11">_xll.FDS(C11,"FMA_COS_DOWN(""EPS"",""1M"",+1,0,,,""PORTAGG"",""MEANR"")")</f>
        <v>194</v>
      </c>
      <c r="G11" cm="1">
        <f t="array" ref="G11">_xll.FDS(A11,"SIZE(FG_CONSTITUENTS)")</f>
        <v>503</v>
      </c>
      <c r="H11" s="9">
        <f t="shared" si="0"/>
        <v>0.28628230616302186</v>
      </c>
      <c r="I11" s="9">
        <f t="shared" si="1"/>
        <v>0.38568588469184889</v>
      </c>
      <c r="J11" s="9">
        <f t="shared" si="2"/>
        <v>-9.940357852882703E-2</v>
      </c>
      <c r="K11" s="5" cm="1">
        <f t="array" ref="K11">_xll.FDS(A11,"FMA_PCT_ABOVE_MAVG(200,0,,,,""PORTAGG"")")/100</f>
        <v>0.72799999999999998</v>
      </c>
      <c r="L11" s="41" cm="1">
        <f t="array" ref="L11">_xll.FDSB(A11,"PERCENT_CHANGE(FMA_EPS(+1,0,,,,""PORTAGG"",""MEAN""),FMA_EPS(+1,-1AM,,,,""PORTAGG"",""MEAN""))")</f>
        <v>-1.18526631329981</v>
      </c>
      <c r="M11" s="41" cm="1">
        <f t="array" ref="M11">_xll.FDSB(A11,"PERCENT_CHANGE(FMA_EPS(+1,0,,,,""PORTAGG"",""MEAN""),FMA_EPS(+1,-3AM,,,,""PORTAGG"",""MEAN""))")</f>
        <v>-1.39572403423461</v>
      </c>
      <c r="N11" s="3" cm="1">
        <f t="array" ref="N11">_xll.FDS(C11,"FG_TOTAL_RETURNC(0,-1AM)")</f>
        <v>5.3043484999999997</v>
      </c>
      <c r="O11" s="3" cm="1">
        <f t="array" ref="O11">_xll.FDS(C11,"FG_TOTAL_RETURNC(0,-3AM)")</f>
        <v>2.9537081999999999</v>
      </c>
      <c r="P11" s="3" cm="1">
        <f t="array" ref="P11">_xll.FDS(C11,"FG_TOTAL_RETURNC(0,-6AM)")</f>
        <v>12.768734</v>
      </c>
      <c r="Q11" s="9" cm="1">
        <f t="array" ref="Q11">_xll.FDS(C11,"P_PRICE(0)/P_PRICE_HIGH_PR(0,,,,,,""PRICE"",""INTRA"",""52W"")")</f>
        <v>0.99726504000000005</v>
      </c>
      <c r="R11" s="9" cm="1">
        <f t="array" ref="R11">_xll.FDS(C11,"P_PRICE(0)/P_PRICE_low_PR(0,,,,,,""PRICE"",""INTRA"",""52W"")-1")</f>
        <v>0.40790796000000001</v>
      </c>
      <c r="S11" s="3" cm="1">
        <f t="array" ref="S11">_xll.FDS(C11,"FG_TOTAL_RETURNC(0,-12AM)")</f>
        <v>34.381709999999998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85.7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78.5</v>
      </c>
      <c r="AD11" s="4">
        <f t="shared" si="5"/>
        <v>50</v>
      </c>
      <c r="AE11" s="4">
        <f t="shared" si="6"/>
        <v>85.7</v>
      </c>
      <c r="AF11" s="4">
        <f>'Economic Momentum'!Q12</f>
        <v>35.699999999999996</v>
      </c>
      <c r="AG11" s="4">
        <f ca="1">'Economic Momentum'!R12</f>
        <v>14.2</v>
      </c>
      <c r="AH11" s="4">
        <f t="shared" ca="1" si="7"/>
        <v>77.830000000000013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3172412.5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33</v>
      </c>
      <c r="G12" cm="1">
        <f t="array" ref="G12">_xll.FDS(A12,"SIZE(FG_CONSTITUENTS)")</f>
        <v>61</v>
      </c>
      <c r="H12" s="9">
        <f t="shared" ref="H12:H15" si="9">E12/$G12</f>
        <v>0.29508196721311475</v>
      </c>
      <c r="I12" s="9">
        <f t="shared" ref="I12:I15" si="10">F12/$G12</f>
        <v>0.54098360655737709</v>
      </c>
      <c r="J12" s="9">
        <f t="shared" ref="J12:J15" si="11">H12-I12</f>
        <v>-0.24590163934426235</v>
      </c>
      <c r="K12" s="5" cm="1">
        <f t="array" ref="K12">_xll.FDS(A12,"FMA_PCT_ABOVE_MAVG(200,0,,,,""PORTAGG"")")/100</f>
        <v>0.49180327868852503</v>
      </c>
      <c r="L12" s="41" cm="1">
        <f t="array" ref="L12">_xll.FDSB(A12,"PERCENT_CHANGE(FMA_EPS(+1,0,,,,""PORTAGG"",""MEAN""),FMA_EPS(+1,-1AM,,,,""PORTAGG"",""MEAN""))")</f>
        <v>-1.72226581538622</v>
      </c>
      <c r="M12" s="41" cm="1">
        <f t="array" ref="M12">_xll.FDSB(A12,"PERCENT_CHANGE(FMA_EPS(+1,0,,,,""PORTAGG"",""MEAN""),FMA_EPS(+1,-3AM,,,,""PORTAGG"",""MEAN""))")</f>
        <v>-2.0548944525358102</v>
      </c>
      <c r="N12" s="3" cm="1">
        <f t="array" ref="N12">_xll.FDS(C12,"FG_TOTAL_RETURNC(0,-1AM)")</f>
        <v>1.2144685</v>
      </c>
      <c r="O12" s="3" cm="1">
        <f t="array" ref="O12">_xll.FDS(C12,"FG_TOTAL_RETURNC(0,-3AM)")</f>
        <v>1.397872</v>
      </c>
      <c r="P12" s="3" cm="1">
        <f t="array" ref="P12">_xll.FDS(C12,"FG_TOTAL_RETURNC(0,-6AM)")</f>
        <v>-0.57070255000000003</v>
      </c>
      <c r="Q12" s="9" cm="1">
        <f t="array" ref="Q12">_xll.FDS(C12,"P_PRICE(0)/P_PRICE_HIGH_PR(0,,,,,,""PRICE"",""INTRA"",""52W"")")</f>
        <v>0.91948353999999999</v>
      </c>
      <c r="R12" s="9" cm="1">
        <f t="array" ref="R12">_xll.FDS(C12,"P_PRICE(0)/P_PRICE_low_PR(0,,,,,,""PRICE"",""INTRA"",""52W"")-1")</f>
        <v>0.1636957</v>
      </c>
      <c r="S12" s="3" cm="1">
        <f t="array" ref="S12">_xll.FDS(C12,"FG_TOTAL_RETURNC(0,-12AM)")</f>
        <v>13.317394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28.499999999999996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42.8</v>
      </c>
      <c r="AD12" s="4">
        <f t="shared" si="5"/>
        <v>42.8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42.8</v>
      </c>
      <c r="AH12" s="4">
        <f t="shared" ca="1" si="7"/>
        <v>13.52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1108898.8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54</v>
      </c>
      <c r="H13" s="9">
        <f t="shared" si="9"/>
        <v>0.33333333333333331</v>
      </c>
      <c r="I13" s="9">
        <f t="shared" si="10"/>
        <v>0.44444444444444442</v>
      </c>
      <c r="J13" s="9">
        <f t="shared" si="11"/>
        <v>-0.1111111111111111</v>
      </c>
      <c r="K13" s="5" cm="1">
        <f t="array" ref="K13">_xll.FDS(A13,"FMA_PCT_ABOVE_MAVG(200,0,,,,""PORTAGG"")")/100</f>
        <v>0.55555555555555602</v>
      </c>
      <c r="L13" s="41" cm="1">
        <f t="array" ref="L13">_xll.FDSB(A13,"PERCENT_CHANGE(FMA_EPS(+1,0,,,,""PORTAGG"",""MEAN""),FMA_EPS(+1,-1AM,,,,""PORTAGG"",""MEAN""))")</f>
        <v>-1.47012682505014</v>
      </c>
      <c r="M13" s="41" cm="1">
        <f t="array" ref="M13">_xll.FDSB(A13,"PERCENT_CHANGE(FMA_EPS(+1,0,,,,""PORTAGG"",""MEAN""),FMA_EPS(+1,-3AM,,,,""PORTAGG"",""MEAN""))")</f>
        <v>-0.34232890540428801</v>
      </c>
      <c r="N13" s="3" cm="1">
        <f t="array" ref="N13">_xll.FDS(C13,"FG_TOTAL_RETURNC(0,-1AM)")</f>
        <v>4.4016004000000004</v>
      </c>
      <c r="O13" s="3" cm="1">
        <f t="array" ref="O13">_xll.FDS(C13,"FG_TOTAL_RETURNC(0,-3AM)")</f>
        <v>-4.6880902999999998</v>
      </c>
      <c r="P13" s="3" cm="1">
        <f t="array" ref="P13">_xll.FDS(C13,"FG_TOTAL_RETURNC(0,-6AM)")</f>
        <v>1.9261836999999999</v>
      </c>
      <c r="Q13" s="9" cm="1">
        <f t="array" ref="Q13">_xll.FDS(C13,"P_PRICE(0)/P_PRICE_HIGH_PR(0,,,,,,""PRICE"",""INTRA"",""52W"")")</f>
        <v>0.93927970000000005</v>
      </c>
      <c r="R13" s="9" cm="1">
        <f t="array" ref="R13">_xll.FDS(C13,"P_PRICE(0)/P_PRICE_low_PR(0,,,,,,""PRICE"",""INTRA"",""52W"")-1")</f>
        <v>0.37255442</v>
      </c>
      <c r="S13" s="3" cm="1">
        <f t="array" ref="S13">_xll.FDS(C13,"FG_TOTAL_RETURNC(0,-12AM)")</f>
        <v>32.011856000000002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14.2</v>
      </c>
      <c r="Y13" s="201" cm="1">
        <f t="array" ref="Y13">_xlfn.PERCENTRANK.EXC(_xlfn._xlws.FILTER($S$3:$S$15, ISNUMBER($S$3:$S$15)),S13)*100</f>
        <v>78.5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64.2</v>
      </c>
      <c r="AB13" s="4" cm="1">
        <f t="array" ref="AB13">_xlfn.PERCENTRANK.EXC(_xlfn._xlws.FILTER($J$3:$J$15, ISNUMBER($J$3:$J$15)),J13)*100</f>
        <v>50</v>
      </c>
      <c r="AC13" s="4">
        <f t="shared" si="4"/>
        <v>57.099999999999994</v>
      </c>
      <c r="AD13" s="4">
        <f t="shared" si="5"/>
        <v>64.2</v>
      </c>
      <c r="AE13" s="4">
        <f t="shared" si="6"/>
        <v>28.499999999999996</v>
      </c>
      <c r="AF13" s="4">
        <f>'Economic Momentum'!Q14</f>
        <v>57.099999999999994</v>
      </c>
      <c r="AG13" s="4">
        <f ca="1">'Economic Momentum'!R14</f>
        <v>7.1</v>
      </c>
      <c r="AH13" s="4">
        <f t="shared" ca="1" si="7"/>
        <v>14.950000000000001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1048546.5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46</v>
      </c>
      <c r="H14" s="9">
        <f t="shared" si="9"/>
        <v>0.17391304347826086</v>
      </c>
      <c r="I14" s="9">
        <f t="shared" si="10"/>
        <v>0.47826086956521741</v>
      </c>
      <c r="J14" s="9">
        <f t="shared" si="11"/>
        <v>-0.30434782608695654</v>
      </c>
      <c r="K14" s="5" cm="1">
        <f t="array" ref="K14">_xll.FDS(A14,"FMA_PCT_ABOVE_MAVG(200,0,,,,""PORTAGG"")")/100</f>
        <v>0.71111111111111103</v>
      </c>
      <c r="L14" s="41" cm="1">
        <f t="array" ref="L14">_xll.FDSB(A14,"PERCENT_CHANGE(FMA_EPS(+1,0,,,,""PORTAGG"",""MEAN""),FMA_EPS(+1,-1AM,,,,""PORTAGG"",""MEAN""))")</f>
        <v>-1.2274581188726701</v>
      </c>
      <c r="M14" s="41" cm="1">
        <f t="array" ref="M14">_xll.FDSB(A14,"PERCENT_CHANGE(FMA_EPS(+1,0,,,,""PORTAGG"",""MEAN""),FMA_EPS(+1,-3AM,,,,""PORTAGG"",""MEAN""))")</f>
        <v>-5.6977699411602796</v>
      </c>
      <c r="N14" s="3" cm="1">
        <f t="array" ref="N14">_xll.FDS(C14,"FG_TOTAL_RETURNC(0,-1AM)")</f>
        <v>2.6885748</v>
      </c>
      <c r="O14" s="3" cm="1">
        <f t="array" ref="O14">_xll.FDS(C14,"FG_TOTAL_RETURNC(0,-3AM)")</f>
        <v>2.2304892999999999</v>
      </c>
      <c r="P14" s="3" cm="1">
        <f t="array" ref="P14">_xll.FDS(C14,"FG_TOTAL_RETURNC(0,-6AM)")</f>
        <v>5.3662179999999999</v>
      </c>
      <c r="Q14" s="9" cm="1">
        <f t="array" ref="Q14">_xll.FDS(C14,"P_PRICE(0)/P_PRICE_HIGH_PR(0,,,,,,""PRICE"",""INTRA"",""52W"")")</f>
        <v>0.93835305999999996</v>
      </c>
      <c r="R14" s="9" cm="1">
        <f t="array" ref="R14">_xll.FDS(C14,"P_PRICE(0)/P_PRICE_low_PR(0,,,,,,""PRICE"",""INTRA"",""52W"")-1")</f>
        <v>0.34430504000000001</v>
      </c>
      <c r="S14" s="3" cm="1">
        <f t="array" ref="S14">_xll.FDS(C14,"FG_TOTAL_RETURNC(0,-12AM)")</f>
        <v>27.183104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28.499999999999996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14.2</v>
      </c>
      <c r="AC14" s="4">
        <f t="shared" si="4"/>
        <v>71.399999999999991</v>
      </c>
      <c r="AD14" s="4">
        <f t="shared" si="5"/>
        <v>14.2</v>
      </c>
      <c r="AE14" s="4">
        <f t="shared" si="6"/>
        <v>21.4</v>
      </c>
      <c r="AF14" s="4">
        <f>'Economic Momentum'!Q15</f>
        <v>50</v>
      </c>
      <c r="AG14" s="4">
        <f ca="1">'Economic Momentum'!R15</f>
        <v>35.699999999999996</v>
      </c>
      <c r="AH14" s="4">
        <f t="shared" ca="1" si="7"/>
        <v>27.069999999999993</v>
      </c>
      <c r="AJ14" s="3" cm="1">
        <f t="array" aca="1" ref="AJ14" ca="1">_xlfn.PERCENTRANK.EXC(_xlfn._xlws.FILTER($AH$3:$AH$15, ISNUMBER($AH$3:$AH$15)),AH14)*100</f>
        <v>21.4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880973.9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9">
        <f t="shared" si="9"/>
        <v>0.26923076923076922</v>
      </c>
      <c r="I15" s="9">
        <f t="shared" si="10"/>
        <v>0.42307692307692307</v>
      </c>
      <c r="J15" s="9">
        <f t="shared" si="11"/>
        <v>-0.15384615384615385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-4.4223825113900501</v>
      </c>
      <c r="M15" s="41" cm="1">
        <f t="array" ref="M15">_xll.FDSB(A15,"PERCENT_CHANGE(FMA_EPS(+1,0,,,,""PORTAGG"",""MEAN""),FMA_EPS(+1,-3AM,,,,""PORTAGG"",""MEAN""))")</f>
        <v>-6.4036379258388303</v>
      </c>
      <c r="N15" s="3" cm="1">
        <f t="array" ref="N15">_xll.FDS(C15,"FG_TOTAL_RETURNC(0,-1AM)")</f>
        <v>0.82184075999999995</v>
      </c>
      <c r="O15" s="3" cm="1">
        <f t="array" ref="O15">_xll.FDS(C15,"FG_TOTAL_RETURNC(0,-3AM)")</f>
        <v>1.902461</v>
      </c>
      <c r="P15" s="3" cm="1">
        <f t="array" ref="P15">_xll.FDS(C15,"FG_TOTAL_RETURNC(0,-6AM)")</f>
        <v>6.2771439999999998</v>
      </c>
      <c r="Q15" s="9" cm="1">
        <f t="array" ref="Q15">_xll.FDS(C15,"P_PRICE(0)/P_PRICE_HIGH_PR(0,,,,,,""PRICE"",""INTRA"",""52W"")")</f>
        <v>0.95962650000000005</v>
      </c>
      <c r="R15" s="9" cm="1">
        <f t="array" ref="R15">_xll.FDS(C15,"P_PRICE(0)/P_PRICE_low_PR(0,,,,,,""PRICE"",""INTRA"",""52W"")-1")</f>
        <v>0.31070136999999998</v>
      </c>
      <c r="S15" s="3" cm="1">
        <f t="array" ref="S15">_xll.FDS(C15,"FG_TOTAL_RETURNC(0,-12AM)")</f>
        <v>29.856850000000001</v>
      </c>
      <c r="T15" s="4" cm="1">
        <f t="array" ref="T15">_xlfn.PERCENTRANK.EXC(_xlfn._xlws.FILTER($R$3:$R$15, ISNUMBER($R$3:$R$15)),R15)*100</f>
        <v>50</v>
      </c>
      <c r="U15" s="4">
        <f t="shared" si="12"/>
        <v>50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35.699999999999996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28.499999999999996</v>
      </c>
      <c r="AB15" s="4" cm="1">
        <f t="array" ref="AB15">_xlfn.PERCENTRANK.EXC(_xlfn._xlws.FILTER($J$3:$J$15, ISNUMBER($J$3:$J$15)),J15)*100</f>
        <v>35.699999999999996</v>
      </c>
      <c r="AC15" s="4">
        <f t="shared" si="4"/>
        <v>7.1</v>
      </c>
      <c r="AD15" s="4">
        <f t="shared" si="5"/>
        <v>7.1</v>
      </c>
      <c r="AE15" s="4">
        <f t="shared" si="6"/>
        <v>14.2</v>
      </c>
      <c r="AF15" s="4">
        <f>'Economic Momentum'!Q16</f>
        <v>64.2</v>
      </c>
      <c r="AG15" s="4">
        <f ca="1">'Economic Momentum'!R16</f>
        <v>85.7</v>
      </c>
      <c r="AH15" s="4">
        <f t="shared" ca="1" si="7"/>
        <v>32.82</v>
      </c>
      <c r="AJ15" s="3" cm="1">
        <f t="array" aca="1" ref="AJ15" ca="1">_xlfn.PERCENTRANK.EXC(_xlfn._xlws.FILTER($AH$3:$AH$15, ISNUMBER($AH$3:$AH$15)),AH15)*100</f>
        <v>28.499999999999996</v>
      </c>
      <c r="AK15">
        <f t="shared" si="8"/>
        <v>1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601</v>
      </c>
      <c r="G18" cm="1">
        <f t="array" ref="G18">_xll.FDS(A18,"SIZE(FG_CONSTITUENTS)")</f>
        <v>1284</v>
      </c>
      <c r="H18" s="9">
        <f>E18/$G18</f>
        <v>0.3325545171339564</v>
      </c>
      <c r="I18" s="9">
        <f>F18/$G18</f>
        <v>0.4680685358255452</v>
      </c>
      <c r="J18" s="9">
        <f t="shared" ref="J18" si="13">H18-I18</f>
        <v>-0.1355140186915888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-0.12778129280666001</v>
      </c>
      <c r="N18" s="3" cm="1">
        <f t="array" ref="N18">_xll.FDS(C18,"FG_TOTAL_RETURNC(0,-1AM)")</f>
        <v>1.3719916000000001</v>
      </c>
      <c r="O18" s="3" cm="1">
        <f t="array" ref="O18">_xll.FDS(C18,"FG_TOTAL_RETURNC(0,-3AM)")</f>
        <v>1.5499711</v>
      </c>
      <c r="P18" s="3" cm="1">
        <f t="array" ref="P18">_xll.FDS(C18,"FG_TOTAL_RETURNC(0,-6AM)")</f>
        <v>6.5093636999999998</v>
      </c>
      <c r="Q18" s="9" cm="1">
        <f t="array" ref="Q18">_xll.FDS(C18,"P_PRICE(0)/P_PRICE_HIGH_PR(0,,,,,,""PRICE"",""INTRA"",""52W"")")</f>
        <v>0.96059930000000004</v>
      </c>
      <c r="R18" s="9" cm="1">
        <f t="array" ref="R18">_xll.FDS(C18,"P_PRICE(0)/P_PRICE_low_PR(0,,,,,,""PRICE"",""INTRA"",""52W"")-1")</f>
        <v>0.25753713</v>
      </c>
      <c r="S18" s="3" cm="1">
        <f t="array" ref="S18">_xll.FDS(C18,"FG_TOTAL_RETURNC(0,-12AM)")</f>
        <v>22.228027000000001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1673</v>
      </c>
      <c r="G19" cm="1">
        <f t="array" ref="G19">_xll.FDS(A19,"SIZE(FG_CONSTITUENTS)")</f>
        <v>4847</v>
      </c>
      <c r="H19" s="9">
        <f>E19/$G19</f>
        <v>0.2110583866309057</v>
      </c>
      <c r="I19" s="9">
        <f>F19/$G19</f>
        <v>0.34516195584897874</v>
      </c>
      <c r="J19" s="9">
        <f t="shared" ref="J19" si="14">H19-I19</f>
        <v>-0.13410356921807304</v>
      </c>
      <c r="K19" s="5" cm="1">
        <f t="array" ref="K19">_xll.FDS(A19,"FMA_PCT_ABOVE_MAVG(200,0,,,,""PORTAGG"")")/100</f>
        <v>0.36883336862163901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0.98328313608512297</v>
      </c>
      <c r="N19" s="3" cm="1">
        <f t="array" ref="N19">_xll.FDS(C19,"FG_TOTAL_RETURNC(0,-1AM)")</f>
        <v>9.7296949999999995</v>
      </c>
      <c r="O19" s="3" cm="1">
        <f t="array" ref="O19">_xll.FDS(C19,"FG_TOTAL_RETURNC(0,-3AM)")</f>
        <v>6.4887404000000002</v>
      </c>
      <c r="P19" s="3" cm="1">
        <f t="array" ref="P19">_xll.FDS(C19,"FG_TOTAL_RETURNC(0,-6AM)")</f>
        <v>13.854778</v>
      </c>
      <c r="Q19" s="9" cm="1">
        <f t="array" ref="Q19">_xll.FDS(C19,"P_PRICE(0)/P_PRICE_HIGH_PR(0,,,,,,""PRICE"",""INTRA"",""52W"")")</f>
        <v>0.96449470000000004</v>
      </c>
      <c r="R19" s="9" cm="1">
        <f t="array" ref="R19">_xll.FDS(C19,"P_PRICE(0)/P_PRICE_low_PR(0,,,,,,""PRICE"",""INTRA"",""52W"")-1")</f>
        <v>0.27646505999999998</v>
      </c>
      <c r="S19" s="3" cm="1">
        <f t="array" ref="S19">_xll.FDS(C19,"FG_TOTAL_RETURNC(0,-12AM)")</f>
        <v>24.668144000000002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461</v>
      </c>
      <c r="F20" cm="1">
        <f t="array" ref="F20">_xll.FDS(C20,"FMA_COS_DOWN(""EPS"",""1M"",+1,0,,,""PORTAGG"",""MEANR"")")</f>
        <v>565</v>
      </c>
      <c r="G20" cm="1">
        <f t="array" ref="G20">_xll.FDS(A20,"SIZE(FG_CONSTITUENTS)")</f>
        <v>1412</v>
      </c>
      <c r="H20" s="9">
        <f t="shared" ref="H20" si="16">E20/$G20</f>
        <v>0.32648725212464591</v>
      </c>
      <c r="I20" s="9">
        <f t="shared" ref="I20" si="17">F20/$G20</f>
        <v>0.40014164305949007</v>
      </c>
      <c r="J20" s="9">
        <f t="shared" ref="J20" si="18">H20-I20</f>
        <v>-7.3654390934844161E-2</v>
      </c>
      <c r="K20" s="5" cm="1">
        <f t="array" ref="K20">_xll.FDS(A20,"FMA_PCT_ABOVE_MAVG(200,0,,,,""PORTAGG"")")/100</f>
        <v>0.67093105899076089</v>
      </c>
      <c r="L20" s="41" cm="1">
        <f t="array" ref="L20">_xll.FDSB(A20,"PERCENT_CHANGE(FMA_EPS(+1,0,,,,""PORTAGG"",""MEAN""),FMA_EPS(+1,-1AM,,,,""PORTAGG"",""MEAN""))")</f>
        <v>-0.39978104702301698</v>
      </c>
      <c r="M20" s="41" cm="1">
        <f t="array" ref="M20">_xll.FDSB(A20,"PERCENT_CHANGE(FMA_EPS(+1,0,,,,""PORTAGG"",""MEAN""),FMA_EPS(+1,-3AM,,,,""PORTAGG"",""MEAN""))")</f>
        <v>0.56430214420676805</v>
      </c>
      <c r="N20" s="3" cm="1">
        <f t="array" ref="N20">_xll.FDS(C20,"FG_TOTAL_RETURNC(0,-1AM)")</f>
        <v>4.6079873999999998</v>
      </c>
      <c r="O20" s="3" cm="1">
        <f t="array" ref="O20">_xll.FDS(C20,"FG_TOTAL_RETURNC(0,-3AM)")</f>
        <v>3.0390739999999998</v>
      </c>
      <c r="P20" s="3" cm="1">
        <f t="array" ref="P20">_xll.FDS(C20,"FG_TOTAL_RETURNC(0,-6AM)")</f>
        <v>11.020994</v>
      </c>
      <c r="Q20" s="9" cm="1">
        <f t="array" ref="Q20">_xll.FDS(C20,"P_PRICE(0)/P_PRICE_HIGH_PR(0,,,,,,""PRICE"",""INTRA"",""52W"")")</f>
        <v>0.99526643999999997</v>
      </c>
      <c r="R20" s="9" cm="1">
        <f t="array" ref="R20">_xll.FDS(C20,"P_PRICE(0)/P_PRICE_low_PR(0,,,,,,""PRICE"",""INTRA"",""52W"")-1")</f>
        <v>0.36564957999999997</v>
      </c>
      <c r="S20" s="3" cm="1">
        <f t="array" ref="S20">_xll.FDS(C20,"FG_TOTAL_RETURNC(0,-12AM)")</f>
        <v>30.754792999999999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80</v>
      </c>
      <c r="F21" cm="1">
        <f t="array" ref="F21">_xll.FDS(C21,"FMA_COS_DOWN(""EPS"",""1M"",+1,0,,,""PORTAGG"",""MEANR"")")</f>
        <v>80</v>
      </c>
      <c r="G21" cm="1">
        <f t="array" ref="G21">_xll.FDS(A21,"SIZE(FG_CONSTITUENTS)")</f>
        <v>199</v>
      </c>
      <c r="H21" s="9">
        <f t="shared" ref="H21:H22" si="20">E21/$G21</f>
        <v>0.4020100502512563</v>
      </c>
      <c r="I21" s="9">
        <f t="shared" ref="I21:I22" si="21">F21/$G21</f>
        <v>0.4020100502512563</v>
      </c>
      <c r="J21" s="9">
        <f t="shared" ref="J21:J22" si="22">H21-I21</f>
        <v>0</v>
      </c>
      <c r="K21" s="5" cm="1">
        <f t="array" ref="K21">_xll.FDS(A21,"FMA_PCT_ABOVE_MAVG(200,0,,,,""PORTAGG"")")/100</f>
        <v>0.542713567839196</v>
      </c>
      <c r="L21" s="41" cm="1">
        <f t="array" ref="L21">_xll.FDSB(A21,"PERCENT_CHANGE(FMA_EPS(+1,0,,,,""PORTAGG"",""MEAN""),FMA_EPS(+1,-1AM,,,,""PORTAGG"",""MEAN""))")</f>
        <v>-3.5605451622122799</v>
      </c>
      <c r="M21" s="41" cm="1">
        <f t="array" ref="M21">_xll.FDSB(A21,"PERCENT_CHANGE(FMA_EPS(+1,0,,,,""PORTAGG"",""MEAN""),FMA_EPS(+1,-3AM,,,,""PORTAGG"",""MEAN""))")</f>
        <v>8.1460404025002298</v>
      </c>
      <c r="N21" s="3" cm="1">
        <f t="array" ref="N21">_xll.FDS(C21,"FG_TOTAL_RETURNC(0,-1AM)")</f>
        <v>2.5455594000000001</v>
      </c>
      <c r="O21" s="3" cm="1">
        <f t="array" ref="O21">_xll.FDS(C21,"FG_TOTAL_RETURNC(0,-3AM)")</f>
        <v>-0.53310394000000005</v>
      </c>
      <c r="P21" s="3" cm="1">
        <f t="array" ref="P21">_xll.FDS(C21,"FG_TOTAL_RETURNC(0,-6AM)")</f>
        <v>2.9545664999999999</v>
      </c>
      <c r="Q21" s="9" cm="1">
        <f t="array" ref="Q21">_xll.FDS(C21,"P_PRICE(0)/P_PRICE_HIGH_PR(0,,,,,,""PRICE"",""INTRA"",""52W"")")</f>
        <v>0.96805030000000003</v>
      </c>
      <c r="R21" s="9" cm="1">
        <f t="array" ref="R21">_xll.FDS(C21,"P_PRICE(0)/P_PRICE_low_PR(0,,,,,,""PRICE"",""INTRA"",""52W"")-1")</f>
        <v>0.23951053999999999</v>
      </c>
      <c r="S21" s="3" cm="1">
        <f t="array" ref="S21">_xll.FDS(C21,"FG_TOTAL_RETURNC(0,-12AM)")</f>
        <v>20.067416999999999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144</v>
      </c>
      <c r="F22" cm="1">
        <f t="array" ref="F22">_xll.FDS(C22,"FMA_COS_DOWN(""EPS"",""1M"",+1,0,,,""PORTAGG"",""MEANR"")")</f>
        <v>194</v>
      </c>
      <c r="G22" cm="1">
        <f t="array" ref="G22">_xll.FDS(A22,"SIZE(FG_CONSTITUENTS)")</f>
        <v>503</v>
      </c>
      <c r="H22" s="9">
        <f t="shared" si="20"/>
        <v>0.28628230616302186</v>
      </c>
      <c r="I22" s="9">
        <f t="shared" si="21"/>
        <v>0.38568588469184889</v>
      </c>
      <c r="J22" s="9">
        <f t="shared" si="22"/>
        <v>-9.940357852882703E-2</v>
      </c>
      <c r="K22" s="5" cm="1">
        <f t="array" ref="K22">_xll.FDS(A22,"FMA_PCT_ABOVE_MAVG(200,0,,,,""PORTAGG"")")/100</f>
        <v>0.72799999999999998</v>
      </c>
      <c r="L22" s="41" cm="1">
        <f t="array" ref="L22">_xll.FDSB(A22,"PERCENT_CHANGE(FMA_EPS(+1,0,,,,""PORTAGG"",""MEAN""),FMA_EPS(+1,-1AM,,,,""PORTAGG"",""MEAN""))")</f>
        <v>-1.18526631329981</v>
      </c>
      <c r="M22" s="41" cm="1">
        <f t="array" ref="M22">_xll.FDSB(A22,"PERCENT_CHANGE(FMA_EPS(+1,0,,,,""PORTAGG"",""MEAN""),FMA_EPS(+1,-3AM,,,,""PORTAGG"",""MEAN""))")</f>
        <v>-1.39572403423461</v>
      </c>
      <c r="N22" s="3" cm="1">
        <f t="array" ref="N22">_xll.FDS(C22,"FG_TOTAL_RETURNC(0,-1AM)")</f>
        <v>5.3043484999999997</v>
      </c>
      <c r="O22" s="3" cm="1">
        <f t="array" ref="O22">_xll.FDS(C22,"FG_TOTAL_RETURNC(0,-3AM)")</f>
        <v>2.9537081999999999</v>
      </c>
      <c r="P22" s="3" cm="1">
        <f t="array" ref="P22">_xll.FDS(C22,"FG_TOTAL_RETURNC(0,-6AM)")</f>
        <v>12.768734</v>
      </c>
      <c r="Q22" s="9" cm="1">
        <f t="array" ref="Q22">_xll.FDS(C22,"P_PRICE(0)/P_PRICE_HIGH_PR(0,,,,,,""PRICE"",""INTRA"",""52W"")")</f>
        <v>0.99726504000000005</v>
      </c>
      <c r="R22" s="9" cm="1">
        <f t="array" ref="R22">_xll.FDS(C22,"P_PRICE(0)/P_PRICE_low_PR(0,,,,,,""PRICE"",""INTRA"",""52W"")-1")</f>
        <v>0.40790796000000001</v>
      </c>
      <c r="S22" s="3" cm="1">
        <f t="array" ref="S22">_xll.FDS(C22,"FG_TOTAL_RETURNC(0,-12AM)")</f>
        <v>34.381709999999998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26</v>
      </c>
      <c r="F23" cm="1">
        <f t="array" ref="F23">_xll.FDS(C23,"FMA_COS_DOWN(""EPS"",""1M"",+1,0,,,""PORTAGG"",""MEANR"")")</f>
        <v>13</v>
      </c>
      <c r="G23" cm="1">
        <f t="array" ref="G23">_xll.FDS(A23,"SIZE(FG_CONSTITUENTS)")</f>
        <v>53</v>
      </c>
      <c r="H23" s="9">
        <f t="shared" ref="H23" si="24">E23/$G23</f>
        <v>0.49056603773584906</v>
      </c>
      <c r="I23" s="9">
        <f t="shared" ref="I23" si="25">F23/$G23</f>
        <v>0.24528301886792453</v>
      </c>
      <c r="J23" s="9">
        <f t="shared" ref="J23" si="26">H23-I23</f>
        <v>0.24528301886792453</v>
      </c>
      <c r="K23" s="5" cm="1">
        <f t="array" ref="K23">_xll.FDS(A23,"FMA_PCT_ABOVE_MAVG(200,0,,,,""PORTAGG"")")/100</f>
        <v>0.94</v>
      </c>
      <c r="L23" s="41" cm="1">
        <f t="array" ref="L23">_xll.FDSB(A23,"PERCENT_CHANGE(FMA_EPS(+1,0,,,,""PORTAGG"",""MEAN""),FMA_EPS(+1,-1AM,,,,""PORTAGG"",""MEAN""))")</f>
        <v>0.86694719716958901</v>
      </c>
      <c r="M23" s="41" cm="1">
        <f t="array" ref="M23">_xll.FDSB(A23,"PERCENT_CHANGE(FMA_EPS(+1,0,,,,""PORTAGG"",""MEAN""),FMA_EPS(+1,-3AM,,,,""PORTAGG"",""MEAN""))")</f>
        <v>3.98108785600752</v>
      </c>
      <c r="N23" s="3" cm="1">
        <f t="array" ref="N23">_xll.FDS(C23,"FG_TOTAL_RETURNC(0,-1AM)")</f>
        <v>30.479192999999999</v>
      </c>
      <c r="O23" s="3" cm="1">
        <f t="array" ref="O23">_xll.FDS(C23,"FG_TOTAL_RETURNC(0,-3AM)")</f>
        <v>25.928747000000001</v>
      </c>
      <c r="P23" s="3" cm="1">
        <f t="array" ref="P23">_xll.FDS(C23,"FG_TOTAL_RETURNC(0,-6AM)")</f>
        <v>36.192999999999998</v>
      </c>
      <c r="Q23" s="9" cm="1">
        <f t="array" ref="Q23">_xll.FDS(C23,"P_PRICE(0)/P_PRICE_HIGH_PR(0,,,,,,""PRICE"",""INTRA"",""52W"")")</f>
        <v>0.88586670000000001</v>
      </c>
      <c r="R23" s="9" cm="1">
        <f t="array" ref="R23">_xll.FDS(C23,"P_PRICE(0)/P_PRICE_low_PR(0,,,,,,""PRICE"",""INTRA"",""52W"")-1")</f>
        <v>0.59252154999999995</v>
      </c>
      <c r="S23" s="3" cm="1">
        <f t="array" ref="S23">_xll.FDS(C23,"FG_TOTAL_RETURNC(0,-12AM)")</f>
        <v>27.222204000000001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-0.15517961499999999</v>
      </c>
      <c r="E4" s="9">
        <f>HLOOKUP(B4,'Monthly Returns'!$A$1:$Q$134, 132, FALSE)</f>
        <v>0.11570247933884298</v>
      </c>
      <c r="H4" s="9">
        <f>HLOOKUP(B4,'Yearly returns'!$B$1:$N$140, 133, FALSE)</f>
        <v>0.14049586776859505</v>
      </c>
      <c r="I4" s="9">
        <f>HLOOKUP(B4,'Yearly returns'!$B$1:$N$140, 138, FALSE)</f>
        <v>0.63100000000000001</v>
      </c>
      <c r="J4" s="183">
        <f>1/E4</f>
        <v>8.6428571428571423</v>
      </c>
      <c r="K4" s="185">
        <f>PERCENTRANK($J$4:$J$16,J4)*100</f>
        <v>33.300000000000004</v>
      </c>
      <c r="L4" s="47">
        <f>(1-PERCENTRANK($E$4:$E$16,E4))*100</f>
        <v>50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72.924999999999997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-0.16453462999999999</v>
      </c>
      <c r="E5" s="9">
        <f>HLOOKUP(B5,'Monthly Returns'!$A$1:$Q$134, 132, FALSE)</f>
        <v>0.10743801652892562</v>
      </c>
      <c r="H5" s="9">
        <f>HLOOKUP(B5,'Yearly returns'!$B$1:$N$140, 133, FALSE)</f>
        <v>0.12396694214876033</v>
      </c>
      <c r="I5" s="9">
        <f>HLOOKUP(B5,'Yearly returns'!$B$1:$N$140, 138, FALSE)</f>
        <v>0.91800000000000004</v>
      </c>
      <c r="J5" s="183">
        <f t="shared" ref="J5:J16" si="0">1/E5</f>
        <v>9.3076923076923066</v>
      </c>
      <c r="K5" s="185">
        <f t="shared" ref="K5:K16" si="1">PERCENTRANK($J$4:$J$16,J5)*100</f>
        <v>58.3</v>
      </c>
      <c r="L5" s="47">
        <f t="shared" ref="L5:L16" si="2">(1-PERCENTRANK($E$4:$E$16,E5))*100</f>
        <v>58.400000000000006</v>
      </c>
      <c r="M5" s="47">
        <f t="shared" ref="M5:M16" si="3">(1-PERCENTRANK($H$4:$H$16,H5))*100</f>
        <v>58.400000000000006</v>
      </c>
      <c r="N5" s="47">
        <f t="shared" ref="N5:N16" si="4">(1-PERCENTRANK($I$4:$I$16,I5))*100</f>
        <v>8.3999999999999968</v>
      </c>
      <c r="P5">
        <f>L5*Assumption!$E$53 + M5*Assumption!$F$53 + N5*Assumption!$G$53</f>
        <v>33.4</v>
      </c>
      <c r="R5" cm="1">
        <f t="array" ref="R5">_xlfn.PERCENTRANK.EXC(_xlfn._xlws.FILTER(P$4:P$16, ISNUMBER(P$4:P$16)),P5)*100</f>
        <v>28.499999999999996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-0.18954681000000001</v>
      </c>
      <c r="E6" s="9">
        <f>HLOOKUP(B6,'Monthly Returns'!$A$1:$Q$134, 132, FALSE)</f>
        <v>0.11570247933884298</v>
      </c>
      <c r="H6" s="9">
        <f>HLOOKUP(B6,'Yearly returns'!$B$1:$N$140, 133, FALSE)</f>
        <v>0.15702479338842976</v>
      </c>
      <c r="I6" s="9">
        <f>HLOOKUP(B6,'Yearly returns'!$B$1:$N$140, 138, FALSE)</f>
        <v>0.90100000000000002</v>
      </c>
      <c r="J6" s="183">
        <f t="shared" si="0"/>
        <v>8.6428571428571423</v>
      </c>
      <c r="K6" s="185">
        <f t="shared" si="1"/>
        <v>33.300000000000004</v>
      </c>
      <c r="L6" s="47">
        <f t="shared" si="2"/>
        <v>50</v>
      </c>
      <c r="M6" s="47">
        <f t="shared" si="3"/>
        <v>33.4</v>
      </c>
      <c r="N6" s="47">
        <f t="shared" si="4"/>
        <v>25</v>
      </c>
      <c r="P6">
        <f>L6*Assumption!$E$53 + M6*Assumption!$F$53 + N6*Assumption!$G$53</f>
        <v>33.35</v>
      </c>
      <c r="R6" cm="1">
        <f t="array" ref="R6">_xlfn.PERCENTRANK.EXC(_xlfn._xlws.FILTER(P$4:P$16, ISNUMBER(P$4:P$16)),P6)*100</f>
        <v>14.2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-0.16868216</v>
      </c>
      <c r="E7" s="9">
        <f>HLOOKUP(B7,'Monthly Returns'!$A$1:$Q$134, 132, FALSE)</f>
        <v>0.12396694214876033</v>
      </c>
      <c r="H7" s="9">
        <f>HLOOKUP(B7,'Yearly returns'!$B$1:$N$140, 133, FALSE)</f>
        <v>0.256198347107438</v>
      </c>
      <c r="I7" s="9">
        <f>HLOOKUP(B7,'Yearly returns'!$B$1:$N$140, 138, FALSE)</f>
        <v>0.90900000000000003</v>
      </c>
      <c r="J7" s="183">
        <f t="shared" si="0"/>
        <v>8.0666666666666664</v>
      </c>
      <c r="K7" s="185">
        <f t="shared" si="1"/>
        <v>25</v>
      </c>
      <c r="L7" s="47">
        <f t="shared" si="2"/>
        <v>25</v>
      </c>
      <c r="M7" s="47">
        <f t="shared" si="3"/>
        <v>8.3999999999999968</v>
      </c>
      <c r="N7" s="47">
        <f t="shared" si="4"/>
        <v>16.700000000000003</v>
      </c>
      <c r="P7">
        <f>L7*Assumption!$E$53 + M7*Assumption!$F$53 + N7*Assumption!$G$53</f>
        <v>16.700000000000003</v>
      </c>
      <c r="R7" cm="1">
        <f t="array" ref="R7">_xlfn.PERCENTRANK.EXC(_xlfn._xlws.FILTER(P$4:P$16, ISNUMBER(P$4:P$16)),P7)*100</f>
        <v>7.1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-0.13451183</v>
      </c>
      <c r="E8" s="9">
        <f>HLOOKUP(B8,'Monthly Returns'!$A$1:$Q$134, 132, FALSE)</f>
        <v>9.9173553719008267E-2</v>
      </c>
      <c r="H8" s="9">
        <f>HLOOKUP(B8,'Yearly returns'!$B$1:$N$140, 133, FALSE)</f>
        <v>0.11570247933884298</v>
      </c>
      <c r="I8" s="9">
        <f>HLOOKUP(B8,'Yearly returns'!$B$1:$N$140, 138, FALSE)</f>
        <v>0.83599999999999997</v>
      </c>
      <c r="J8" s="183">
        <f t="shared" si="0"/>
        <v>10.083333333333334</v>
      </c>
      <c r="K8" s="185">
        <f t="shared" si="1"/>
        <v>66.600000000000009</v>
      </c>
      <c r="L8" s="47">
        <f t="shared" si="2"/>
        <v>75</v>
      </c>
      <c r="M8" s="47">
        <f t="shared" si="3"/>
        <v>66.7</v>
      </c>
      <c r="N8" s="47">
        <f t="shared" si="4"/>
        <v>66.7</v>
      </c>
      <c r="P8">
        <f>L8*Assumption!$E$53 + M8*Assumption!$F$53 + N8*Assumption!$G$53</f>
        <v>68.775000000000006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-0.12479936999999999</v>
      </c>
      <c r="E9" s="9">
        <f>HLOOKUP(B9,'Monthly Returns'!$A$1:$Q$134, 132, FALSE)</f>
        <v>5.7851239669421489E-2</v>
      </c>
      <c r="H9" s="9">
        <f>HLOOKUP(B9,'Yearly returns'!$B$1:$N$140, 133, FALSE)</f>
        <v>9.0909090909090912E-2</v>
      </c>
      <c r="I9" s="9">
        <f>HLOOKUP(B9,'Yearly returns'!$B$1:$N$140, 138, FALSE)</f>
        <v>0.83599999999999997</v>
      </c>
      <c r="J9" s="183">
        <f t="shared" si="0"/>
        <v>17.285714285714285</v>
      </c>
      <c r="K9" s="185">
        <f t="shared" si="1"/>
        <v>100</v>
      </c>
      <c r="L9" s="47">
        <f t="shared" si="2"/>
        <v>100</v>
      </c>
      <c r="M9" s="47">
        <f t="shared" si="3"/>
        <v>83.399999999999991</v>
      </c>
      <c r="N9" s="47">
        <f t="shared" si="4"/>
        <v>66.7</v>
      </c>
      <c r="P9">
        <f>L9*Assumption!$E$53 + M9*Assumption!$F$53 + N9*Assumption!$G$53</f>
        <v>79.199999999999989</v>
      </c>
      <c r="R9" cm="1">
        <f t="array" ref="R9">_xlfn.PERCENTRANK.EXC(_xlfn._xlws.FILTER(P$4:P$16, ISNUMBER(P$4:P$16)),P9)*100</f>
        <v>85.7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-0.16916029999999999</v>
      </c>
      <c r="E10" s="9">
        <f>HLOOKUP(B10,'Monthly Returns'!$A$1:$Q$134, 132, FALSE)</f>
        <v>9.9173553719008267E-2</v>
      </c>
      <c r="H10" s="9">
        <f>HLOOKUP(B10,'Yearly returns'!$B$1:$N$140, 133, FALSE)</f>
        <v>0.16528925619834711</v>
      </c>
      <c r="I10" s="9">
        <f>HLOOKUP(B10,'Yearly returns'!$B$1:$N$140, 138, FALSE)</f>
        <v>0.89300000000000002</v>
      </c>
      <c r="J10" s="183">
        <f t="shared" si="0"/>
        <v>10.083333333333334</v>
      </c>
      <c r="K10" s="185">
        <f t="shared" si="1"/>
        <v>66.600000000000009</v>
      </c>
      <c r="L10" s="47">
        <f t="shared" si="2"/>
        <v>75</v>
      </c>
      <c r="M10" s="47">
        <f t="shared" si="3"/>
        <v>25</v>
      </c>
      <c r="N10" s="47">
        <f t="shared" si="4"/>
        <v>41.7</v>
      </c>
      <c r="P10">
        <f>L10*Assumption!$E$53 + M10*Assumption!$F$53 + N10*Assumption!$G$53</f>
        <v>45.85</v>
      </c>
      <c r="R10" cm="1">
        <f t="array" ref="R10">_xlfn.PERCENTRANK.EXC(_xlfn._xlws.FILTER(P$4:P$16, ISNUMBER(P$4:P$16)),P10)*100</f>
        <v>50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-0.13859367</v>
      </c>
      <c r="E11" s="9">
        <f>HLOOKUP(B11,'Monthly Returns'!$A$1:$Q$134, 132, FALSE)</f>
        <v>0.11570247933884298</v>
      </c>
      <c r="H11" s="9">
        <f>HLOOKUP(B11,'Yearly returns'!$B$1:$N$140, 133, FALSE)</f>
        <v>8.2644628099173556E-2</v>
      </c>
      <c r="I11" s="9">
        <f>HLOOKUP(B11,'Yearly returns'!$B$1:$N$140, 138, FALSE)</f>
        <v>0.76200000000000001</v>
      </c>
      <c r="J11" s="183">
        <f t="shared" si="0"/>
        <v>8.6428571428571423</v>
      </c>
      <c r="K11" s="185">
        <f t="shared" si="1"/>
        <v>33.300000000000004</v>
      </c>
      <c r="L11" s="47">
        <f t="shared" si="2"/>
        <v>50</v>
      </c>
      <c r="M11" s="47">
        <f t="shared" si="3"/>
        <v>91.7</v>
      </c>
      <c r="N11" s="47">
        <f t="shared" si="4"/>
        <v>83.399999999999991</v>
      </c>
      <c r="P11">
        <f>L11*Assumption!$E$53 + M11*Assumption!$F$53 + N11*Assumption!$G$53</f>
        <v>77.125</v>
      </c>
      <c r="R11" cm="1">
        <f t="array" ref="R11">_xlfn.PERCENTRANK.EXC(_xlfn._xlws.FILTER(P$4:P$16, ISNUMBER(P$4:P$16)),P11)*100</f>
        <v>78.5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-0.1382215</v>
      </c>
      <c r="E12" s="9">
        <f>HLOOKUP(B12,'Monthly Returns'!$A$1:$Q$134, 132, FALSE)</f>
        <v>6.6115702479338845E-2</v>
      </c>
      <c r="H12" s="9">
        <f>HLOOKUP(B12,'Yearly returns'!$B$1:$N$140, 133, FALSE)</f>
        <v>3.3057851239669422E-2</v>
      </c>
      <c r="I12" s="9">
        <f>HLOOKUP(B12,'Yearly returns'!$B$1:$N$140, 138, FALSE)</f>
        <v>0.94199999999999995</v>
      </c>
      <c r="J12" s="183">
        <f t="shared" si="0"/>
        <v>15.125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47.924999999999997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-0.16893982000000002</v>
      </c>
      <c r="E13" s="9">
        <f>HLOOKUP(B13,'Monthly Returns'!$A$1:$Q$134, 132, FALSE)</f>
        <v>9.0909090909090912E-2</v>
      </c>
      <c r="H13" s="9">
        <f>HLOOKUP(B13,'Yearly returns'!$B$1:$N$140, 133, FALSE)</f>
        <v>0.13223140495867769</v>
      </c>
      <c r="I13" s="9">
        <f>HLOOKUP(B13,'Yearly returns'!$B$1:$N$140, 138, FALSE)</f>
        <v>0.65500000000000003</v>
      </c>
      <c r="J13" s="183">
        <f t="shared" si="0"/>
        <v>11</v>
      </c>
      <c r="K13" s="185">
        <f t="shared" si="1"/>
        <v>83.3</v>
      </c>
      <c r="L13" s="47">
        <f t="shared" si="2"/>
        <v>83.399999999999991</v>
      </c>
      <c r="M13" s="47">
        <f t="shared" si="3"/>
        <v>50</v>
      </c>
      <c r="N13" s="47">
        <f t="shared" si="4"/>
        <v>91.7</v>
      </c>
      <c r="P13">
        <f>L13*Assumption!$E$53 + M13*Assumption!$F$53 + N13*Assumption!$G$53</f>
        <v>79.199999999999989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-0.15687543000000001</v>
      </c>
      <c r="E14" s="9">
        <f>HLOOKUP(B14,'Monthly Returns'!$A$1:$Q$134, 132, FALSE)</f>
        <v>0.14049586776859505</v>
      </c>
      <c r="H14" s="9">
        <f>HLOOKUP(B14,'Yearly returns'!$B$1:$N$140, 133, FALSE)</f>
        <v>0.10743801652892562</v>
      </c>
      <c r="I14" s="9">
        <f>HLOOKUP(B14,'Yearly returns'!$B$1:$N$140, 138, FALSE)</f>
        <v>0.89300000000000002</v>
      </c>
      <c r="J14" s="183">
        <f t="shared" si="0"/>
        <v>7.117647058823529</v>
      </c>
      <c r="K14" s="185">
        <f t="shared" si="1"/>
        <v>0</v>
      </c>
      <c r="L14" s="47">
        <f t="shared" si="2"/>
        <v>8.3999999999999968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41.7</v>
      </c>
      <c r="R14" cm="1">
        <f t="array" ref="R14">_xlfn.PERCENTRANK.EXC(_xlfn._xlws.FILTER(P$4:P$16, ISNUMBER(P$4:P$16)),P14)*100</f>
        <v>42.8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-0.15133757</v>
      </c>
      <c r="E15" s="9">
        <f>HLOOKUP(B15,'Monthly Returns'!$A$1:$Q$134, 132, FALSE)</f>
        <v>0.13223140495867769</v>
      </c>
      <c r="H15" s="9">
        <f>HLOOKUP(B15,'Yearly returns'!$B$1:$N$140, 133, FALSE)</f>
        <v>0.17355371900826447</v>
      </c>
      <c r="I15" s="9">
        <f>HLOOKUP(B15,'Yearly returns'!$B$1:$N$140, 138, FALSE)</f>
        <v>0.877</v>
      </c>
      <c r="J15" s="183">
        <f t="shared" si="0"/>
        <v>7.5625</v>
      </c>
      <c r="K15" s="185">
        <f t="shared" si="1"/>
        <v>16.600000000000001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50</v>
      </c>
      <c r="P15">
        <f>L15*Assumption!$E$53 + M15*Assumption!$F$53 + N15*Assumption!$G$53</f>
        <v>33.35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-0.21820609999999999</v>
      </c>
      <c r="E16" s="9">
        <f>HLOOKUP(B16,'Monthly Returns'!$A$1:$Q$134, 132, FALSE)</f>
        <v>0.14049586776859505</v>
      </c>
      <c r="H16" s="9">
        <f>HLOOKUP(B16,'Yearly returns'!$B$1:$N$140, 133, FALSE)</f>
        <v>0.2975206611570248</v>
      </c>
      <c r="I16" s="9">
        <f>HLOOKUP(B16,'Yearly returns'!$B$1:$N$140, 138, FALSE)</f>
        <v>0.81899999999999995</v>
      </c>
      <c r="J16" s="183">
        <f t="shared" si="0"/>
        <v>7.117647058823529</v>
      </c>
      <c r="K16" s="185">
        <f t="shared" si="1"/>
        <v>0</v>
      </c>
      <c r="L16" s="47">
        <f t="shared" si="2"/>
        <v>8.3999999999999968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39.6</v>
      </c>
      <c r="R16" cm="1">
        <f t="array" ref="R16">_xlfn.PERCENTRANK.EXC(_xlfn._xlws.FILTER(P$4:P$16, ISNUMBER(P$4:P$16)),P16)*100</f>
        <v>35.699999999999996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0.36799999999999999</v>
      </c>
      <c r="G5" s="141" cm="1">
        <f t="array" ref="G5">_xll.FDSZ(C5,"FG_PRICE(0)")</f>
        <v>48.79</v>
      </c>
      <c r="H5" s="141" cm="1">
        <f t="array" ref="H5">_xll.FDSZ(C5,"FG_PRICE_MAVG(0,,,,30)")</f>
        <v>49.224499999999999</v>
      </c>
      <c r="I5" s="141" cm="1">
        <f t="array" ref="I5">_xll.FDSZ(C5,"FG_PRICE_MAVG(0,,,,60)")</f>
        <v>48.112864999999999</v>
      </c>
      <c r="J5" s="141" cm="1">
        <f t="array" ref="J5">_xll.FDSZ(C5,"FG_PRICE_MAVG(0,,,,200)")</f>
        <v>46.482436999999997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412.24209999999999</v>
      </c>
      <c r="T5" s="7" cm="1">
        <f t="array" ref="T5">_xll.FDSZ($R5,"FG_PRICE(0)")</f>
        <v>412.24209999999999</v>
      </c>
      <c r="U5" s="7" cm="1">
        <f t="array" ref="U5">_xll.FDSZ($R5,"FG_PRICE(0)")</f>
        <v>412.24209999999999</v>
      </c>
      <c r="V5" s="7" cm="1">
        <f t="array" ref="V5">_xll.FDSZ($R5,"FG_PRICE(0)")</f>
        <v>412.24209999999999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0.73699999999999999</v>
      </c>
      <c r="G6" s="141" cm="1">
        <f t="array" ref="G6">_xll.FDSZ(C6,"FG_PRICE(0)")</f>
        <v>26.32</v>
      </c>
      <c r="H6" s="141" cm="1">
        <f t="array" ref="H6">_xll.FDSZ(C6,"FG_PRICE_MAVG(0,,,,30)")</f>
        <v>26.248332999999999</v>
      </c>
      <c r="I6" s="141" cm="1">
        <f t="array" ref="I6">_xll.FDSZ(C6,"FG_PRICE_MAVG(0,,,,60)")</f>
        <v>25.502832000000001</v>
      </c>
      <c r="J6" s="141" cm="1">
        <f t="array" ref="J6">_xll.FDSZ(C6,"FG_PRICE_MAVG(0,,,,200)")</f>
        <v>24.587900000000001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387.10302999999999</v>
      </c>
      <c r="T6" s="7" cm="1">
        <f t="array" ref="T6">_xll.FDSZ($R6,"FG_PRICE(0)")</f>
        <v>387.10302999999999</v>
      </c>
      <c r="U6" s="7" cm="1">
        <f t="array" ref="U6">_xll.FDSZ($R6,"FG_PRICE(0)")</f>
        <v>387.10302999999999</v>
      </c>
      <c r="V6" s="7" cm="1">
        <f t="array" ref="V6">_xll.FDSZ($R6,"FG_PRICE(0)")</f>
        <v>387.10302999999999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0.86</v>
      </c>
      <c r="G7" s="141" cm="1">
        <f t="array" ref="G7">_xll.FDSZ(C7,"FG_PRICE(0)")</f>
        <v>41.4</v>
      </c>
      <c r="H7" s="141" cm="1">
        <f t="array" ref="H7">_xll.FDSZ(C7,"FG_PRICE_MAVG(0,,,,30)")</f>
        <v>40.824333000000003</v>
      </c>
      <c r="I7" s="141" cm="1">
        <f t="array" ref="I7">_xll.FDSZ(C7,"FG_PRICE_MAVG(0,,,,60)")</f>
        <v>39.703834999999998</v>
      </c>
      <c r="J7" s="141" cm="1">
        <f t="array" ref="J7">_xll.FDSZ(C7,"FG_PRICE_MAVG(0,,,,200)")</f>
        <v>37.991900000000001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316.26517000000001</v>
      </c>
      <c r="T7" s="7" cm="1">
        <f t="array" ref="T7">_xll.FDSZ($R7,"FG_PRICE(0)")</f>
        <v>316.26517000000001</v>
      </c>
      <c r="U7" s="7" cm="1">
        <f t="array" ref="U7">_xll.FDSZ($R7,"FG_PRICE(0)")</f>
        <v>316.26517000000001</v>
      </c>
      <c r="V7" s="7" cm="1">
        <f t="array" ref="V7">_xll.FDSZ($R7,"FG_PRICE(0)")</f>
        <v>316.26517000000001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0.82699999999999996</v>
      </c>
      <c r="G8" s="141" cm="1">
        <f t="array" ref="G8">_xll.FDSZ(C8,"FG_PRICE(0)")</f>
        <v>32.97</v>
      </c>
      <c r="H8" s="141" cm="1">
        <f t="array" ref="H8">_xll.FDSZ(C8,"FG_PRICE_MAVG(0,,,,30)")</f>
        <v>32.710999999999999</v>
      </c>
      <c r="I8" s="141" cm="1">
        <f t="array" ref="I8">_xll.FDSZ(C8,"FG_PRICE_MAVG(0,,,,60)")</f>
        <v>31.879332999999999</v>
      </c>
      <c r="J8" s="141" cm="1">
        <f t="array" ref="J8">_xll.FDSZ(C8,"FG_PRICE_MAVG(0,,,,200)")</f>
        <v>31.015999999999998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9.5069274999999998</v>
      </c>
      <c r="T8" s="7" cm="1">
        <f t="array" ref="T8">_xll.FDSZ($R8,"FG_PRICE(0)")</f>
        <v>9.5069274999999998</v>
      </c>
      <c r="U8" s="7" cm="1">
        <f t="array" ref="U8">_xll.FDSZ($R8,"FG_PRICE(0)")</f>
        <v>9.5069274999999998</v>
      </c>
      <c r="V8" s="7" cm="1">
        <f t="array" ref="V8">_xll.FDSZ($R8,"FG_PRICE(0)")</f>
        <v>9.5069274999999998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0.67200000000000004</v>
      </c>
      <c r="G9" s="141" cm="1">
        <f t="array" ref="G9">_xll.FDSZ(C9,"FG_PRICE(0)")</f>
        <v>70.900000000000006</v>
      </c>
      <c r="H9" s="141" cm="1">
        <f t="array" ref="H9">_xll.FDSZ(C9,"FG_PRICE_MAVG(0,,,,30)")</f>
        <v>70.754999999999995</v>
      </c>
      <c r="I9" s="141" cm="1">
        <f t="array" ref="I9">_xll.FDSZ(C9,"FG_PRICE_MAVG(0,,,,60)")</f>
        <v>69.641999999999996</v>
      </c>
      <c r="J9" s="141" cm="1">
        <f t="array" ref="J9">_xll.FDSZ(C9,"FG_PRICE_MAVG(0,,,,200)")</f>
        <v>68.572900000000004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179.78249</v>
      </c>
      <c r="T9" s="7" cm="1">
        <f t="array" ref="T9">_xll.FDSZ($R9,"FG_PRICE(0)")</f>
        <v>179.78249</v>
      </c>
      <c r="U9" s="7" cm="1">
        <f t="array" ref="U9">_xll.FDSZ($R9,"FG_PRICE(0)")</f>
        <v>179.78249</v>
      </c>
      <c r="V9" s="7" cm="1">
        <f t="array" ref="V9">_xll.FDSZ($R9,"FG_PRICE(0)")</f>
        <v>179.78249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0.36799999999999999</v>
      </c>
      <c r="G10" s="141" cm="1">
        <f t="array" ref="G10">_xll.FDSZ(C10,"FG_PRICE(0)")</f>
        <v>51.02</v>
      </c>
      <c r="H10" s="141" cm="1">
        <f t="array" ref="H10">_xll.FDSZ(C10,"FG_PRICE_MAVG(0,,,,30)")</f>
        <v>51.457000000000001</v>
      </c>
      <c r="I10" s="141" cm="1">
        <f t="array" ref="I10">_xll.FDSZ(C10,"FG_PRICE_MAVG(0,,,,60)")</f>
        <v>50.931168</v>
      </c>
      <c r="J10" s="141" cm="1">
        <f t="array" ref="J10">_xll.FDSZ(C10,"FG_PRICE_MAVG(0,,,,200)")</f>
        <v>48.630850000000002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843</v>
      </c>
      <c r="S10" s="7" cm="1">
        <f t="array" ref="S10">_xll.FDSZ($R10,"FG_PRICE(0)")</f>
        <v>348.02190000000002</v>
      </c>
      <c r="T10" s="7" cm="1">
        <f t="array" ref="T10">_xll.FDSZ($R10,"FG_PRICE(0)")</f>
        <v>348.02190000000002</v>
      </c>
      <c r="U10" s="7" cm="1">
        <f t="array" ref="U10">_xll.FDSZ($R10,"FG_PRICE(0)")</f>
        <v>348.02190000000002</v>
      </c>
      <c r="V10" s="7" cm="1">
        <f t="array" ref="V10">_xll.FDSZ($R10,"FG_PRICE(0)")</f>
        <v>348.02190000000002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0.442</v>
      </c>
      <c r="G11" s="141" cm="1">
        <f t="array" ref="G11">_xll.FDSZ(C11,"FG_PRICE(0)")</f>
        <v>36.58</v>
      </c>
      <c r="H11" s="141" cm="1">
        <f t="array" ref="H11">_xll.FDSZ(C11,"FG_PRICE_MAVG(0,,,,30)")</f>
        <v>37.044333999999999</v>
      </c>
      <c r="I11" s="141" cm="1">
        <f t="array" ref="I11">_xll.FDSZ(C11,"FG_PRICE_MAVG(0,,,,60)")</f>
        <v>36.521329999999999</v>
      </c>
      <c r="J11" s="141" cm="1">
        <f t="array" ref="J11">_xll.FDSZ(C11,"FG_PRICE_MAVG(0,,,,200)")</f>
        <v>34.841700000000003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131.75851</v>
      </c>
      <c r="T11" s="7" cm="1">
        <f t="array" ref="T11">_xll.FDSZ($R11,"FG_PRICE(0)")</f>
        <v>131.75851</v>
      </c>
      <c r="U11" s="7" cm="1">
        <f t="array" ref="U11">_xll.FDSZ($R11,"FG_PRICE(0)")</f>
        <v>131.75851</v>
      </c>
      <c r="V11" s="7" cm="1">
        <f t="array" ref="V11">_xll.FDSZ($R11,"FG_PRICE(0)")</f>
        <v>131.75851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0.88500000000000001</v>
      </c>
      <c r="G12" s="141" cm="1">
        <f t="array" ref="G12">_xll.FDSZ(C12,"FG_PRICE(0)")</f>
        <v>492.59</v>
      </c>
      <c r="H12" s="141" cm="1">
        <f t="array" ref="H12">_xll.FDSZ(C12,"FG_PRICE_MAVG(0,,,,30)")</f>
        <v>476.70468</v>
      </c>
      <c r="I12" s="141" cm="1">
        <f t="array" ref="I12">_xll.FDSZ(C12,"FG_PRICE_MAVG(0,,,,60)")</f>
        <v>471.01600000000002</v>
      </c>
      <c r="J12" s="141" cm="1">
        <f t="array" ref="J12">_xll.FDSZ(C12,"FG_PRICE_MAVG(0,,,,200)")</f>
        <v>451.53854000000001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431.74844000000002</v>
      </c>
      <c r="T12" s="7" cm="1">
        <f t="array" ref="T12">_xll.FDSZ($R12,"FG_PRICE(0)")</f>
        <v>431.74844000000002</v>
      </c>
      <c r="U12" s="7" cm="1">
        <f t="array" ref="U12">_xll.FDSZ($R12,"FG_PRICE(0)")</f>
        <v>431.74844000000002</v>
      </c>
      <c r="V12" s="7" cm="1">
        <f t="array" ref="V12">_xll.FDSZ($R12,"FG_PRICE(0)")</f>
        <v>431.74844000000002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0.88500000000000001</v>
      </c>
      <c r="G13" s="141" cm="1">
        <f t="array" ref="G13">_xll.FDSZ(C13,"FG_PRICE(0)")</f>
        <v>576.13</v>
      </c>
      <c r="H13" s="141" cm="1">
        <f t="array" ref="H13">_xll.FDSZ(C13,"FG_PRICE_MAVG(0,,,,30)")</f>
        <v>563.77829999999994</v>
      </c>
      <c r="I13" s="141" cm="1">
        <f t="array" ref="I13">_xll.FDSZ(C13,"FG_PRICE_MAVG(0,,,,60)")</f>
        <v>554.78650000000005</v>
      </c>
      <c r="J13" s="141" cm="1">
        <f t="array" ref="J13">_xll.FDSZ(C13,"FG_PRICE_MAVG(0,,,,200)")</f>
        <v>526.03314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431.74844000000002</v>
      </c>
      <c r="T13" s="7" cm="1">
        <f t="array" ref="T13">_xll.FDSZ($R13,"FG_PRICE(0)")</f>
        <v>431.74844000000002</v>
      </c>
      <c r="U13" s="7" cm="1">
        <f t="array" ref="U13">_xll.FDSZ($R13,"FG_PRICE(0)")</f>
        <v>431.74844000000002</v>
      </c>
      <c r="V13" s="7" cm="1">
        <f t="array" ref="V13">_xll.FDSZ($R13,"FG_PRICE(0)")</f>
        <v>431.74844000000002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0.5</v>
      </c>
      <c r="G14" s="141" cm="1">
        <f t="array" ref="G14">_xll.FDSZ(C14,"FG_PRICE(0)")</f>
        <v>39.17</v>
      </c>
      <c r="H14" s="141" cm="1">
        <f t="array" ref="H14">_xll.FDSZ(C14,"FG_PRICE_MAVG(0,,,,30)")</f>
        <v>39.514000000000003</v>
      </c>
      <c r="I14" s="141" cm="1">
        <f t="array" ref="I14">_xll.FDSZ(C14,"FG_PRICE_MAVG(0,,,,60)")</f>
        <v>39.000168000000002</v>
      </c>
      <c r="J14" s="141" cm="1">
        <f t="array" ref="J14">_xll.FDSZ(C14,"FG_PRICE_MAVG(0,,,,200)")</f>
        <v>39.654000000000003</v>
      </c>
      <c r="L14">
        <f t="shared" si="0"/>
        <v>0</v>
      </c>
      <c r="M14">
        <f t="shared" si="1"/>
        <v>1</v>
      </c>
      <c r="N14">
        <f t="shared" si="2"/>
        <v>0</v>
      </c>
      <c r="P14">
        <f t="shared" si="3"/>
        <v>1</v>
      </c>
      <c r="R14" t="s">
        <v>845</v>
      </c>
      <c r="S14" s="7" cm="1">
        <f t="array" ref="S14">_xll.FDSZ($R14,"FG_PRICE(0)")</f>
        <v>431.74844000000002</v>
      </c>
      <c r="T14" s="7" cm="1">
        <f t="array" ref="T14">_xll.FDSZ($R14,"FG_PRICE(0)")</f>
        <v>431.74844000000002</v>
      </c>
      <c r="U14" s="7" cm="1">
        <f t="array" ref="U14">_xll.FDSZ($R14,"FG_PRICE(0)")</f>
        <v>431.74844000000002</v>
      </c>
      <c r="V14" s="7" cm="1">
        <f t="array" ref="V14">_xll.FDSZ($R14,"FG_PRICE(0)")</f>
        <v>431.74844000000002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0.76200000000000001</v>
      </c>
      <c r="G15" s="141" cm="1">
        <f t="array" ref="G15">_xll.FDSZ(C15,"FG_PRICE(0)")</f>
        <v>49.81</v>
      </c>
      <c r="H15" s="141" cm="1">
        <f t="array" ref="H15">_xll.FDSZ(C15,"FG_PRICE_MAVG(0,,,,30)")</f>
        <v>49.667340000000003</v>
      </c>
      <c r="I15" s="141" cm="1">
        <f t="array" ref="I15">_xll.FDSZ(C15,"FG_PRICE_MAVG(0,,,,60)")</f>
        <v>49.321334999999998</v>
      </c>
      <c r="J15" s="141" cm="1">
        <f t="array" ref="J15">_xll.FDSZ(C15,"FG_PRICE_MAVG(0,,,,200)")</f>
        <v>48.773277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431.74844000000002</v>
      </c>
      <c r="T15" s="7" cm="1">
        <f t="array" ref="T15">_xll.FDSZ($R15,"FG_PRICE(0)")</f>
        <v>431.74844000000002</v>
      </c>
      <c r="U15" s="7" cm="1">
        <f t="array" ref="U15">_xll.FDSZ($R15,"FG_PRICE(0)")</f>
        <v>431.74844000000002</v>
      </c>
      <c r="V15" s="7" cm="1">
        <f t="array" ref="V15">_xll.FDSZ($R15,"FG_PRICE(0)")</f>
        <v>431.74844000000002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0.63900000000000001</v>
      </c>
      <c r="G16" s="141" cm="1">
        <f t="array" ref="G16">_xll.FDSZ(C16,"FG_PRICE(0)")</f>
        <v>41.25</v>
      </c>
      <c r="H16" s="141" cm="1">
        <f t="array" ref="H16">_xll.FDSZ(C16,"FG_PRICE_MAVG(0,,,,30)")</f>
        <v>41.855666999999997</v>
      </c>
      <c r="I16" s="141" cm="1">
        <f t="array" ref="I16">_xll.FDSZ(C16,"FG_PRICE_MAVG(0,,,,60)")</f>
        <v>40.920499999999997</v>
      </c>
      <c r="J16" s="141" cm="1">
        <f t="array" ref="J16">_xll.FDSZ(C16,"FG_PRICE_MAVG(0,,,,200)")</f>
        <v>40.017124000000003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431.74844000000002</v>
      </c>
      <c r="T16" s="7" cm="1">
        <f t="array" ref="T16">_xll.FDSZ($R16,"FG_PRICE(0)")</f>
        <v>431.74844000000002</v>
      </c>
      <c r="U16" s="7" cm="1">
        <f t="array" ref="U16">_xll.FDSZ($R16,"FG_PRICE(0)")</f>
        <v>431.74844000000002</v>
      </c>
      <c r="V16" s="7" cm="1">
        <f t="array" ref="V16">_xll.FDSZ($R16,"FG_PRICE(0)")</f>
        <v>431.74844000000002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0.48299999999999998</v>
      </c>
      <c r="G17" s="141" cm="1">
        <f t="array" ref="G17">_xll.FDSZ(C17,"FG_PRICE(0)")</f>
        <v>38.03</v>
      </c>
      <c r="H17" s="141" cm="1">
        <f t="array" ref="H17">_xll.FDSZ(C17,"FG_PRICE_MAVG(0,,,,30)")</f>
        <v>38.287334000000001</v>
      </c>
      <c r="I17" s="141" cm="1">
        <f t="array" ref="I17">_xll.FDSZ(C17,"FG_PRICE_MAVG(0,,,,60)")</f>
        <v>37.639167999999998</v>
      </c>
      <c r="J17" s="141" cm="1">
        <f t="array" ref="J17">_xll.FDSZ(C17,"FG_PRICE_MAVG(0,,,,200)")</f>
        <v>36.647799999999997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431.74844000000002</v>
      </c>
      <c r="T17" s="7" cm="1">
        <f t="array" ref="T17">_xll.FDSZ($R17,"FG_PRICE(0)")</f>
        <v>431.74844000000002</v>
      </c>
      <c r="U17" s="7" cm="1">
        <f t="array" ref="U17">_xll.FDSZ($R17,"FG_PRICE(0)")</f>
        <v>431.74844000000002</v>
      </c>
      <c r="V17" s="7" cm="1">
        <f t="array" ref="V17">_xll.FDSZ($R17,"FG_PRICE(0)")</f>
        <v>431.74844000000002</v>
      </c>
    </row>
    <row r="19" spans="1:22" x14ac:dyDescent="0.35">
      <c r="K19" s="1" t="s">
        <v>906</v>
      </c>
      <c r="L19" s="1">
        <f>SUM(L5:L17)</f>
        <v>7</v>
      </c>
      <c r="M19" s="1">
        <f t="shared" ref="M19:N19" si="4">SUM(M5:M17)</f>
        <v>13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0.53846153846153844</v>
      </c>
      <c r="M22" s="182">
        <f t="shared" ref="M22:N22" si="6">M19/M20</f>
        <v>1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105.81</v>
      </c>
      <c r="D3" cm="1">
        <f t="array" ref="D3">_xll.FDS($A3,"FG_PRICE_MAVG(0,,,,30)")</f>
        <v>97.170670000000001</v>
      </c>
      <c r="E3" s="47" cm="1">
        <f t="array" ref="E3">_xll.FDS($A3,"FG_PRICE_CHANGE(0,-1AM)")</f>
        <v>15.918054338299701</v>
      </c>
      <c r="F3" s="47" cm="1">
        <f t="array" ref="F3">_xll.FDS($A3,"FG_PRICE_CHANGE(0,-3AM)")</f>
        <v>-2.6945006437373502</v>
      </c>
      <c r="G3" s="47" cm="1">
        <f t="array" ref="G3">_xll.FDS($A3,"FG_PRICE_CHANGE(0,-6AM)")</f>
        <v>1.7208229186694799</v>
      </c>
      <c r="H3" s="47" cm="1">
        <f t="array" ref="H3">_xll.FDS($A3,"FG_PRICE_CHANGE(0,-1AY)")</f>
        <v>-9.8722316865417401</v>
      </c>
      <c r="I3" s="47" cm="1">
        <f t="array" ref="I3">_xll.FDS($A3,"FG_PRICE(0)/MAX(FG_PRICE(0,-1AY))")</f>
        <v>0.73397613762486102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-1</v>
      </c>
      <c r="T3">
        <f>S3</f>
        <v>-1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4.3849999999999998</v>
      </c>
      <c r="D4" cm="1">
        <f t="array" ref="D4">_xll.FDS($A4,"FG_PRICE_MAVG(0,,,,30)")</f>
        <v>4.2925167000000002</v>
      </c>
      <c r="E4" s="47" cm="1">
        <f t="array" ref="E4">_xll.FDS($A4,"FG_PRICE_CHANGE(0,-1AM)")</f>
        <v>8.5261725034030391</v>
      </c>
      <c r="F4" s="47" cm="1">
        <f t="array" ref="F4">_xll.FDS($A4,"FG_PRICE_CHANGE(0,-3AM)")</f>
        <v>-4.8290830168204</v>
      </c>
      <c r="G4" s="47" cm="1">
        <f t="array" ref="G4">_xll.FDS($A4,"FG_PRICE_CHANGE(0,-6AM)")</f>
        <v>2.4054180289584202</v>
      </c>
      <c r="H4" s="47" cm="1">
        <f t="array" ref="H4">_xll.FDS($A4,"FG_PRICE_CHANGE(0,-1AY)")</f>
        <v>20.732378854625502</v>
      </c>
      <c r="I4" s="47" cm="1">
        <f t="array" ref="I4">_xll.FDS($A4,"FG_PRICE(0)/MAX(FG_PRICE(0,-1AY))")</f>
        <v>0.85661261965227598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-7.65756076575608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6.0374999999999996</v>
      </c>
      <c r="D6" cm="1">
        <f t="array" ref="D6">_xll.FDS($A6,"FG_PRICE_MAVG(0,,,,30)")</f>
        <v>5.7536670000000001</v>
      </c>
      <c r="E6" s="47" cm="1">
        <f t="array" ref="E6">_xll.FDS($A6,"FG_PRICE_CHANGE(0,-1AM)")</f>
        <v>8.0536912751677701</v>
      </c>
      <c r="F6" s="47" cm="1">
        <f t="array" ref="F6">_xll.FDS($A6,"FG_PRICE_CHANGE(0,-3AM)")</f>
        <v>11.085556577736901</v>
      </c>
      <c r="G6" s="47" cm="1">
        <f t="array" ref="G6">_xll.FDS($A6,"FG_PRICE_CHANGE(0,-6AM)")</f>
        <v>8.1020590868397395</v>
      </c>
      <c r="H6" s="47" cm="1">
        <f t="array" ref="H6">_xll.FDS($A6,"FG_PRICE_CHANGE(0,-1AY)")</f>
        <v>8.1020590868397395</v>
      </c>
      <c r="I6" s="47" cm="1">
        <f t="array" ref="I6">_xll.FDS($A6,"FG_PRICE(0)/MAX(FG_PRICE(0,-1AY))")</f>
        <v>0.86219207425919298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4350</v>
      </c>
      <c r="D7" cm="1">
        <f t="array" ref="D7">_xll.FDS($A7,"FG_PRICE_MAVG(0,,,,30)")</f>
        <v>4101.1000000000004</v>
      </c>
      <c r="E7" s="47" cm="1">
        <f t="array" ref="E7">_xll.FDS($A7,"FG_PRICE_CHANGE(0,-1AM)")</f>
        <v>9.2690278824415895</v>
      </c>
      <c r="F7" s="47" cm="1">
        <f t="array" ref="F7">_xll.FDS($A7,"FG_PRICE_CHANGE(0,-3AM)")</f>
        <v>8.8044022011005492</v>
      </c>
      <c r="G7" s="47" cm="1">
        <f t="array" ref="G7">_xll.FDS($A7,"FG_PRICE_CHANGE(0,-6AM)")</f>
        <v>-3.6971441222050001</v>
      </c>
      <c r="H7" s="47" cm="1">
        <f t="array" ref="H7">_xll.FDS($A7,"FG_PRICE_CHANGE(0,-1AY)")</f>
        <v>22.846653487715301</v>
      </c>
      <c r="I7" s="47" cm="1">
        <f t="array" ref="I7">_xll.FDS($A7,"FG_PRICE(0)/MAX(FG_PRICE(0,-1AY))")</f>
        <v>0.94998908058528098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960</v>
      </c>
      <c r="D8" cm="1">
        <f t="array" ref="D8">_xll.FDS($A8,"FG_PRICE_MAVG(0,,,,30)")</f>
        <v>972.4</v>
      </c>
      <c r="E8" s="47" cm="1">
        <f t="array" ref="E8">_xll.FDS($A8,"FG_PRICE_CHANGE(0,-1AM)")</f>
        <v>0.73452256033577101</v>
      </c>
      <c r="F8" s="47" cm="1">
        <f t="array" ref="F8">_xll.FDS($A8,"FG_PRICE_CHANGE(0,-3AM)")</f>
        <v>-4.09590409590409</v>
      </c>
      <c r="G8" s="47" cm="1">
        <f t="array" ref="G8">_xll.FDS($A8,"FG_PRICE_CHANGE(0,-6AM)")</f>
        <v>-1.4373716632443601</v>
      </c>
      <c r="H8" s="47" cm="1">
        <f t="array" ref="H8">_xll.FDS($A8,"FG_PRICE_CHANGE(0,-1AY)")</f>
        <v>7.5027995520716697</v>
      </c>
      <c r="I8" s="47" cm="1">
        <f t="array" ref="I8">_xll.FDS($A8,"FG_PRICE(0)/MAX(FG_PRICE(0,-1AY))")</f>
        <v>0.89803554724041201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17150</v>
      </c>
      <c r="D9" cm="1">
        <f t="array" ref="D9">_xll.FDS($A9,"FG_PRICE_MAVG(0,,,,30)")</f>
        <v>16529.166000000001</v>
      </c>
      <c r="E9" s="47" cm="1">
        <f t="array" ref="E9">_xll.FDS($A9,"FG_PRICE_CHANGE(0,-1AM)")</f>
        <v>9.8654708520179408</v>
      </c>
      <c r="F9" s="47" cm="1">
        <f t="array" ref="F9">_xll.FDS($A9,"FG_PRICE_CHANGE(0,-3AM)")</f>
        <v>2.3880597014925402</v>
      </c>
      <c r="G9" s="47" cm="1">
        <f t="array" ref="G9">_xll.FDS($A9,"FG_PRICE_CHANGE(0,-6AM)")</f>
        <v>-7.7212806026365399</v>
      </c>
      <c r="H9" s="47" cm="1">
        <f t="array" ref="H9">_xll.FDS($A9,"FG_PRICE_CHANGE(0,-1AY)")</f>
        <v>-6.0788608981380099</v>
      </c>
      <c r="I9" s="47" cm="1">
        <f t="array" ref="I9">_xll.FDS($A9,"FG_PRICE(0)/MAX(FG_PRICE(0,-1AY))")</f>
        <v>0.806110458284371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1069</v>
      </c>
      <c r="D10" cm="1">
        <f t="array" ref="D10">_xll.FDS($A10,"FG_PRICE_MAVG(0,,,,30)")</f>
        <v>1026.0999999999999</v>
      </c>
      <c r="E10" s="47" cm="1">
        <f t="array" ref="E10">_xll.FDS($A10,"FG_PRICE_CHANGE(0,-1AM)")</f>
        <v>10.2061855670103</v>
      </c>
      <c r="F10" s="47" cm="1">
        <f t="array" ref="F10">_xll.FDS($A10,"FG_PRICE_CHANGE(0,-3AM)")</f>
        <v>6.1569016881827299</v>
      </c>
      <c r="G10" s="47" cm="1">
        <f t="array" ref="G10">_xll.FDS($A10,"FG_PRICE_CHANGE(0,-6AM)")</f>
        <v>0.18744142455482399</v>
      </c>
      <c r="H10" s="47" cm="1">
        <f t="array" ref="H10">_xll.FDS($A10,"FG_PRICE_CHANGE(0,-1AY)")</f>
        <v>-6.2280701754385897</v>
      </c>
      <c r="I10" s="47" cm="1">
        <f t="array" ref="I10">_xll.FDS($A10,"FG_PRICE(0)/MAX(FG_PRICE(0,-1AY))")</f>
        <v>0.84841269841269795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566.70000000000005</v>
      </c>
      <c r="D11" cm="1">
        <f t="array" ref="D11">_xll.FDS($A11,"FG_PRICE_MAVG(0,,,,30)")</f>
        <v>560.11</v>
      </c>
      <c r="E11" s="47" cm="1">
        <f t="array" ref="E11">_xll.FDS($A11,"FG_PRICE_CHANGE(0,-1AM)")</f>
        <v>9.2749710759737702</v>
      </c>
      <c r="F11" s="47" cm="1">
        <f t="array" ref="F11">_xll.FDS($A11,"FG_PRICE_CHANGE(0,-3AM)")</f>
        <v>1.5955539619935599</v>
      </c>
      <c r="G11" s="47" cm="1">
        <f t="array" ref="G11">_xll.FDS($A11,"FG_PRICE_CHANGE(0,-6AM)")</f>
        <v>-10.403162055336001</v>
      </c>
      <c r="H11" s="47" cm="1">
        <f t="array" ref="H11">_xll.FDS($A11,"FG_PRICE_CHANGE(0,-1AY)")</f>
        <v>-21.258857857440599</v>
      </c>
      <c r="I11" s="47" cm="1">
        <f t="array" ref="I11">_xll.FDS($A11,"FG_PRICE(0)/MAX(FG_PRICE(0,-1AY))")</f>
        <v>0.74233691380665501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0.87525414999999995</v>
      </c>
      <c r="D12" cm="1">
        <f t="array" ref="D12">_xll.FDS($A12,"FG_PRICE_MAVG(0,,,,30)")</f>
        <v>0.88243269999999996</v>
      </c>
      <c r="E12" s="47" cm="1">
        <f t="array" ref="E12">_xll.FDS($A12,"FG_PRICE_CHANGE(0,-1AM)")</f>
        <v>-1.11606975156329</v>
      </c>
      <c r="F12" s="47" cm="1">
        <f t="array" ref="F12">_xll.FDS($A12,"FG_PRICE_CHANGE(0,-3AM)")</f>
        <v>-5.6060467492936601</v>
      </c>
      <c r="G12" s="47" cm="1">
        <f t="array" ref="G12">_xll.FDS($A12,"FG_PRICE_CHANGE(0,-6AM)")</f>
        <v>-9.9257911416179105</v>
      </c>
      <c r="H12" s="47" cm="1">
        <f t="array" ref="H12">_xll.FDS($A12,"FG_PRICE_CHANGE(0,-1AY)")</f>
        <v>-12.3521936031474</v>
      </c>
      <c r="I12" s="47" cm="1">
        <f t="array" ref="I12">_xll.FDS($A12,"FG_PRICE(0)/MAX(FG_PRICE(0,-1AY))")</f>
        <v>0.84159052884615404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41922</v>
      </c>
      <c r="B2" s="3" cm="1">
        <f t="array" ref="B2:B122">_xll.FDS(B1,"FMA_PE(LTMA,-10AY,0,AM,""PORTAGG"",""MEANR"")")</f>
        <v>17.8689048706871</v>
      </c>
      <c r="C2" s="3" cm="1">
        <f t="array" ref="C2:C122">_xll.FDS(C1,"FMA_PE(LTMA,-10AY,0,AM,""PORTAGG"",""MEANR"")")</f>
        <v>14.562083777308199</v>
      </c>
      <c r="D2" s="3" cm="1">
        <f t="array" ref="D2:D122">_xll.FDS(D1,"FMA_PE(LTMA,-10AY,0,AM,""PORTAGG"",""MEANR"")")</f>
        <v>15.356646062208201</v>
      </c>
      <c r="E2" s="3" cm="1">
        <f t="array" ref="E2:E122">_xll.FDS(E1,"FMA_PE(LTMA,-10AY,0,AM,""PORTAGG"",""MEANR"")")</f>
        <v>13.268877833426499</v>
      </c>
      <c r="F2" s="3" cm="1">
        <f t="array" ref="F2:F122">_xll.FDS(F1,"FMA_PE(LTMA,-10AY,0,AM,""PORTAGG"",""MEANR"")")</f>
        <v>14.6983497259631</v>
      </c>
      <c r="G2" s="3" cm="1">
        <f t="array" ref="G2:G122">_xll.FDS(G1,"FMA_PE(LTMA,-10AY,0,AM,""PORTAGG"",""MEANR"")")</f>
        <v>16.628228287655801</v>
      </c>
      <c r="H2" s="3" cm="1">
        <f t="array" ref="H2:H122">_xll.FDS(H1,"FMA_PE(LTMA,-10AY,0,AM,""PORTAGG"",""MEANR"")")</f>
        <v>13.4268495849335</v>
      </c>
      <c r="I2" s="3" cm="1">
        <f t="array" ref="I2:I122">_xll.FDS(I1,"FMA_PE(LTMA,-10AY,0,AM,""PORTAGG"",""MEANR"")")</f>
        <v>18.659835265207398</v>
      </c>
      <c r="J2" s="3" cm="1">
        <f t="array" ref="J2:J122">_xll.FDS(J1,"FMA_PE(LTMA,-10AY,0,AM,""PORTAGG"",""MEANR"")")</f>
        <v>15.976446953628599</v>
      </c>
      <c r="K2" s="3" cm="1">
        <f t="array" ref="K2:K122">_xll.FDS(K1,"FMA_PE(LTMA,-10AY,0,AM,""PORTAGG"",""MEANR"")")</f>
        <v>14.526124386528499</v>
      </c>
      <c r="L2" s="3" cm="1">
        <f t="array" ref="L2:L122">_xll.FDS(L1,"FMA_PE(LTMA,-10AY,0,AM,""PORTAGG"",""MEANR"")")</f>
        <v>16.045665143192601</v>
      </c>
      <c r="M2" s="3" cm="1">
        <f t="array" ref="M2:M122">_xll.FDS(M1,"FMA_PE(LTMA,-10AY,0,AM,""PORTAGG"",""MEANR"")")</f>
        <v>15.2323805172852</v>
      </c>
      <c r="N2" s="3" cm="1">
        <f t="array" ref="N2:N122">_xll.FDS(N1,"FMA_PE(LTMA,-10AY,0,AM,""PORTAGG"",""MEANR"")")</f>
        <v>16.605797020246101</v>
      </c>
    </row>
    <row r="3" spans="1:14" x14ac:dyDescent="0.35">
      <c r="A3" s="2">
        <v>41953</v>
      </c>
      <c r="B3" s="3">
        <v>18.682996226873701</v>
      </c>
      <c r="C3" s="3">
        <v>15.264485064947401</v>
      </c>
      <c r="D3" s="3">
        <v>15.721373040447601</v>
      </c>
      <c r="E3" s="3">
        <v>13.773643946330299</v>
      </c>
      <c r="F3" s="3">
        <v>15.573716325735001</v>
      </c>
      <c r="G3" s="3">
        <v>17.401290609866901</v>
      </c>
      <c r="H3" s="3">
        <v>13.9093389912946</v>
      </c>
      <c r="I3" s="3">
        <v>19.817670856708201</v>
      </c>
      <c r="J3" s="3">
        <v>16.8777070422924</v>
      </c>
      <c r="K3" s="3">
        <v>14.9274911253941</v>
      </c>
      <c r="L3" s="3">
        <v>17.2393588249783</v>
      </c>
      <c r="M3" s="3">
        <v>16.723313472943801</v>
      </c>
      <c r="N3" s="3">
        <v>17.231591043550502</v>
      </c>
    </row>
    <row r="4" spans="1:14" x14ac:dyDescent="0.35">
      <c r="A4" s="2">
        <v>41983</v>
      </c>
      <c r="B4" s="3">
        <v>18.9145559288892</v>
      </c>
      <c r="C4" s="3">
        <v>14.2747695731991</v>
      </c>
      <c r="D4" s="3">
        <v>14.9300895619825</v>
      </c>
      <c r="E4" s="3">
        <v>14.3185857588188</v>
      </c>
      <c r="F4" s="3">
        <v>15.775631170059301</v>
      </c>
      <c r="G4" s="3">
        <v>17.323500705251199</v>
      </c>
      <c r="H4" s="3">
        <v>13.663415884937301</v>
      </c>
      <c r="I4" s="3">
        <v>20.053985212465101</v>
      </c>
      <c r="J4" s="3">
        <v>16.856218098281399</v>
      </c>
      <c r="K4" s="3">
        <v>14.989166235554199</v>
      </c>
      <c r="L4" s="3">
        <v>17.5260692426506</v>
      </c>
      <c r="M4" s="3">
        <v>17.379791907794601</v>
      </c>
      <c r="N4" s="3">
        <v>18.0903703036489</v>
      </c>
    </row>
    <row r="5" spans="1:14" x14ac:dyDescent="0.35">
      <c r="A5" s="2">
        <v>42013</v>
      </c>
      <c r="B5" s="3">
        <v>19.2938661591459</v>
      </c>
      <c r="C5" s="3">
        <v>14.9696334262436</v>
      </c>
      <c r="D5" s="3">
        <v>15.3376035407089</v>
      </c>
      <c r="E5" s="3">
        <v>14.0789368329184</v>
      </c>
      <c r="F5" s="3">
        <v>15.562590144006499</v>
      </c>
      <c r="G5" s="3">
        <v>17.2204408039944</v>
      </c>
      <c r="H5" s="3">
        <v>13.477067340513299</v>
      </c>
      <c r="I5" s="3">
        <v>19.946715321454398</v>
      </c>
      <c r="J5" s="3">
        <v>17.1803597250845</v>
      </c>
      <c r="K5" s="3">
        <v>14.7245678776234</v>
      </c>
      <c r="L5" s="3">
        <v>17.316934398598601</v>
      </c>
      <c r="M5" s="3">
        <v>17.350184584236501</v>
      </c>
      <c r="N5" s="3">
        <v>17.984734061112899</v>
      </c>
    </row>
    <row r="6" spans="1:14" x14ac:dyDescent="0.35">
      <c r="A6" s="2">
        <v>42045</v>
      </c>
      <c r="B6" s="3">
        <v>19.973181776732101</v>
      </c>
      <c r="C6" s="3">
        <v>15.808012663405499</v>
      </c>
      <c r="D6" s="3">
        <v>16.384985326369002</v>
      </c>
      <c r="E6" s="3">
        <v>15.5307254768009</v>
      </c>
      <c r="F6" s="3">
        <v>15.779774278020501</v>
      </c>
      <c r="G6" s="3">
        <v>17.168672375665501</v>
      </c>
      <c r="H6" s="3">
        <v>14.4623759855992</v>
      </c>
      <c r="I6" s="3">
        <v>19.968455213697698</v>
      </c>
      <c r="J6" s="3">
        <v>17.311323825938398</v>
      </c>
      <c r="K6" s="3">
        <v>16.471382812454401</v>
      </c>
      <c r="L6" s="3">
        <v>18.641562792653598</v>
      </c>
      <c r="M6" s="3">
        <v>19.335871340451199</v>
      </c>
      <c r="N6" s="3">
        <v>25.8349795371611</v>
      </c>
    </row>
    <row r="7" spans="1:14" x14ac:dyDescent="0.35">
      <c r="A7" s="2">
        <v>42073</v>
      </c>
      <c r="B7" s="3">
        <v>20.487004444055302</v>
      </c>
      <c r="C7" s="3">
        <v>16.158419813111799</v>
      </c>
      <c r="D7" s="3">
        <v>16.9429131013332</v>
      </c>
      <c r="E7" s="3">
        <v>16.462827356590601</v>
      </c>
      <c r="F7" s="3">
        <v>16.881579919589601</v>
      </c>
      <c r="G7" s="3">
        <v>17.9292361183327</v>
      </c>
      <c r="H7" s="3">
        <v>15.1052339657716</v>
      </c>
      <c r="I7" s="3">
        <v>20.617047056822599</v>
      </c>
      <c r="J7" s="3">
        <v>17.4880172873346</v>
      </c>
      <c r="K7" s="3">
        <v>17.4792841226039</v>
      </c>
      <c r="L7" s="3">
        <v>20.0689001227807</v>
      </c>
      <c r="M7" s="3">
        <v>20.112542827824299</v>
      </c>
      <c r="N7" s="3">
        <v>44.292883967859801</v>
      </c>
    </row>
    <row r="8" spans="1:14" x14ac:dyDescent="0.35">
      <c r="A8" s="2">
        <v>42104</v>
      </c>
      <c r="B8" s="3">
        <v>20.204217829573899</v>
      </c>
      <c r="C8" s="3">
        <v>16.375470396403401</v>
      </c>
      <c r="D8" s="3">
        <v>17.2093417824561</v>
      </c>
      <c r="E8" s="3">
        <v>16.646122667962999</v>
      </c>
      <c r="F8" s="3">
        <v>16.908602466763899</v>
      </c>
      <c r="G8" s="3">
        <v>18.201860561594401</v>
      </c>
      <c r="H8" s="3">
        <v>15.465341526354701</v>
      </c>
      <c r="I8" s="3">
        <v>20.516593478429499</v>
      </c>
      <c r="J8" s="3">
        <v>17.560362644701101</v>
      </c>
      <c r="K8" s="3">
        <v>17.7251653235171</v>
      </c>
      <c r="L8" s="3">
        <v>20.027344155424299</v>
      </c>
      <c r="M8" s="3">
        <v>19.901053358803701</v>
      </c>
      <c r="N8" s="3">
        <v>41.630709008208001</v>
      </c>
    </row>
    <row r="9" spans="1:14" x14ac:dyDescent="0.35">
      <c r="A9" s="2">
        <v>42132</v>
      </c>
      <c r="B9" s="3">
        <v>20.0486370879803</v>
      </c>
      <c r="C9" s="3">
        <v>16.171792662089</v>
      </c>
      <c r="D9" s="3">
        <v>17.337281623929201</v>
      </c>
      <c r="E9" s="3">
        <v>16.221101033600799</v>
      </c>
      <c r="F9" s="3">
        <v>16.8777776509109</v>
      </c>
      <c r="G9" s="3">
        <v>18.019671532742802</v>
      </c>
      <c r="H9" s="3">
        <v>15.6949630011271</v>
      </c>
      <c r="I9" s="3">
        <v>20.326923991366201</v>
      </c>
      <c r="J9" s="3">
        <v>17.565463151217099</v>
      </c>
      <c r="K9" s="3">
        <v>17.5264820946777</v>
      </c>
      <c r="L9" s="3">
        <v>19.597886435512201</v>
      </c>
      <c r="M9" s="3">
        <v>19.141109021475199</v>
      </c>
      <c r="N9" s="3">
        <v>39.010300259333199</v>
      </c>
    </row>
    <row r="10" spans="1:14" x14ac:dyDescent="0.35">
      <c r="A10" s="2">
        <v>42165</v>
      </c>
      <c r="B10" s="3">
        <v>19.901811537637901</v>
      </c>
      <c r="C10" s="3">
        <v>15.8979764963618</v>
      </c>
      <c r="D10" s="3">
        <v>17.193925354302898</v>
      </c>
      <c r="E10" s="3">
        <v>15.743146453222201</v>
      </c>
      <c r="F10" s="3">
        <v>16.9198716175901</v>
      </c>
      <c r="G10" s="3">
        <v>18.007444318035301</v>
      </c>
      <c r="H10" s="3">
        <v>15.687046593082499</v>
      </c>
      <c r="I10" s="3">
        <v>20.1709637192962</v>
      </c>
      <c r="J10" s="3">
        <v>17.5023114669054</v>
      </c>
      <c r="K10" s="3">
        <v>17.271593556404</v>
      </c>
      <c r="L10" s="3">
        <v>19.1655113019184</v>
      </c>
      <c r="M10" s="3">
        <v>19.008489299909201</v>
      </c>
      <c r="N10" s="3">
        <v>35.743411228803502</v>
      </c>
    </row>
    <row r="11" spans="1:14" x14ac:dyDescent="0.35">
      <c r="A11" s="2">
        <v>42195</v>
      </c>
      <c r="B11" s="3">
        <v>19.6258591634084</v>
      </c>
      <c r="C11" s="3">
        <v>15.860344603900799</v>
      </c>
      <c r="D11" s="3">
        <v>16.9457934484426</v>
      </c>
      <c r="E11" s="3">
        <v>15.555457482869199</v>
      </c>
      <c r="F11" s="3">
        <v>16.477722150236701</v>
      </c>
      <c r="G11" s="3">
        <v>17.970729065286299</v>
      </c>
      <c r="H11" s="3">
        <v>15.582214763222501</v>
      </c>
      <c r="I11" s="3">
        <v>19.848639849408102</v>
      </c>
      <c r="J11" s="3">
        <v>17.377537476163202</v>
      </c>
      <c r="K11" s="3">
        <v>17.0925287416513</v>
      </c>
      <c r="L11" s="3">
        <v>18.943854333491501</v>
      </c>
      <c r="M11" s="3">
        <v>18.642304051881698</v>
      </c>
      <c r="N11" s="3">
        <v>32.8268562504785</v>
      </c>
    </row>
    <row r="12" spans="1:14" x14ac:dyDescent="0.35">
      <c r="A12" s="2">
        <v>42226</v>
      </c>
      <c r="B12" s="3">
        <v>19.729231460099701</v>
      </c>
      <c r="C12" s="3">
        <v>15.945527656560699</v>
      </c>
      <c r="D12" s="3">
        <v>17.064866238839201</v>
      </c>
      <c r="E12" s="3">
        <v>15.5544534236072</v>
      </c>
      <c r="F12" s="3">
        <v>16.974167190006099</v>
      </c>
      <c r="G12" s="3">
        <v>18.157197094461299</v>
      </c>
      <c r="H12" s="3">
        <v>15.869355200284</v>
      </c>
      <c r="I12" s="3">
        <v>20.3629764733999</v>
      </c>
      <c r="J12" s="3">
        <v>17.536398921542101</v>
      </c>
      <c r="K12" s="3">
        <v>17.307254383031001</v>
      </c>
      <c r="L12" s="3">
        <v>18.9504638728631</v>
      </c>
      <c r="M12" s="3">
        <v>18.683632300418601</v>
      </c>
      <c r="N12" s="3">
        <v>30.709025375988499</v>
      </c>
    </row>
    <row r="13" spans="1:14" x14ac:dyDescent="0.35">
      <c r="A13" s="2">
        <v>42257</v>
      </c>
      <c r="B13" s="3">
        <v>19.114902959575701</v>
      </c>
      <c r="C13" s="3">
        <v>15.295515686265899</v>
      </c>
      <c r="D13" s="3">
        <v>16.490620085158401</v>
      </c>
      <c r="E13" s="3">
        <v>14.2789617138508</v>
      </c>
      <c r="F13" s="3">
        <v>15.476218598630799</v>
      </c>
      <c r="G13" s="3">
        <v>17.316440318017499</v>
      </c>
      <c r="H13" s="3">
        <v>15.0737925139144</v>
      </c>
      <c r="I13" s="3">
        <v>19.456128996195101</v>
      </c>
      <c r="J13" s="3">
        <v>16.689954878479501</v>
      </c>
      <c r="K13" s="3">
        <v>15.9675648532906</v>
      </c>
      <c r="L13" s="3">
        <v>17.2485386317809</v>
      </c>
      <c r="M13" s="3">
        <v>17.3316614985971</v>
      </c>
      <c r="N13" s="3">
        <v>26.988448186446099</v>
      </c>
    </row>
    <row r="14" spans="1:14" x14ac:dyDescent="0.35">
      <c r="A14" s="2">
        <v>42286</v>
      </c>
      <c r="B14" s="3">
        <v>18.6646324256699</v>
      </c>
      <c r="C14" s="3">
        <v>15.768634104197201</v>
      </c>
      <c r="D14" s="3">
        <v>17.048287079156701</v>
      </c>
      <c r="E14" s="3">
        <v>13.977451513567299</v>
      </c>
      <c r="F14" s="3">
        <v>15.6083422029541</v>
      </c>
      <c r="G14" s="3">
        <v>17.429364244710399</v>
      </c>
      <c r="H14" s="3">
        <v>15.755362555997699</v>
      </c>
      <c r="I14" s="3">
        <v>19.5756943326247</v>
      </c>
      <c r="J14" s="3">
        <v>17.085438942492701</v>
      </c>
      <c r="K14" s="3">
        <v>16.078070171554199</v>
      </c>
      <c r="L14" s="3">
        <v>16.966378047972601</v>
      </c>
      <c r="M14" s="3">
        <v>17.074673912028299</v>
      </c>
      <c r="N14" s="3">
        <v>24.798071596921702</v>
      </c>
    </row>
    <row r="15" spans="1:14" x14ac:dyDescent="0.35">
      <c r="A15" s="2">
        <v>42318</v>
      </c>
      <c r="B15" s="3">
        <v>19.4764301102304</v>
      </c>
      <c r="C15" s="3">
        <v>15.208626654554401</v>
      </c>
      <c r="D15" s="3">
        <v>16.708975438587</v>
      </c>
      <c r="E15" s="3">
        <v>14.436927269203601</v>
      </c>
      <c r="F15" s="3">
        <v>16.143891925367001</v>
      </c>
      <c r="G15" s="3">
        <v>17.501719432688699</v>
      </c>
      <c r="H15" s="3">
        <v>15.6874613847882</v>
      </c>
      <c r="I15" s="3">
        <v>20.311870189854702</v>
      </c>
      <c r="J15" s="3">
        <v>17.438849343026099</v>
      </c>
      <c r="K15" s="3">
        <v>16.390933515093199</v>
      </c>
      <c r="L15" s="3">
        <v>18.032020457142998</v>
      </c>
      <c r="M15" s="3">
        <v>16.839301689213201</v>
      </c>
      <c r="N15" s="3">
        <v>22.550882173782998</v>
      </c>
    </row>
    <row r="16" spans="1:14" x14ac:dyDescent="0.35">
      <c r="A16" s="2">
        <v>42348</v>
      </c>
      <c r="B16" s="3">
        <v>19.3569292818277</v>
      </c>
      <c r="C16" s="3">
        <v>15.1676879722796</v>
      </c>
      <c r="D16" s="3">
        <v>16.1558928770575</v>
      </c>
      <c r="E16" s="3">
        <v>14.0307707655437</v>
      </c>
      <c r="F16" s="3">
        <v>15.6981773169069</v>
      </c>
      <c r="G16" s="3">
        <v>17.235950228756199</v>
      </c>
      <c r="H16" s="3">
        <v>15.393360694901601</v>
      </c>
      <c r="I16" s="3">
        <v>20.3005679247328</v>
      </c>
      <c r="J16" s="3">
        <v>17.1861266252644</v>
      </c>
      <c r="K16" s="3">
        <v>15.565075274636101</v>
      </c>
      <c r="L16" s="3">
        <v>17.156359877153001</v>
      </c>
      <c r="M16" s="3">
        <v>16.205047219925302</v>
      </c>
      <c r="N16" s="3">
        <v>19.740592167895901</v>
      </c>
    </row>
    <row r="17" spans="1:14" x14ac:dyDescent="0.35">
      <c r="A17" s="2">
        <v>42377</v>
      </c>
      <c r="B17" s="3">
        <v>19.2829323334111</v>
      </c>
      <c r="C17" s="3">
        <v>14.9852778490439</v>
      </c>
      <c r="D17" s="3">
        <v>15.0505927050366</v>
      </c>
      <c r="E17" s="3">
        <v>12.8407409301555</v>
      </c>
      <c r="F17" s="3">
        <v>14.653757762364499</v>
      </c>
      <c r="G17" s="3">
        <v>16.293636456436399</v>
      </c>
      <c r="H17" s="3">
        <v>14.838810247841</v>
      </c>
      <c r="I17" s="3">
        <v>18.890959187362899</v>
      </c>
      <c r="J17" s="3">
        <v>16.133869999364101</v>
      </c>
      <c r="K17" s="3">
        <v>14.464777058505</v>
      </c>
      <c r="L17" s="3">
        <v>15.679078893842</v>
      </c>
      <c r="M17" s="3">
        <v>14.856381550376399</v>
      </c>
      <c r="N17" s="3">
        <v>16.910668513024099</v>
      </c>
    </row>
    <row r="18" spans="1:14" x14ac:dyDescent="0.35">
      <c r="A18" s="2">
        <v>42410</v>
      </c>
      <c r="B18" s="3">
        <v>18.6762685834737</v>
      </c>
      <c r="C18" s="3">
        <v>14.6077208414141</v>
      </c>
      <c r="D18" s="3">
        <v>14.663251591444601</v>
      </c>
      <c r="E18" s="3">
        <v>11.9640017683158</v>
      </c>
      <c r="F18" s="3">
        <v>13.057752713438701</v>
      </c>
      <c r="G18" s="3">
        <v>16.2005664573677</v>
      </c>
      <c r="H18" s="3">
        <v>14.34829767706</v>
      </c>
      <c r="I18" s="3">
        <v>17.377373604205999</v>
      </c>
      <c r="J18" s="3">
        <v>16.2966838906097</v>
      </c>
      <c r="K18" s="3">
        <v>14.2580445810801</v>
      </c>
      <c r="L18" s="3">
        <v>14.9526258633836</v>
      </c>
      <c r="M18" s="3">
        <v>14.4464739713237</v>
      </c>
      <c r="N18" s="3">
        <v>13.7203311480756</v>
      </c>
    </row>
    <row r="19" spans="1:14" x14ac:dyDescent="0.35">
      <c r="A19" s="2">
        <v>42439</v>
      </c>
      <c r="B19" s="3">
        <v>19.3364386486104</v>
      </c>
      <c r="C19" s="3">
        <v>15.1352185038975</v>
      </c>
      <c r="D19" s="3">
        <v>15.858082150766201</v>
      </c>
      <c r="E19" s="3">
        <v>12.636315031453201</v>
      </c>
      <c r="F19" s="3">
        <v>13.8866797863329</v>
      </c>
      <c r="G19" s="3">
        <v>16.6152143764842</v>
      </c>
      <c r="H19" s="3">
        <v>15.5542080445869</v>
      </c>
      <c r="I19" s="3">
        <v>18.210987382252998</v>
      </c>
      <c r="J19" s="3">
        <v>16.188193427520002</v>
      </c>
      <c r="K19" s="3">
        <v>15.129630923789399</v>
      </c>
      <c r="L19" s="3">
        <v>16.353746166364999</v>
      </c>
      <c r="M19" s="3">
        <v>15.609101077980601</v>
      </c>
      <c r="N19" s="3">
        <v>15.3663753515082</v>
      </c>
    </row>
    <row r="20" spans="1:14" x14ac:dyDescent="0.35">
      <c r="A20" s="2">
        <v>42468</v>
      </c>
      <c r="B20" s="3">
        <v>19.3363810249183</v>
      </c>
      <c r="C20" s="3">
        <v>15.0440316161878</v>
      </c>
      <c r="D20" s="3">
        <v>16.012416567423902</v>
      </c>
      <c r="E20" s="3">
        <v>12.6768696427742</v>
      </c>
      <c r="F20" s="3">
        <v>13.6592564364196</v>
      </c>
      <c r="G20" s="3">
        <v>16.681307887254899</v>
      </c>
      <c r="H20" s="3">
        <v>15.7835128991294</v>
      </c>
      <c r="I20" s="3">
        <v>18.387166687408801</v>
      </c>
      <c r="J20" s="3">
        <v>16.445215307047398</v>
      </c>
      <c r="K20" s="3">
        <v>15.0653239307366</v>
      </c>
      <c r="L20" s="3">
        <v>16.275252036565298</v>
      </c>
      <c r="M20" s="3">
        <v>15.568623432862401</v>
      </c>
      <c r="N20" s="3">
        <v>15.128809353151601</v>
      </c>
    </row>
    <row r="21" spans="1:14" x14ac:dyDescent="0.35">
      <c r="A21" s="2">
        <v>42500</v>
      </c>
      <c r="B21" s="3">
        <v>19.5926125172391</v>
      </c>
      <c r="C21" s="3">
        <v>15.6374879586558</v>
      </c>
      <c r="D21" s="3">
        <v>16.369918229723702</v>
      </c>
      <c r="E21" s="3">
        <v>12.8442611240172</v>
      </c>
      <c r="F21" s="3">
        <v>13.802103756946901</v>
      </c>
      <c r="G21" s="3">
        <v>16.838257913709999</v>
      </c>
      <c r="H21" s="3">
        <v>15.8600801596787</v>
      </c>
      <c r="I21" s="3">
        <v>18.425003869823801</v>
      </c>
      <c r="J21" s="3">
        <v>16.565182572190999</v>
      </c>
      <c r="K21" s="3">
        <v>15.087474126300499</v>
      </c>
      <c r="L21" s="3">
        <v>16.199335763062301</v>
      </c>
      <c r="M21" s="3">
        <v>15.553168582142099</v>
      </c>
      <c r="N21" s="3">
        <v>15.279323968174401</v>
      </c>
    </row>
    <row r="22" spans="1:14" x14ac:dyDescent="0.35">
      <c r="A22" s="2">
        <v>42531</v>
      </c>
      <c r="B22" s="3">
        <v>19.7688926499115</v>
      </c>
      <c r="C22" s="3">
        <v>15.752377022043699</v>
      </c>
      <c r="D22" s="3">
        <v>16.7352595149435</v>
      </c>
      <c r="E22" s="3">
        <v>12.7200029920131</v>
      </c>
      <c r="F22" s="3">
        <v>14.030157073505499</v>
      </c>
      <c r="G22" s="3">
        <v>16.9699568280293</v>
      </c>
      <c r="H22" s="3">
        <v>15.893127707577801</v>
      </c>
      <c r="I22" s="3">
        <v>18.541920771119699</v>
      </c>
      <c r="J22" s="3">
        <v>16.790339090958501</v>
      </c>
      <c r="K22" s="3">
        <v>14.9770349644531</v>
      </c>
      <c r="L22" s="3">
        <v>16.0153692848959</v>
      </c>
      <c r="M22" s="3">
        <v>15.325557318010601</v>
      </c>
      <c r="N22" s="3">
        <v>14.794178916983601</v>
      </c>
    </row>
    <row r="23" spans="1:14" x14ac:dyDescent="0.35">
      <c r="A23" s="2">
        <v>42559</v>
      </c>
      <c r="B23" s="3">
        <v>19.839674447750198</v>
      </c>
      <c r="C23" s="3">
        <v>15.757960593723601</v>
      </c>
      <c r="D23" s="3">
        <v>16.939870294223201</v>
      </c>
      <c r="E23" s="3">
        <v>12.620634287696801</v>
      </c>
      <c r="F23" s="3">
        <v>13.494767164553201</v>
      </c>
      <c r="G23" s="3">
        <v>17.1371365275191</v>
      </c>
      <c r="H23" s="3">
        <v>16.263222564499198</v>
      </c>
      <c r="I23" s="3">
        <v>18.8651845983645</v>
      </c>
      <c r="J23" s="3">
        <v>17.0754004946733</v>
      </c>
      <c r="K23" s="3">
        <v>14.6954175579069</v>
      </c>
      <c r="L23" s="3">
        <v>15.7503795083664</v>
      </c>
      <c r="M23" s="3">
        <v>15.3556729210987</v>
      </c>
      <c r="N23" s="3">
        <v>14.3120535116153</v>
      </c>
    </row>
    <row r="24" spans="1:14" x14ac:dyDescent="0.35">
      <c r="A24" s="2">
        <v>42592</v>
      </c>
      <c r="B24" s="3">
        <v>20.647960300758999</v>
      </c>
      <c r="C24" s="3">
        <v>16.6173196049001</v>
      </c>
      <c r="D24" s="3">
        <v>17.451736514453</v>
      </c>
      <c r="E24" s="3">
        <v>13.383438951050801</v>
      </c>
      <c r="F24" s="3">
        <v>14.087508674118</v>
      </c>
      <c r="G24" s="3">
        <v>17.7935742735886</v>
      </c>
      <c r="H24" s="3">
        <v>16.9017165742431</v>
      </c>
      <c r="I24" s="3">
        <v>19.517449969051501</v>
      </c>
      <c r="J24" s="3">
        <v>17.468314350518</v>
      </c>
      <c r="K24" s="3">
        <v>15.0055924666958</v>
      </c>
      <c r="L24" s="3">
        <v>16.134859384456199</v>
      </c>
      <c r="M24" s="3">
        <v>15.9913716974725</v>
      </c>
      <c r="N24" s="3">
        <v>15.0571723179012</v>
      </c>
    </row>
    <row r="25" spans="1:14" x14ac:dyDescent="0.35">
      <c r="A25" s="2">
        <v>42622</v>
      </c>
      <c r="B25" s="3">
        <v>21.283528621764699</v>
      </c>
      <c r="C25" s="3">
        <v>16.3410469681811</v>
      </c>
      <c r="D25" s="3">
        <v>17.526059808015599</v>
      </c>
      <c r="E25" s="3">
        <v>13.533234412315499</v>
      </c>
      <c r="F25" s="3">
        <v>14.4021382193022</v>
      </c>
      <c r="G25" s="3">
        <v>18.0029716744111</v>
      </c>
      <c r="H25" s="3">
        <v>16.851203979754001</v>
      </c>
      <c r="I25" s="3">
        <v>19.301173470897201</v>
      </c>
      <c r="J25" s="3">
        <v>17.3883673167525</v>
      </c>
      <c r="K25" s="3">
        <v>15.0337553651864</v>
      </c>
      <c r="L25" s="3">
        <v>16.042003750556599</v>
      </c>
      <c r="M25" s="3">
        <v>16.085063009533801</v>
      </c>
      <c r="N25" s="3">
        <v>15.093280623359901</v>
      </c>
    </row>
    <row r="26" spans="1:14" x14ac:dyDescent="0.35">
      <c r="A26" s="2">
        <v>42653</v>
      </c>
      <c r="B26" s="3">
        <v>20.414214976710301</v>
      </c>
      <c r="C26" s="3">
        <v>16.908826091063101</v>
      </c>
      <c r="D26" s="3">
        <v>17.864016834293398</v>
      </c>
      <c r="E26" s="3">
        <v>13.7114014743591</v>
      </c>
      <c r="F26" s="3">
        <v>14.402537826858101</v>
      </c>
      <c r="G26" s="3">
        <v>18.023693873876699</v>
      </c>
      <c r="H26" s="3">
        <v>17.152762300927201</v>
      </c>
      <c r="I26" s="3">
        <v>20.084135228712501</v>
      </c>
      <c r="J26" s="3">
        <v>17.783471008404099</v>
      </c>
      <c r="K26" s="3">
        <v>14.959135365356801</v>
      </c>
      <c r="L26" s="3">
        <v>15.9455035121194</v>
      </c>
      <c r="M26" s="3">
        <v>16.754415460985999</v>
      </c>
      <c r="N26" s="3">
        <v>14.741350917744599</v>
      </c>
    </row>
    <row r="27" spans="1:14" x14ac:dyDescent="0.35">
      <c r="A27" s="2">
        <v>42684</v>
      </c>
      <c r="B27" s="3">
        <v>19.528267672351699</v>
      </c>
      <c r="C27" s="3">
        <v>16.8326856184371</v>
      </c>
      <c r="D27" s="3">
        <v>18.3822413818129</v>
      </c>
      <c r="E27" s="3">
        <v>13.652057682713099</v>
      </c>
      <c r="F27" s="3">
        <v>14.679718453244</v>
      </c>
      <c r="G27" s="3">
        <v>17.7204735477161</v>
      </c>
      <c r="H27" s="3">
        <v>16.514367817869399</v>
      </c>
      <c r="I27" s="3">
        <v>19.594662445838601</v>
      </c>
      <c r="J27" s="3">
        <v>17.921425467419802</v>
      </c>
      <c r="K27" s="3">
        <v>14.8779574345367</v>
      </c>
      <c r="L27" s="3">
        <v>15.5741221798986</v>
      </c>
      <c r="M27" s="3">
        <v>17.161039503791098</v>
      </c>
      <c r="N27" s="3">
        <v>14.719741088475001</v>
      </c>
    </row>
    <row r="28" spans="1:14" x14ac:dyDescent="0.35">
      <c r="A28" s="2">
        <v>42713</v>
      </c>
      <c r="B28" s="3">
        <v>19.9085519685142</v>
      </c>
      <c r="C28" s="3">
        <v>17.472439647350701</v>
      </c>
      <c r="D28" s="3">
        <v>19.151296267397498</v>
      </c>
      <c r="E28" s="3">
        <v>14.3636267024595</v>
      </c>
      <c r="F28" s="3">
        <v>16.400754707546199</v>
      </c>
      <c r="G28" s="3">
        <v>17.865488676799998</v>
      </c>
      <c r="H28" s="3">
        <v>16.886847417880201</v>
      </c>
      <c r="I28" s="3">
        <v>20.2460574627044</v>
      </c>
      <c r="J28" s="3">
        <v>18.790744094241099</v>
      </c>
      <c r="K28" s="3">
        <v>15.490792462809599</v>
      </c>
      <c r="L28" s="3">
        <v>15.9210527944989</v>
      </c>
      <c r="M28" s="3">
        <v>18.0715369323263</v>
      </c>
      <c r="N28" s="3">
        <v>15.600308867887</v>
      </c>
    </row>
    <row r="29" spans="1:14" x14ac:dyDescent="0.35">
      <c r="A29" s="2">
        <v>42745</v>
      </c>
      <c r="B29" s="3">
        <v>20.402289257961201</v>
      </c>
      <c r="C29" s="3">
        <v>18.015403531293099</v>
      </c>
      <c r="D29" s="3">
        <v>19.470739406816499</v>
      </c>
      <c r="E29" s="3">
        <v>14.8889003771866</v>
      </c>
      <c r="F29" s="3">
        <v>16.5447843534361</v>
      </c>
      <c r="G29" s="3">
        <v>18.666128553800501</v>
      </c>
      <c r="H29" s="3">
        <v>17.3034187166935</v>
      </c>
      <c r="I29" s="3">
        <v>20.9550100283323</v>
      </c>
      <c r="J29" s="3">
        <v>19.010670222257101</v>
      </c>
      <c r="K29" s="3">
        <v>15.8655658851675</v>
      </c>
      <c r="L29" s="3">
        <v>16.361174198011799</v>
      </c>
      <c r="M29" s="3">
        <v>18.079177034562299</v>
      </c>
      <c r="N29" s="3">
        <v>28.141949519134599</v>
      </c>
    </row>
    <row r="30" spans="1:14" x14ac:dyDescent="0.35">
      <c r="A30" s="2">
        <v>42776</v>
      </c>
      <c r="B30" s="3">
        <v>20.552229099609701</v>
      </c>
      <c r="C30" s="3">
        <v>17.766398579478601</v>
      </c>
      <c r="D30" s="3">
        <v>19.8096750901768</v>
      </c>
      <c r="E30" s="3">
        <v>14.924578858411801</v>
      </c>
      <c r="F30" s="3">
        <v>16.3935407048128</v>
      </c>
      <c r="G30" s="3">
        <v>18.696486085032902</v>
      </c>
      <c r="H30" s="3">
        <v>17.3356477048108</v>
      </c>
      <c r="I30" s="3">
        <v>21.5272966967445</v>
      </c>
      <c r="J30" s="3">
        <v>19.1890335371885</v>
      </c>
      <c r="K30" s="3">
        <v>15.447801357946</v>
      </c>
      <c r="L30" s="3">
        <v>16.204090443971701</v>
      </c>
      <c r="M30" s="3">
        <v>18.467689087689902</v>
      </c>
      <c r="N30" s="3">
        <v>20.211300803290801</v>
      </c>
    </row>
    <row r="31" spans="1:14" x14ac:dyDescent="0.35">
      <c r="A31" s="2">
        <v>42804</v>
      </c>
      <c r="B31" s="3">
        <v>19.793036856123699</v>
      </c>
      <c r="C31" s="3">
        <v>17.486200019872001</v>
      </c>
      <c r="D31" s="3">
        <v>19.3120615915666</v>
      </c>
      <c r="E31" s="3">
        <v>14.9697675917959</v>
      </c>
      <c r="F31" s="3">
        <v>15.9556360058039</v>
      </c>
      <c r="G31" s="3">
        <v>19.641862742266099</v>
      </c>
      <c r="H31" s="3">
        <v>17.2791303258414</v>
      </c>
      <c r="I31" s="3">
        <v>21.701282469196101</v>
      </c>
      <c r="J31" s="3">
        <v>19.461242377578301</v>
      </c>
      <c r="K31" s="3">
        <v>15.6137152627227</v>
      </c>
      <c r="L31" s="3">
        <v>16.504209484772701</v>
      </c>
      <c r="M31" s="3">
        <v>17.519675769980498</v>
      </c>
      <c r="N31" s="3">
        <v>83.693688577698495</v>
      </c>
    </row>
    <row r="32" spans="1:14" x14ac:dyDescent="0.35">
      <c r="A32" s="2">
        <v>42835</v>
      </c>
      <c r="B32" s="3">
        <v>19.828026242746201</v>
      </c>
      <c r="C32" s="3">
        <v>17.344537248504501</v>
      </c>
      <c r="D32" s="3">
        <v>19.062122882107499</v>
      </c>
      <c r="E32" s="3">
        <v>14.9185666000797</v>
      </c>
      <c r="F32" s="3">
        <v>15.625208627923801</v>
      </c>
      <c r="G32" s="3">
        <v>19.4015320134476</v>
      </c>
      <c r="H32" s="3">
        <v>17.0426867287098</v>
      </c>
      <c r="I32" s="3">
        <v>21.614748061786599</v>
      </c>
      <c r="J32" s="3">
        <v>19.2817060326588</v>
      </c>
      <c r="K32" s="3">
        <v>15.6458955797175</v>
      </c>
      <c r="L32" s="3">
        <v>16.5283914901119</v>
      </c>
      <c r="M32" s="3">
        <v>17.570638161011502</v>
      </c>
      <c r="N32" s="3">
        <v>76.395420748512095</v>
      </c>
    </row>
    <row r="33" spans="1:14" x14ac:dyDescent="0.35">
      <c r="A33" s="2">
        <v>42865</v>
      </c>
      <c r="B33" s="3">
        <v>19.998092847394702</v>
      </c>
      <c r="C33" s="3">
        <v>17.165212726818499</v>
      </c>
      <c r="D33" s="3">
        <v>18.701773637914702</v>
      </c>
      <c r="E33" s="3">
        <v>14.940474121543399</v>
      </c>
      <c r="F33" s="3">
        <v>15.7091419971373</v>
      </c>
      <c r="G33" s="3">
        <v>19.542601972624901</v>
      </c>
      <c r="H33" s="3">
        <v>16.880194952242899</v>
      </c>
      <c r="I33" s="3">
        <v>21.836229134180101</v>
      </c>
      <c r="J33" s="3">
        <v>19.216073363862701</v>
      </c>
      <c r="K33" s="3">
        <v>15.864807396457101</v>
      </c>
      <c r="L33" s="3">
        <v>16.759507448876199</v>
      </c>
      <c r="M33" s="3">
        <v>17.7015126971353</v>
      </c>
      <c r="N33" s="3">
        <v>69.614405720817601</v>
      </c>
    </row>
    <row r="34" spans="1:14" x14ac:dyDescent="0.35">
      <c r="A34" s="2">
        <v>42895</v>
      </c>
      <c r="B34" s="3">
        <v>19.946115112116001</v>
      </c>
      <c r="C34" s="3">
        <v>16.771107705738402</v>
      </c>
      <c r="D34" s="3">
        <v>18.373167450692801</v>
      </c>
      <c r="E34" s="3">
        <v>14.8163297120057</v>
      </c>
      <c r="F34" s="3">
        <v>15.650420849847301</v>
      </c>
      <c r="G34" s="3">
        <v>19.444060745297101</v>
      </c>
      <c r="H34" s="3">
        <v>16.694006769294699</v>
      </c>
      <c r="I34" s="3">
        <v>21.874801358703401</v>
      </c>
      <c r="J34" s="3">
        <v>19.1942620012913</v>
      </c>
      <c r="K34" s="3">
        <v>15.755551725532101</v>
      </c>
      <c r="L34" s="3">
        <v>16.7603890824502</v>
      </c>
      <c r="M34" s="3">
        <v>17.646861459841698</v>
      </c>
      <c r="N34" s="3">
        <v>62.445649144494901</v>
      </c>
    </row>
    <row r="35" spans="1:14" x14ac:dyDescent="0.35">
      <c r="A35" s="2">
        <v>42926</v>
      </c>
      <c r="B35" s="3">
        <v>20.0355054894289</v>
      </c>
      <c r="C35" s="3">
        <v>16.737000062070699</v>
      </c>
      <c r="D35" s="3">
        <v>17.960749360499399</v>
      </c>
      <c r="E35" s="3">
        <v>14.5424832449412</v>
      </c>
      <c r="F35" s="3">
        <v>15.488591276558999</v>
      </c>
      <c r="G35" s="3">
        <v>19.3357310769279</v>
      </c>
      <c r="H35" s="3">
        <v>16.389331056260701</v>
      </c>
      <c r="I35" s="3">
        <v>21.719375345097699</v>
      </c>
      <c r="J35" s="3">
        <v>19.064506555212098</v>
      </c>
      <c r="K35" s="3">
        <v>15.5911079908555</v>
      </c>
      <c r="L35" s="3">
        <v>16.553947954294699</v>
      </c>
      <c r="M35" s="3">
        <v>17.6230661296214</v>
      </c>
      <c r="N35" s="3">
        <v>55.221112806381903</v>
      </c>
    </row>
    <row r="36" spans="1:14" x14ac:dyDescent="0.35">
      <c r="A36" s="2">
        <v>42957</v>
      </c>
      <c r="B36" s="3">
        <v>20.597094344981901</v>
      </c>
      <c r="C36" s="3">
        <v>16.792421628172601</v>
      </c>
      <c r="D36" s="3">
        <v>17.795030278211801</v>
      </c>
      <c r="E36" s="3">
        <v>14.148096896456</v>
      </c>
      <c r="F36" s="3">
        <v>15.2972261395433</v>
      </c>
      <c r="G36" s="3">
        <v>19.191185819458699</v>
      </c>
      <c r="H36" s="3">
        <v>16.2577146988727</v>
      </c>
      <c r="I36" s="3">
        <v>21.8547717192634</v>
      </c>
      <c r="J36" s="3">
        <v>18.989305410147999</v>
      </c>
      <c r="K36" s="3">
        <v>15.4930836098345</v>
      </c>
      <c r="L36" s="3">
        <v>16.654738630058802</v>
      </c>
      <c r="M36" s="3">
        <v>16.953164817806002</v>
      </c>
      <c r="N36" s="3">
        <v>48.028037268049097</v>
      </c>
    </row>
    <row r="37" spans="1:14" x14ac:dyDescent="0.35">
      <c r="A37" s="2">
        <v>42986</v>
      </c>
      <c r="B37" s="3">
        <v>20.703037627065601</v>
      </c>
      <c r="C37" s="3">
        <v>16.494294067524599</v>
      </c>
      <c r="D37" s="3">
        <v>17.304987650649199</v>
      </c>
      <c r="E37" s="3">
        <v>14.2073531703741</v>
      </c>
      <c r="F37" s="3">
        <v>14.6839244666431</v>
      </c>
      <c r="G37" s="3">
        <v>19.165869940737299</v>
      </c>
      <c r="H37" s="3">
        <v>15.99755873736</v>
      </c>
      <c r="I37" s="3">
        <v>22.117818084974299</v>
      </c>
      <c r="J37" s="3">
        <v>19.000084185222601</v>
      </c>
      <c r="K37" s="3">
        <v>15.531957833235399</v>
      </c>
      <c r="L37" s="3">
        <v>16.6293228876062</v>
      </c>
      <c r="M37" s="3">
        <v>16.9373572160079</v>
      </c>
      <c r="N37" s="3">
        <v>41.203455908272801</v>
      </c>
    </row>
    <row r="38" spans="1:14" x14ac:dyDescent="0.35">
      <c r="A38" s="2">
        <v>43018</v>
      </c>
      <c r="B38" s="3">
        <v>20.815766453874801</v>
      </c>
      <c r="C38" s="3">
        <v>16.390090446611001</v>
      </c>
      <c r="D38" s="3">
        <v>17.653026379344698</v>
      </c>
      <c r="E38" s="3">
        <v>14.725361185385401</v>
      </c>
      <c r="F38" s="3">
        <v>15.0548123884987</v>
      </c>
      <c r="G38" s="3">
        <v>19.640569239634399</v>
      </c>
      <c r="H38" s="3">
        <v>15.907484968663301</v>
      </c>
      <c r="I38" s="3">
        <v>22.555039328422499</v>
      </c>
      <c r="J38" s="3">
        <v>19.544908580780898</v>
      </c>
      <c r="K38" s="3">
        <v>16.057548812615298</v>
      </c>
      <c r="L38" s="3">
        <v>17.153865010874402</v>
      </c>
      <c r="M38" s="3">
        <v>17.6819620632191</v>
      </c>
      <c r="N38" s="3">
        <v>34.063663883995403</v>
      </c>
    </row>
    <row r="39" spans="1:14" x14ac:dyDescent="0.35">
      <c r="A39" s="2">
        <v>43049</v>
      </c>
      <c r="B39" s="3">
        <v>21.039163469555401</v>
      </c>
      <c r="C39" s="3">
        <v>16.8909540358367</v>
      </c>
      <c r="D39" s="3">
        <v>17.433253123435499</v>
      </c>
      <c r="E39" s="3">
        <v>15.2540062124712</v>
      </c>
      <c r="F39" s="3">
        <v>15.8660551661815</v>
      </c>
      <c r="G39" s="3">
        <v>20.078257799543898</v>
      </c>
      <c r="H39" s="3">
        <v>15.4004427733942</v>
      </c>
      <c r="I39" s="3">
        <v>22.9601709104262</v>
      </c>
      <c r="J39" s="3">
        <v>19.5975181931334</v>
      </c>
      <c r="K39" s="3">
        <v>15.992135723024999</v>
      </c>
      <c r="L39" s="3">
        <v>17.337530232899098</v>
      </c>
      <c r="M39" s="3">
        <v>18.2248621997234</v>
      </c>
      <c r="N39" s="3">
        <v>27.035698622015399</v>
      </c>
    </row>
    <row r="40" spans="1:14" x14ac:dyDescent="0.35">
      <c r="A40" s="2">
        <v>43077</v>
      </c>
      <c r="B40" s="3">
        <v>21.8003076342161</v>
      </c>
      <c r="C40" s="3">
        <v>16.579253036847</v>
      </c>
      <c r="D40" s="3">
        <v>17.3250294085497</v>
      </c>
      <c r="E40" s="3">
        <v>15.488887952707399</v>
      </c>
      <c r="F40" s="3">
        <v>16.186559058119201</v>
      </c>
      <c r="G40" s="3">
        <v>20.401859905778</v>
      </c>
      <c r="H40" s="3">
        <v>15.142918914072901</v>
      </c>
      <c r="I40" s="3">
        <v>23.1165535866492</v>
      </c>
      <c r="J40" s="3">
        <v>20.064336147825799</v>
      </c>
      <c r="K40" s="3">
        <v>16.202518468969501</v>
      </c>
      <c r="L40" s="3">
        <v>17.244952738429099</v>
      </c>
      <c r="M40" s="3">
        <v>18.06014548616</v>
      </c>
      <c r="N40" s="3">
        <v>20.990762551481499</v>
      </c>
    </row>
    <row r="41" spans="1:14" x14ac:dyDescent="0.35">
      <c r="A41" s="2">
        <v>43110</v>
      </c>
      <c r="B41" s="3">
        <v>22.1936080858287</v>
      </c>
      <c r="C41" s="3">
        <v>16.844807942161001</v>
      </c>
      <c r="D41" s="3">
        <v>17.226127459159301</v>
      </c>
      <c r="E41" s="3">
        <v>15.6091637023245</v>
      </c>
      <c r="F41" s="3">
        <v>17.0872138283897</v>
      </c>
      <c r="G41" s="3">
        <v>21.035559641606199</v>
      </c>
      <c r="H41" s="3">
        <v>15.6187766487161</v>
      </c>
      <c r="I41" s="3">
        <v>24.466027251162</v>
      </c>
      <c r="J41" s="3">
        <v>20.728917422904399</v>
      </c>
      <c r="K41" s="3">
        <v>16.4919966272737</v>
      </c>
      <c r="L41" s="3">
        <v>17.5515719914488</v>
      </c>
      <c r="M41" s="3">
        <v>18.4960878496154</v>
      </c>
      <c r="N41" s="3">
        <v>15.804293545422899</v>
      </c>
    </row>
    <row r="42" spans="1:14" x14ac:dyDescent="0.35">
      <c r="A42" s="2">
        <v>43140</v>
      </c>
      <c r="B42" s="3">
        <v>20.491844623097599</v>
      </c>
      <c r="C42" s="3">
        <v>16.120923748452899</v>
      </c>
      <c r="D42" s="3">
        <v>15.7055638038075</v>
      </c>
      <c r="E42" s="3">
        <v>14.0776883634533</v>
      </c>
      <c r="F42" s="3">
        <v>15.187424759020001</v>
      </c>
      <c r="G42" s="3">
        <v>19.972893372101201</v>
      </c>
      <c r="H42" s="3">
        <v>14.2238916401885</v>
      </c>
      <c r="I42" s="3">
        <v>22.759455568099401</v>
      </c>
      <c r="J42" s="3">
        <v>19.2822126347187</v>
      </c>
      <c r="K42" s="3">
        <v>15.3835866010904</v>
      </c>
      <c r="L42" s="3">
        <v>16.381345542391301</v>
      </c>
      <c r="M42" s="3">
        <v>16.165481367316701</v>
      </c>
      <c r="N42" s="3">
        <v>14.288060606790101</v>
      </c>
    </row>
    <row r="43" spans="1:14" x14ac:dyDescent="0.35">
      <c r="A43" s="2">
        <v>43168</v>
      </c>
      <c r="B43" s="3">
        <v>22.560370549709798</v>
      </c>
      <c r="C43" s="3">
        <v>16.502246099838001</v>
      </c>
      <c r="D43" s="3">
        <v>15.8189162920825</v>
      </c>
      <c r="E43" s="3">
        <v>14.229153280713</v>
      </c>
      <c r="F43" s="3">
        <v>14.382892448093701</v>
      </c>
      <c r="G43" s="3">
        <v>21.091539060839601</v>
      </c>
      <c r="H43" s="3">
        <v>13.9813350069092</v>
      </c>
      <c r="I43" s="3">
        <v>24.176639276379099</v>
      </c>
      <c r="J43" s="3">
        <v>19.8054180333876</v>
      </c>
      <c r="K43" s="3">
        <v>15.5902164776156</v>
      </c>
      <c r="L43" s="3">
        <v>16.680892486094098</v>
      </c>
      <c r="M43" s="3">
        <v>16.980711173082899</v>
      </c>
      <c r="N43" s="3">
        <v>14.213166354276</v>
      </c>
    </row>
    <row r="44" spans="1:14" x14ac:dyDescent="0.35">
      <c r="A44" s="2">
        <v>43200</v>
      </c>
      <c r="B44" s="3">
        <v>22.4356690311369</v>
      </c>
      <c r="C44" s="3">
        <v>16.308887689240201</v>
      </c>
      <c r="D44" s="3">
        <v>15.612198943643399</v>
      </c>
      <c r="E44" s="3">
        <v>14.139155638959</v>
      </c>
      <c r="F44" s="3">
        <v>14.2504158142024</v>
      </c>
      <c r="G44" s="3">
        <v>20.557542056814501</v>
      </c>
      <c r="H44" s="3">
        <v>13.987850924019099</v>
      </c>
      <c r="I44" s="3">
        <v>23.530909538457301</v>
      </c>
      <c r="J44" s="3">
        <v>19.344691283338602</v>
      </c>
      <c r="K44" s="3">
        <v>15.528251149108801</v>
      </c>
      <c r="L44" s="3">
        <v>16.602407423173599</v>
      </c>
      <c r="M44" s="3">
        <v>16.7681942801864</v>
      </c>
      <c r="N44" s="3">
        <v>14.1343701222616</v>
      </c>
    </row>
    <row r="45" spans="1:14" x14ac:dyDescent="0.35">
      <c r="A45" s="2">
        <v>43230</v>
      </c>
      <c r="B45" s="3">
        <v>22.419359365226899</v>
      </c>
      <c r="C45" s="3">
        <v>16.371439067194299</v>
      </c>
      <c r="D45" s="3">
        <v>15.619648748034701</v>
      </c>
      <c r="E45" s="3">
        <v>14.2354617258418</v>
      </c>
      <c r="F45" s="3">
        <v>14.2554139045951</v>
      </c>
      <c r="G45" s="3">
        <v>20.222068675553899</v>
      </c>
      <c r="H45" s="3">
        <v>14.114000737643799</v>
      </c>
      <c r="I45" s="3">
        <v>23.396491737229699</v>
      </c>
      <c r="J45" s="3">
        <v>19.126815274791799</v>
      </c>
      <c r="K45" s="3">
        <v>15.625885904295499</v>
      </c>
      <c r="L45" s="3">
        <v>16.578913196314701</v>
      </c>
      <c r="M45" s="3">
        <v>16.870803469000901</v>
      </c>
      <c r="N45" s="3">
        <v>14.1448573713838</v>
      </c>
    </row>
    <row r="46" spans="1:14" x14ac:dyDescent="0.35">
      <c r="A46" s="2">
        <v>43259</v>
      </c>
      <c r="B46" s="3">
        <v>22.731382825339399</v>
      </c>
      <c r="C46" s="3">
        <v>16.168060314384402</v>
      </c>
      <c r="D46" s="3">
        <v>15.575331497429699</v>
      </c>
      <c r="E46" s="3">
        <v>14.1196296975432</v>
      </c>
      <c r="F46" s="3">
        <v>14.168918215758</v>
      </c>
      <c r="G46" s="3">
        <v>19.5314046073055</v>
      </c>
      <c r="H46" s="3">
        <v>13.955979200816399</v>
      </c>
      <c r="I46" s="3">
        <v>23.314994050319999</v>
      </c>
      <c r="J46" s="3">
        <v>18.980219568748499</v>
      </c>
      <c r="K46" s="3">
        <v>15.357932189064799</v>
      </c>
      <c r="L46" s="3">
        <v>16.649822666462601</v>
      </c>
      <c r="M46" s="3">
        <v>16.5264792034606</v>
      </c>
      <c r="N46" s="3">
        <v>13.3380397091967</v>
      </c>
    </row>
    <row r="47" spans="1:14" x14ac:dyDescent="0.35">
      <c r="A47" s="2">
        <v>43291</v>
      </c>
      <c r="B47" s="3">
        <v>22.906464783928001</v>
      </c>
      <c r="C47" s="3">
        <v>16.329041334852601</v>
      </c>
      <c r="D47" s="3">
        <v>15.563691242919599</v>
      </c>
      <c r="E47" s="3">
        <v>14.0667581632572</v>
      </c>
      <c r="F47" s="3">
        <v>13.828562129827301</v>
      </c>
      <c r="G47" s="3">
        <v>19.316751222492702</v>
      </c>
      <c r="H47" s="3">
        <v>13.882687556540599</v>
      </c>
      <c r="I47" s="3">
        <v>23.270639665005</v>
      </c>
      <c r="J47" s="3">
        <v>18.755164842187799</v>
      </c>
      <c r="K47" s="3">
        <v>15.300317312185999</v>
      </c>
      <c r="L47" s="3">
        <v>16.626555546568699</v>
      </c>
      <c r="M47" s="3">
        <v>16.483740524561899</v>
      </c>
      <c r="N47" s="3">
        <v>13.3399158780633</v>
      </c>
    </row>
    <row r="48" spans="1:14" x14ac:dyDescent="0.35">
      <c r="A48" s="2">
        <v>43322</v>
      </c>
      <c r="B48" s="3">
        <v>23.052191441990701</v>
      </c>
      <c r="C48" s="3">
        <v>16.340906688419601</v>
      </c>
      <c r="D48" s="3">
        <v>15.3916115569486</v>
      </c>
      <c r="E48" s="3">
        <v>13.982584312957799</v>
      </c>
      <c r="F48" s="3">
        <v>13.689895227783101</v>
      </c>
      <c r="G48" s="3">
        <v>19.009428697098201</v>
      </c>
      <c r="H48" s="3">
        <v>13.7790666178708</v>
      </c>
      <c r="I48" s="3">
        <v>23.116235181513499</v>
      </c>
      <c r="J48" s="3">
        <v>18.581264583345799</v>
      </c>
      <c r="K48" s="3">
        <v>15.093310534529399</v>
      </c>
      <c r="L48" s="3">
        <v>16.630635721873698</v>
      </c>
      <c r="M48" s="3">
        <v>16.597937316627</v>
      </c>
      <c r="N48" s="3">
        <v>12.9147783640993</v>
      </c>
    </row>
    <row r="49" spans="1:14" x14ac:dyDescent="0.35">
      <c r="A49" s="2">
        <v>43353</v>
      </c>
      <c r="B49" s="3">
        <v>23.173028050536001</v>
      </c>
      <c r="C49" s="3">
        <v>15.9800259592153</v>
      </c>
      <c r="D49" s="3">
        <v>15.0576434606227</v>
      </c>
      <c r="E49" s="3">
        <v>13.7498031183616</v>
      </c>
      <c r="F49" s="3">
        <v>13.338781009155699</v>
      </c>
      <c r="G49" s="3">
        <v>18.5915769611907</v>
      </c>
      <c r="H49" s="3">
        <v>13.3390058134062</v>
      </c>
      <c r="I49" s="3">
        <v>22.967586126955801</v>
      </c>
      <c r="J49" s="3">
        <v>18.5250628231272</v>
      </c>
      <c r="K49" s="3">
        <v>14.7620349483024</v>
      </c>
      <c r="L49" s="3">
        <v>16.295159226314901</v>
      </c>
      <c r="M49" s="3">
        <v>16.5849253047937</v>
      </c>
      <c r="N49" s="3">
        <v>12.548947729030999</v>
      </c>
    </row>
    <row r="50" spans="1:14" x14ac:dyDescent="0.35">
      <c r="A50" s="2">
        <v>43383</v>
      </c>
      <c r="B50" s="3">
        <v>23.1348000944337</v>
      </c>
      <c r="C50" s="3">
        <v>15.7307771440575</v>
      </c>
      <c r="D50" s="3">
        <v>14.6152684528601</v>
      </c>
      <c r="E50" s="3">
        <v>13.414391723430301</v>
      </c>
      <c r="F50" s="3">
        <v>13.6365196819023</v>
      </c>
      <c r="G50" s="3">
        <v>17.981370430054501</v>
      </c>
      <c r="H50" s="3">
        <v>13.191449034244799</v>
      </c>
      <c r="I50" s="3">
        <v>21.873015081467098</v>
      </c>
      <c r="J50" s="3">
        <v>17.919281385099602</v>
      </c>
      <c r="K50" s="3">
        <v>14.4409639318239</v>
      </c>
      <c r="L50" s="3">
        <v>15.716277804797601</v>
      </c>
      <c r="M50" s="3">
        <v>16.094027553286299</v>
      </c>
      <c r="N50" s="3">
        <v>11.8737390878584</v>
      </c>
    </row>
    <row r="51" spans="1:14" x14ac:dyDescent="0.35">
      <c r="A51" s="2">
        <v>43413</v>
      </c>
      <c r="B51" s="3">
        <v>23.100848781512202</v>
      </c>
      <c r="C51" s="3">
        <v>15.4997242575337</v>
      </c>
      <c r="D51" s="3">
        <v>14.193902072836099</v>
      </c>
      <c r="E51" s="3">
        <v>13.1517536795005</v>
      </c>
      <c r="F51" s="3">
        <v>12.924374932581101</v>
      </c>
      <c r="G51" s="3">
        <v>17.999914402914101</v>
      </c>
      <c r="H51" s="3">
        <v>12.885322582042701</v>
      </c>
      <c r="I51" s="3">
        <v>21.192970596821802</v>
      </c>
      <c r="J51" s="3">
        <v>17.5514468335417</v>
      </c>
      <c r="K51" s="3">
        <v>14.1703250775406</v>
      </c>
      <c r="L51" s="3">
        <v>15.708900722768901</v>
      </c>
      <c r="M51" s="3">
        <v>15.2068225607652</v>
      </c>
      <c r="N51" s="3">
        <v>11.455461812967499</v>
      </c>
    </row>
    <row r="52" spans="1:14" x14ac:dyDescent="0.35">
      <c r="A52" s="2">
        <v>43444</v>
      </c>
      <c r="B52" s="3">
        <v>22.546935965874599</v>
      </c>
      <c r="C52" s="3">
        <v>14.5046646678403</v>
      </c>
      <c r="D52" s="3">
        <v>13.6252766030966</v>
      </c>
      <c r="E52" s="3">
        <v>12.2488921903192</v>
      </c>
      <c r="F52" s="3">
        <v>12.2713393270036</v>
      </c>
      <c r="G52" s="3">
        <v>16.763549189121299</v>
      </c>
      <c r="H52" s="3">
        <v>11.984293428229201</v>
      </c>
      <c r="I52" s="3">
        <v>19.899315250608101</v>
      </c>
      <c r="J52" s="3">
        <v>16.469682837560502</v>
      </c>
      <c r="K52" s="3">
        <v>13.0920507749863</v>
      </c>
      <c r="L52" s="3">
        <v>14.623281100682901</v>
      </c>
      <c r="M52" s="3">
        <v>14.046411023664399</v>
      </c>
      <c r="N52" s="3">
        <v>10.611028303140101</v>
      </c>
    </row>
    <row r="53" spans="1:14" x14ac:dyDescent="0.35">
      <c r="A53" s="2">
        <v>43475</v>
      </c>
      <c r="B53" s="3">
        <v>23.192927942081202</v>
      </c>
      <c r="C53" s="3">
        <v>15.0418256737628</v>
      </c>
      <c r="D53" s="3">
        <v>13.703278028719099</v>
      </c>
      <c r="E53" s="3">
        <v>12.47694484853</v>
      </c>
      <c r="F53" s="3">
        <v>11.7032811427156</v>
      </c>
      <c r="G53" s="3">
        <v>16.935503008506</v>
      </c>
      <c r="H53" s="3">
        <v>12.3229073775767</v>
      </c>
      <c r="I53" s="3">
        <v>19.610593744310499</v>
      </c>
      <c r="J53" s="3">
        <v>16.062910707094002</v>
      </c>
      <c r="K53" s="3">
        <v>13.190258427933401</v>
      </c>
      <c r="L53" s="3">
        <v>14.641800807678001</v>
      </c>
      <c r="M53" s="3">
        <v>14.4584575356618</v>
      </c>
      <c r="N53" s="3">
        <v>10.906421381508</v>
      </c>
    </row>
    <row r="54" spans="1:14" x14ac:dyDescent="0.35">
      <c r="A54" s="2">
        <v>43504</v>
      </c>
      <c r="B54" s="3">
        <v>23.764722863681499</v>
      </c>
      <c r="C54" s="3">
        <v>15.727647599179701</v>
      </c>
      <c r="D54" s="3">
        <v>14.640179165912301</v>
      </c>
      <c r="E54" s="3">
        <v>12.6318446564247</v>
      </c>
      <c r="F54" s="3">
        <v>12.0513059519051</v>
      </c>
      <c r="G54" s="3">
        <v>17.462709038717101</v>
      </c>
      <c r="H54" s="3">
        <v>12.6055372883771</v>
      </c>
      <c r="I54" s="3">
        <v>20.356916201375999</v>
      </c>
      <c r="J54" s="3">
        <v>16.667566757438099</v>
      </c>
      <c r="K54" s="3">
        <v>13.706088324163799</v>
      </c>
      <c r="L54" s="3">
        <v>15.4171253643713</v>
      </c>
      <c r="M54" s="3">
        <v>16.766338319997899</v>
      </c>
      <c r="N54" s="3">
        <v>10.7399408502187</v>
      </c>
    </row>
    <row r="55" spans="1:14" x14ac:dyDescent="0.35">
      <c r="A55" s="2">
        <v>43532</v>
      </c>
      <c r="B55" s="3">
        <v>24.1803351618377</v>
      </c>
      <c r="C55" s="3">
        <v>15.9024796837006</v>
      </c>
      <c r="D55" s="3">
        <v>14.7133223918647</v>
      </c>
      <c r="E55" s="3">
        <v>13.1967730997372</v>
      </c>
      <c r="F55" s="3">
        <v>12.6477990488159</v>
      </c>
      <c r="G55" s="3">
        <v>18.275889556997502</v>
      </c>
      <c r="H55" s="3">
        <v>12.9044151049543</v>
      </c>
      <c r="I55" s="3">
        <v>20.838429546010399</v>
      </c>
      <c r="J55" s="3">
        <v>17.050035675765798</v>
      </c>
      <c r="K55" s="3">
        <v>14.5387710563668</v>
      </c>
      <c r="L55" s="3">
        <v>16.0929839464726</v>
      </c>
      <c r="M55" s="3">
        <v>18.050333899613701</v>
      </c>
      <c r="N55" s="3">
        <v>11.2641008276793</v>
      </c>
    </row>
    <row r="56" spans="1:14" x14ac:dyDescent="0.35">
      <c r="A56" s="2">
        <v>43565</v>
      </c>
      <c r="B56" s="3">
        <v>24.034359824568401</v>
      </c>
      <c r="C56" s="3">
        <v>15.8496689491003</v>
      </c>
      <c r="D56" s="3">
        <v>14.7586327092801</v>
      </c>
      <c r="E56" s="3">
        <v>13.249700055405</v>
      </c>
      <c r="F56" s="3">
        <v>12.7306716655947</v>
      </c>
      <c r="G56" s="3">
        <v>18.3032498719632</v>
      </c>
      <c r="H56" s="3">
        <v>13.0150177508547</v>
      </c>
      <c r="I56" s="3">
        <v>21.221771612866799</v>
      </c>
      <c r="J56" s="3">
        <v>17.226677697411102</v>
      </c>
      <c r="K56" s="3">
        <v>14.5952584391268</v>
      </c>
      <c r="L56" s="3">
        <v>16.231788987545201</v>
      </c>
      <c r="M56" s="3">
        <v>17.846913560704301</v>
      </c>
      <c r="N56" s="3">
        <v>11.3318120102735</v>
      </c>
    </row>
    <row r="57" spans="1:14" x14ac:dyDescent="0.35">
      <c r="A57" s="2">
        <v>43595</v>
      </c>
      <c r="B57" s="3">
        <v>24.242953851455699</v>
      </c>
      <c r="C57" s="3">
        <v>15.8579948762101</v>
      </c>
      <c r="D57" s="3">
        <v>14.510113844369</v>
      </c>
      <c r="E57" s="3">
        <v>13.277154526636799</v>
      </c>
      <c r="F57" s="3">
        <v>12.6222250240842</v>
      </c>
      <c r="G57" s="3">
        <v>18.096693669385999</v>
      </c>
      <c r="H57" s="3">
        <v>12.8687263753885</v>
      </c>
      <c r="I57" s="3">
        <v>21.283619471061499</v>
      </c>
      <c r="J57" s="3">
        <v>17.193309063804101</v>
      </c>
      <c r="K57" s="3">
        <v>14.4692526783722</v>
      </c>
      <c r="L57" s="3">
        <v>16.178946511848601</v>
      </c>
      <c r="M57" s="3">
        <v>17.5561521936487</v>
      </c>
      <c r="N57" s="3">
        <v>11.1527200179335</v>
      </c>
    </row>
    <row r="58" spans="1:14" x14ac:dyDescent="0.35">
      <c r="A58" s="2">
        <v>43626</v>
      </c>
      <c r="B58" s="3">
        <v>24.106528444980501</v>
      </c>
      <c r="C58" s="3">
        <v>16.008119277026701</v>
      </c>
      <c r="D58" s="3">
        <v>14.4242793561761</v>
      </c>
      <c r="E58" s="3">
        <v>13.182102136183399</v>
      </c>
      <c r="F58" s="3">
        <v>12.794409178959301</v>
      </c>
      <c r="G58" s="3">
        <v>18.2275633901932</v>
      </c>
      <c r="H58" s="3">
        <v>12.976639552929401</v>
      </c>
      <c r="I58" s="3">
        <v>21.256368960283201</v>
      </c>
      <c r="J58" s="3">
        <v>17.208812504624401</v>
      </c>
      <c r="K58" s="3">
        <v>14.4989721226437</v>
      </c>
      <c r="L58" s="3">
        <v>16.2338894685554</v>
      </c>
      <c r="M58" s="3">
        <v>17.122381126200999</v>
      </c>
      <c r="N58" s="3">
        <v>10.963888846782</v>
      </c>
    </row>
    <row r="59" spans="1:14" x14ac:dyDescent="0.35">
      <c r="A59" s="2">
        <v>43656</v>
      </c>
      <c r="B59" s="3">
        <v>24.9643140866824</v>
      </c>
      <c r="C59" s="3">
        <v>16.290893907665001</v>
      </c>
      <c r="D59" s="3">
        <v>14.5208312258634</v>
      </c>
      <c r="E59" s="3">
        <v>13.5173127466227</v>
      </c>
      <c r="F59" s="3">
        <v>12.9610678336578</v>
      </c>
      <c r="G59" s="3">
        <v>18.359684234629</v>
      </c>
      <c r="H59" s="3">
        <v>13.095324617850901</v>
      </c>
      <c r="I59" s="3">
        <v>21.995971997012401</v>
      </c>
      <c r="J59" s="3">
        <v>17.6034611207956</v>
      </c>
      <c r="K59" s="3">
        <v>14.7245079979071</v>
      </c>
      <c r="L59" s="3">
        <v>16.400869710909301</v>
      </c>
      <c r="M59" s="3">
        <v>17.085983716559699</v>
      </c>
      <c r="N59" s="3">
        <v>11.3140670997876</v>
      </c>
    </row>
    <row r="60" spans="1:14" x14ac:dyDescent="0.35">
      <c r="A60" s="2">
        <v>43686</v>
      </c>
      <c r="B60" s="3">
        <v>25.442255133865402</v>
      </c>
      <c r="C60" s="3">
        <v>16.263679974199299</v>
      </c>
      <c r="D60" s="3">
        <v>14.3899521995027</v>
      </c>
      <c r="E60" s="3">
        <v>13.3144695032251</v>
      </c>
      <c r="F60" s="3">
        <v>12.7371439939319</v>
      </c>
      <c r="G60" s="3">
        <v>18.191742701197601</v>
      </c>
      <c r="H60" s="3">
        <v>12.7805164593504</v>
      </c>
      <c r="I60" s="3">
        <v>21.6847636818609</v>
      </c>
      <c r="J60" s="3">
        <v>17.468674374715398</v>
      </c>
      <c r="K60" s="3">
        <v>14.5334875112124</v>
      </c>
      <c r="L60" s="3">
        <v>16.199228962571699</v>
      </c>
      <c r="M60" s="3">
        <v>15.968751873249699</v>
      </c>
      <c r="N60" s="3">
        <v>10.820632994551801</v>
      </c>
    </row>
    <row r="61" spans="1:14" x14ac:dyDescent="0.35">
      <c r="A61" s="2">
        <v>43718</v>
      </c>
      <c r="B61" s="3">
        <v>28.878204836940501</v>
      </c>
      <c r="C61" s="3">
        <v>16.5706971680391</v>
      </c>
      <c r="D61" s="3">
        <v>14.534872349351501</v>
      </c>
      <c r="E61" s="3">
        <v>13.945570254261799</v>
      </c>
      <c r="F61" s="3">
        <v>13.1898056315086</v>
      </c>
      <c r="G61" s="3">
        <v>18.424855920074101</v>
      </c>
      <c r="H61" s="3">
        <v>12.9700062033963</v>
      </c>
      <c r="I61" s="3">
        <v>22.123065249278699</v>
      </c>
      <c r="J61" s="3">
        <v>17.775688728985799</v>
      </c>
      <c r="K61" s="3">
        <v>14.970443719026999</v>
      </c>
      <c r="L61" s="3">
        <v>16.8741864316647</v>
      </c>
      <c r="M61" s="3">
        <v>16.165245043152598</v>
      </c>
      <c r="N61" s="3">
        <v>11.274034116922101</v>
      </c>
    </row>
    <row r="62" spans="1:14" x14ac:dyDescent="0.35">
      <c r="A62" s="2">
        <v>43748</v>
      </c>
      <c r="B62" s="3">
        <v>28.639772756536701</v>
      </c>
      <c r="C62" s="3">
        <v>16.663715433441102</v>
      </c>
      <c r="D62" s="3">
        <v>14.560740086879999</v>
      </c>
      <c r="E62" s="3">
        <v>13.901676957806799</v>
      </c>
      <c r="F62" s="3">
        <v>13.4080620763652</v>
      </c>
      <c r="G62" s="3">
        <v>18.265474269299599</v>
      </c>
      <c r="H62" s="3">
        <v>12.8705578043882</v>
      </c>
      <c r="I62" s="3">
        <v>22.1218609409928</v>
      </c>
      <c r="J62" s="3">
        <v>17.7686171399736</v>
      </c>
      <c r="K62" s="3">
        <v>15.0119797871969</v>
      </c>
      <c r="L62" s="3">
        <v>16.975092384468098</v>
      </c>
      <c r="M62" s="3">
        <v>16.2745683201974</v>
      </c>
      <c r="N62" s="3">
        <v>11.261260450819</v>
      </c>
    </row>
    <row r="63" spans="1:14" x14ac:dyDescent="0.35">
      <c r="A63" s="2">
        <v>43777</v>
      </c>
      <c r="B63" s="3">
        <v>29.089780691177999</v>
      </c>
      <c r="C63" s="3">
        <v>17.467570943009001</v>
      </c>
      <c r="D63" s="3">
        <v>15.0753348769341</v>
      </c>
      <c r="E63" s="3">
        <v>15.1694182595225</v>
      </c>
      <c r="F63" s="3">
        <v>14.4146996756518</v>
      </c>
      <c r="G63" s="3">
        <v>18.8488744264966</v>
      </c>
      <c r="H63" s="3">
        <v>13.3713981244649</v>
      </c>
      <c r="I63" s="3">
        <v>23.435424556716701</v>
      </c>
      <c r="J63" s="3">
        <v>18.6644309139383</v>
      </c>
      <c r="K63" s="3">
        <v>15.932216485447199</v>
      </c>
      <c r="L63" s="3">
        <v>17.8455861116162</v>
      </c>
      <c r="M63" s="3">
        <v>17.077452603134201</v>
      </c>
      <c r="N63" s="3">
        <v>12.001388835943001</v>
      </c>
    </row>
    <row r="64" spans="1:14" x14ac:dyDescent="0.35">
      <c r="A64" s="2">
        <v>43809</v>
      </c>
      <c r="B64" s="3">
        <v>31.336696372610099</v>
      </c>
      <c r="C64" s="3">
        <v>17.5282871198111</v>
      </c>
      <c r="D64" s="3">
        <v>15.1124317749259</v>
      </c>
      <c r="E64" s="3">
        <v>15.141784690349001</v>
      </c>
      <c r="F64" s="3">
        <v>15.0752535564782</v>
      </c>
      <c r="G64" s="3">
        <v>19.019981206828799</v>
      </c>
      <c r="H64" s="3">
        <v>13.442064226953899</v>
      </c>
      <c r="I64" s="3">
        <v>24.122271669716799</v>
      </c>
      <c r="J64" s="3">
        <v>19.111478110643901</v>
      </c>
      <c r="K64" s="3">
        <v>16.041205094402699</v>
      </c>
      <c r="L64" s="3">
        <v>18.281430132430799</v>
      </c>
      <c r="M64" s="3">
        <v>15.830821052900401</v>
      </c>
      <c r="N64" s="3">
        <v>11.8535451330866</v>
      </c>
    </row>
    <row r="65" spans="1:14" x14ac:dyDescent="0.35">
      <c r="A65" s="2">
        <v>43840</v>
      </c>
      <c r="B65" s="3">
        <v>32.370285604927098</v>
      </c>
      <c r="C65" s="3">
        <v>18.300328694220799</v>
      </c>
      <c r="D65" s="3">
        <v>15.406074874499801</v>
      </c>
      <c r="E65" s="3">
        <v>15.7657294560425</v>
      </c>
      <c r="F65" s="3">
        <v>15.4591423949724</v>
      </c>
      <c r="G65" s="3">
        <v>19.6126700682027</v>
      </c>
      <c r="H65" s="3">
        <v>14.2026786265225</v>
      </c>
      <c r="I65" s="3">
        <v>26.067880763730098</v>
      </c>
      <c r="J65" s="3">
        <v>20.0674131241989</v>
      </c>
      <c r="K65" s="3">
        <v>16.636785137621001</v>
      </c>
      <c r="L65" s="3">
        <v>18.7244527003207</v>
      </c>
      <c r="M65" s="3">
        <v>16.358085469646301</v>
      </c>
      <c r="N65" s="3">
        <v>12.349510586470499</v>
      </c>
    </row>
    <row r="66" spans="1:14" x14ac:dyDescent="0.35">
      <c r="A66" s="2">
        <v>43871</v>
      </c>
      <c r="B66" s="3">
        <v>32.661654632566901</v>
      </c>
      <c r="C66" s="3">
        <v>18.416411740662902</v>
      </c>
      <c r="D66" s="3">
        <v>15.781458086879001</v>
      </c>
      <c r="E66" s="3">
        <v>15.5501724610897</v>
      </c>
      <c r="F66" s="3">
        <v>15.3594286204686</v>
      </c>
      <c r="G66" s="3">
        <v>20.0900775232363</v>
      </c>
      <c r="H66" s="3">
        <v>13.9163066789729</v>
      </c>
      <c r="I66" s="3">
        <v>26.915113974237599</v>
      </c>
      <c r="J66" s="3">
        <v>20.3700268264001</v>
      </c>
      <c r="K66" s="3">
        <v>16.456026514698699</v>
      </c>
      <c r="L66" s="3">
        <v>19.658993268740101</v>
      </c>
      <c r="M66" s="3">
        <v>14.146785937784999</v>
      </c>
      <c r="N66" s="3">
        <v>12.6727509876463</v>
      </c>
    </row>
    <row r="67" spans="1:14" x14ac:dyDescent="0.35">
      <c r="A67" s="2">
        <v>43900</v>
      </c>
      <c r="B67" s="3">
        <v>30.793777062438899</v>
      </c>
      <c r="C67" s="3">
        <v>16.723854749482399</v>
      </c>
      <c r="D67" s="3">
        <v>14.2105318935418</v>
      </c>
      <c r="E67" s="3">
        <v>13.7366134476458</v>
      </c>
      <c r="F67" s="3">
        <v>13.8027025416831</v>
      </c>
      <c r="G67" s="3">
        <v>17.809973086162</v>
      </c>
      <c r="H67" s="3">
        <v>12.143834965402901</v>
      </c>
      <c r="I67" s="3">
        <v>23.7103607332633</v>
      </c>
      <c r="J67" s="3">
        <v>17.814109205643799</v>
      </c>
      <c r="K67" s="3">
        <v>14.3356934754331</v>
      </c>
      <c r="L67" s="3">
        <v>17.0457980468986</v>
      </c>
      <c r="M67" s="3">
        <v>12.7022997369848</v>
      </c>
      <c r="N67" s="3">
        <v>10.970345277721</v>
      </c>
    </row>
    <row r="68" spans="1:14" x14ac:dyDescent="0.35">
      <c r="A68" s="2">
        <v>43930</v>
      </c>
      <c r="B68" s="3">
        <v>30.789089459402199</v>
      </c>
      <c r="C68" s="3">
        <v>16.740088847102101</v>
      </c>
      <c r="D68" s="3">
        <v>14.7431067081696</v>
      </c>
      <c r="E68" s="3">
        <v>14.2755371447749</v>
      </c>
      <c r="F68" s="3">
        <v>13.8930906113895</v>
      </c>
      <c r="G68" s="3">
        <v>18.127303300799401</v>
      </c>
      <c r="H68" s="3">
        <v>12.7890470600447</v>
      </c>
      <c r="I68" s="3">
        <v>23.958636595947699</v>
      </c>
      <c r="J68" s="3">
        <v>18.282622513130399</v>
      </c>
      <c r="K68" s="3">
        <v>14.9613602887487</v>
      </c>
      <c r="L68" s="3">
        <v>17.296378063568199</v>
      </c>
      <c r="M68" s="3">
        <v>13.622472145871701</v>
      </c>
      <c r="N68" s="3">
        <v>11.3594125527211</v>
      </c>
    </row>
    <row r="69" spans="1:14" x14ac:dyDescent="0.35">
      <c r="A69" s="2">
        <v>43959</v>
      </c>
      <c r="B69" s="3">
        <v>31.8079860037424</v>
      </c>
      <c r="C69" s="3">
        <v>17.338158477099299</v>
      </c>
      <c r="D69" s="3">
        <v>16.18864441677</v>
      </c>
      <c r="E69" s="3">
        <v>15.2582534608364</v>
      </c>
      <c r="F69" s="3">
        <v>14.395603517066601</v>
      </c>
      <c r="G69" s="3">
        <v>18.680121684158902</v>
      </c>
      <c r="H69" s="3">
        <v>13.8619513212032</v>
      </c>
      <c r="I69" s="3">
        <v>25.6723463681525</v>
      </c>
      <c r="J69" s="3">
        <v>19.665802829339398</v>
      </c>
      <c r="K69" s="3">
        <v>16.159532522540399</v>
      </c>
      <c r="L69" s="3">
        <v>17.988110163476399</v>
      </c>
      <c r="M69" s="3">
        <v>15.201509715913501</v>
      </c>
      <c r="N69" s="3">
        <v>13.4476460483447</v>
      </c>
    </row>
    <row r="70" spans="1:14" x14ac:dyDescent="0.35">
      <c r="A70" s="2">
        <v>43992</v>
      </c>
      <c r="B70" s="3">
        <v>32.371860740802902</v>
      </c>
      <c r="C70" s="3">
        <v>18.824791706504801</v>
      </c>
      <c r="D70" s="3">
        <v>17.348201618184</v>
      </c>
      <c r="E70" s="3">
        <v>17.227951976876501</v>
      </c>
      <c r="F70" s="3">
        <v>16.4457693085801</v>
      </c>
      <c r="G70" s="3">
        <v>19.413080967385401</v>
      </c>
      <c r="H70" s="3">
        <v>15.167887890688601</v>
      </c>
      <c r="I70" s="3">
        <v>27.407389893137299</v>
      </c>
      <c r="J70" s="3">
        <v>21.141113994090301</v>
      </c>
      <c r="K70" s="3">
        <v>18.002368681563599</v>
      </c>
      <c r="L70" s="3">
        <v>19.225122148490001</v>
      </c>
      <c r="M70" s="3">
        <v>16.524021446157199</v>
      </c>
      <c r="N70" s="3">
        <v>15.8441582442781</v>
      </c>
    </row>
    <row r="71" spans="1:14" x14ac:dyDescent="0.35">
      <c r="A71" s="2">
        <v>44022</v>
      </c>
      <c r="B71" s="3">
        <v>33.2079645363401</v>
      </c>
      <c r="C71" s="3">
        <v>18.5377595060374</v>
      </c>
      <c r="D71" s="3">
        <v>17.609727937775201</v>
      </c>
      <c r="E71" s="3">
        <v>18.4257868448707</v>
      </c>
      <c r="F71" s="3">
        <v>17.1175843952416</v>
      </c>
      <c r="G71" s="3">
        <v>19.878983080129998</v>
      </c>
      <c r="H71" s="3">
        <v>15.2090678562616</v>
      </c>
      <c r="I71" s="3">
        <v>28.9351541395156</v>
      </c>
      <c r="J71" s="3">
        <v>21.784646695771599</v>
      </c>
      <c r="K71" s="3">
        <v>19.307346769073199</v>
      </c>
      <c r="L71" s="3">
        <v>20.065137456286301</v>
      </c>
      <c r="M71" s="3">
        <v>17.6676947285208</v>
      </c>
      <c r="N71" s="3">
        <v>16.845709727507501</v>
      </c>
    </row>
    <row r="72" spans="1:14" x14ac:dyDescent="0.35">
      <c r="A72" s="2">
        <v>44053</v>
      </c>
      <c r="B72" s="3">
        <v>33.915112159260701</v>
      </c>
      <c r="C72" s="3">
        <v>19.417771952827</v>
      </c>
      <c r="D72" s="3">
        <v>18.3152279830657</v>
      </c>
      <c r="E72" s="3">
        <v>19.165511779226499</v>
      </c>
      <c r="F72" s="3">
        <v>17.9482189969373</v>
      </c>
      <c r="G72" s="3">
        <v>20.156523534216799</v>
      </c>
      <c r="H72" s="3">
        <v>16.0917950984534</v>
      </c>
      <c r="I72" s="3">
        <v>29.079824021399599</v>
      </c>
      <c r="J72" s="3">
        <v>22.618480500063502</v>
      </c>
      <c r="K72" s="3">
        <v>21.661970626041299</v>
      </c>
      <c r="L72" s="3">
        <v>20.589108464193501</v>
      </c>
      <c r="M72" s="3">
        <v>17.414213478018201</v>
      </c>
      <c r="N72" s="3">
        <v>17.503368529439499</v>
      </c>
    </row>
    <row r="73" spans="1:14" x14ac:dyDescent="0.35">
      <c r="A73" s="2">
        <v>44084</v>
      </c>
      <c r="B73" s="3">
        <v>33.886648770089202</v>
      </c>
      <c r="C73" s="3">
        <v>19.4308756087066</v>
      </c>
      <c r="D73" s="3">
        <v>18.205657201300099</v>
      </c>
      <c r="E73" s="3">
        <v>20.4567843304227</v>
      </c>
      <c r="F73" s="3">
        <v>19.397323711515799</v>
      </c>
      <c r="G73" s="3">
        <v>20.8512349070214</v>
      </c>
      <c r="H73" s="3">
        <v>16.733564821952999</v>
      </c>
      <c r="I73" s="3">
        <v>29.8716264726473</v>
      </c>
      <c r="J73" s="3">
        <v>23.0461556416892</v>
      </c>
      <c r="K73" s="3">
        <v>23.122026815043402</v>
      </c>
      <c r="L73" s="3">
        <v>21.466692427612799</v>
      </c>
      <c r="M73" s="3">
        <v>17.6344506739838</v>
      </c>
      <c r="N73" s="3">
        <v>18.203776614587898</v>
      </c>
    </row>
    <row r="74" spans="1:14" x14ac:dyDescent="0.35">
      <c r="A74" s="2">
        <v>44113</v>
      </c>
      <c r="B74" s="3">
        <v>35.036135693218803</v>
      </c>
      <c r="C74" s="3">
        <v>19.910175345932199</v>
      </c>
      <c r="D74" s="3">
        <v>18.906862867495398</v>
      </c>
      <c r="E74" s="3">
        <v>20.669717244049799</v>
      </c>
      <c r="F74" s="3">
        <v>20.471041207935698</v>
      </c>
      <c r="G74" s="3">
        <v>20.992011780095901</v>
      </c>
      <c r="H74" s="3">
        <v>17.210391569415801</v>
      </c>
      <c r="I74" s="3">
        <v>31.7159200519237</v>
      </c>
      <c r="J74" s="3">
        <v>24.347116166518202</v>
      </c>
      <c r="K74" s="3">
        <v>23.953888152546899</v>
      </c>
      <c r="L74" s="3">
        <v>22.634051646674799</v>
      </c>
      <c r="M74" s="3">
        <v>18.309536482257499</v>
      </c>
      <c r="N74" s="3">
        <v>18.764734268899399</v>
      </c>
    </row>
    <row r="75" spans="1:14" x14ac:dyDescent="0.35">
      <c r="A75" s="2">
        <v>44145</v>
      </c>
      <c r="B75" s="3">
        <v>35.579097001759102</v>
      </c>
      <c r="C75" s="3">
        <v>21.064135101881298</v>
      </c>
      <c r="D75" s="3">
        <v>19.119939983300601</v>
      </c>
      <c r="E75" s="3">
        <v>20.3869870155489</v>
      </c>
      <c r="F75" s="3">
        <v>21.550739121950802</v>
      </c>
      <c r="G75" s="3">
        <v>20.989020437637301</v>
      </c>
      <c r="H75" s="3">
        <v>17.742396356997901</v>
      </c>
      <c r="I75" s="3">
        <v>31.216444034944899</v>
      </c>
      <c r="J75" s="3">
        <v>24.578836243854401</v>
      </c>
      <c r="K75" s="3">
        <v>26.775406302289301</v>
      </c>
      <c r="L75" s="3">
        <v>24.345910872552899</v>
      </c>
      <c r="M75" s="3">
        <v>16.355304408218601</v>
      </c>
      <c r="N75" s="3">
        <v>20.466568450000299</v>
      </c>
    </row>
    <row r="76" spans="1:14" x14ac:dyDescent="0.35">
      <c r="A76" s="2">
        <v>44175</v>
      </c>
      <c r="B76" s="3">
        <v>36.907323160697999</v>
      </c>
      <c r="C76" s="3">
        <v>22.714622816172799</v>
      </c>
      <c r="D76" s="3">
        <v>20.3227332099497</v>
      </c>
      <c r="E76" s="3">
        <v>20.959562065978499</v>
      </c>
      <c r="F76" s="3">
        <v>22.6436461199212</v>
      </c>
      <c r="G76" s="3">
        <v>21.103706420053399</v>
      </c>
      <c r="H76" s="3">
        <v>19.458621183387699</v>
      </c>
      <c r="I76" s="3">
        <v>33.765213080339798</v>
      </c>
      <c r="J76" s="3">
        <v>25.8207481763028</v>
      </c>
      <c r="K76" s="3">
        <v>28.045515315156301</v>
      </c>
      <c r="L76" s="3">
        <v>26.1802342740013</v>
      </c>
      <c r="M76" s="3">
        <v>17.1515749497676</v>
      </c>
      <c r="N76" s="3">
        <v>22.557438163568001</v>
      </c>
    </row>
    <row r="77" spans="1:14" x14ac:dyDescent="0.35">
      <c r="A77" s="2">
        <v>44204</v>
      </c>
      <c r="B77" s="3">
        <v>39.176898036904703</v>
      </c>
      <c r="C77" s="3">
        <v>23.661944704661401</v>
      </c>
      <c r="D77" s="3">
        <v>21.440436860585201</v>
      </c>
      <c r="E77" s="3">
        <v>22.3778802773774</v>
      </c>
      <c r="F77" s="3">
        <v>24.032275175792801</v>
      </c>
      <c r="G77" s="3">
        <v>22.137803175260999</v>
      </c>
      <c r="H77" s="3">
        <v>20.665276794872302</v>
      </c>
      <c r="I77" s="3">
        <v>35.673700426984396</v>
      </c>
      <c r="J77" s="3">
        <v>27.767860015128601</v>
      </c>
      <c r="K77" s="3">
        <v>29.358707223859199</v>
      </c>
      <c r="L77" s="3">
        <v>27.9165974287837</v>
      </c>
      <c r="M77" s="3">
        <v>18.628405751276201</v>
      </c>
      <c r="N77" s="3">
        <v>23.822676990742501</v>
      </c>
    </row>
    <row r="78" spans="1:14" x14ac:dyDescent="0.35">
      <c r="A78" s="2">
        <v>44237</v>
      </c>
      <c r="B78" s="3">
        <v>35.626519153866198</v>
      </c>
      <c r="C78" s="3">
        <v>23.020093842176902</v>
      </c>
      <c r="D78" s="3">
        <v>21.5037971268607</v>
      </c>
      <c r="E78" s="3">
        <v>21.237897122528601</v>
      </c>
      <c r="F78" s="3">
        <v>23.826643469276199</v>
      </c>
      <c r="G78" s="3">
        <v>21.4066311193451</v>
      </c>
      <c r="H78" s="3">
        <v>19.381725416634399</v>
      </c>
      <c r="I78" s="3">
        <v>35.2200702877984</v>
      </c>
      <c r="J78" s="3">
        <v>27.2973058366244</v>
      </c>
      <c r="K78" s="3">
        <v>27.6145370408959</v>
      </c>
      <c r="L78" s="3">
        <v>28.685897463413902</v>
      </c>
      <c r="M78" s="3">
        <v>17.407567335907899</v>
      </c>
      <c r="N78" s="3">
        <v>21.4345609742454</v>
      </c>
    </row>
    <row r="79" spans="1:14" x14ac:dyDescent="0.35">
      <c r="A79" s="2">
        <v>44265</v>
      </c>
      <c r="B79" s="3">
        <v>34.369815944813702</v>
      </c>
      <c r="C79" s="3">
        <v>21.663507646003001</v>
      </c>
      <c r="D79" s="3">
        <v>19.966852868885201</v>
      </c>
      <c r="E79" s="3">
        <v>20.251546262435301</v>
      </c>
      <c r="F79" s="3">
        <v>21.558198240207201</v>
      </c>
      <c r="G79" s="3">
        <v>20.488227619463</v>
      </c>
      <c r="H79" s="3">
        <v>18.687850353020799</v>
      </c>
      <c r="I79" s="3">
        <v>32.692760097957802</v>
      </c>
      <c r="J79" s="3">
        <v>26.201590584334799</v>
      </c>
      <c r="K79" s="3">
        <v>26.866861031861099</v>
      </c>
      <c r="L79" s="3">
        <v>28.790799503672801</v>
      </c>
      <c r="M79" s="3">
        <v>17.840023042318101</v>
      </c>
      <c r="N79" s="3">
        <v>20.158062526780299</v>
      </c>
    </row>
    <row r="80" spans="1:14" x14ac:dyDescent="0.35">
      <c r="A80" s="2">
        <v>44295</v>
      </c>
      <c r="B80" s="3">
        <v>34.475465504244497</v>
      </c>
      <c r="C80" s="3">
        <v>21.312188186796501</v>
      </c>
      <c r="D80" s="3">
        <v>19.594220224069101</v>
      </c>
      <c r="E80" s="3">
        <v>19.9978889789909</v>
      </c>
      <c r="F80" s="3">
        <v>21.2109837965324</v>
      </c>
      <c r="G80" s="3">
        <v>20.629868606695702</v>
      </c>
      <c r="H80" s="3">
        <v>18.1145798667634</v>
      </c>
      <c r="I80" s="3">
        <v>32.885490622421898</v>
      </c>
      <c r="J80" s="3">
        <v>26.087148818631</v>
      </c>
      <c r="K80" s="3">
        <v>26.110520806756899</v>
      </c>
      <c r="L80" s="3">
        <v>28.563993736014499</v>
      </c>
      <c r="M80" s="3">
        <v>18.350123751526599</v>
      </c>
      <c r="N80" s="3">
        <v>19.5983226751671</v>
      </c>
    </row>
    <row r="81" spans="1:14" x14ac:dyDescent="0.35">
      <c r="A81" s="2">
        <v>44326</v>
      </c>
      <c r="B81" s="3">
        <v>34.930895390935397</v>
      </c>
      <c r="C81" s="3">
        <v>21.0307063494818</v>
      </c>
      <c r="D81" s="3">
        <v>19.186119648446098</v>
      </c>
      <c r="E81" s="3">
        <v>19.1875270447972</v>
      </c>
      <c r="F81" s="3">
        <v>20.739423305544499</v>
      </c>
      <c r="G81" s="3">
        <v>20.481798874858999</v>
      </c>
      <c r="H81" s="3">
        <v>17.5931936042386</v>
      </c>
      <c r="I81" s="3">
        <v>31.607391563232198</v>
      </c>
      <c r="J81" s="3">
        <v>25.398825473572099</v>
      </c>
      <c r="K81" s="3">
        <v>25.168256331996801</v>
      </c>
      <c r="L81" s="3">
        <v>27.571399607591001</v>
      </c>
      <c r="M81" s="3">
        <v>17.609570764029598</v>
      </c>
      <c r="N81" s="3">
        <v>18.917448315611999</v>
      </c>
    </row>
    <row r="82" spans="1:14" x14ac:dyDescent="0.35">
      <c r="A82" s="2">
        <v>44357</v>
      </c>
      <c r="B82" s="3">
        <v>35.306236309780502</v>
      </c>
      <c r="C82" s="3">
        <v>20.5957927509283</v>
      </c>
      <c r="D82" s="3">
        <v>18.722089505803801</v>
      </c>
      <c r="E82" s="3">
        <v>18.711946864582501</v>
      </c>
      <c r="F82" s="3">
        <v>20.142415327225098</v>
      </c>
      <c r="G82" s="3">
        <v>20.8612222934184</v>
      </c>
      <c r="H82" s="3">
        <v>16.934573452926902</v>
      </c>
      <c r="I82" s="3">
        <v>31.538431842989901</v>
      </c>
      <c r="J82" s="3">
        <v>24.993562862211601</v>
      </c>
      <c r="K82" s="3">
        <v>24.374569962001502</v>
      </c>
      <c r="L82" s="3">
        <v>26.965104706858501</v>
      </c>
      <c r="M82" s="3">
        <v>17.885998203690601</v>
      </c>
      <c r="N82" s="3">
        <v>18.537167138797798</v>
      </c>
    </row>
    <row r="83" spans="1:14" x14ac:dyDescent="0.35">
      <c r="A83" s="2">
        <v>44386</v>
      </c>
      <c r="B83" s="3">
        <v>36.422849505943297</v>
      </c>
      <c r="C83" s="3">
        <v>19.624520692894301</v>
      </c>
      <c r="D83" s="3">
        <v>18.358206252439398</v>
      </c>
      <c r="E83" s="3">
        <v>18.196791675884398</v>
      </c>
      <c r="F83" s="3">
        <v>19.4675766054029</v>
      </c>
      <c r="G83" s="3">
        <v>20.894420909583001</v>
      </c>
      <c r="H83" s="3">
        <v>16.183774158563999</v>
      </c>
      <c r="I83" s="3">
        <v>32.052181511459601</v>
      </c>
      <c r="J83" s="3">
        <v>24.877015283251701</v>
      </c>
      <c r="K83" s="3">
        <v>23.2889973460689</v>
      </c>
      <c r="L83" s="3">
        <v>26.364370449469</v>
      </c>
      <c r="M83" s="3">
        <v>18.130150858729799</v>
      </c>
      <c r="N83" s="3">
        <v>17.703134076901001</v>
      </c>
    </row>
    <row r="84" spans="1:14" x14ac:dyDescent="0.35">
      <c r="A84" s="2">
        <v>44418</v>
      </c>
      <c r="B84" s="3">
        <v>36.911919086779697</v>
      </c>
      <c r="C84" s="3">
        <v>19.293725900160801</v>
      </c>
      <c r="D84" s="3">
        <v>17.6542080703226</v>
      </c>
      <c r="E84" s="3">
        <v>17.352634903029902</v>
      </c>
      <c r="F84" s="3">
        <v>18.956632629647299</v>
      </c>
      <c r="G84" s="3">
        <v>21.080106723751399</v>
      </c>
      <c r="H84" s="3">
        <v>15.2634408291103</v>
      </c>
      <c r="I84" s="3">
        <v>31.274912011013299</v>
      </c>
      <c r="J84" s="3">
        <v>24.064834466958299</v>
      </c>
      <c r="K84" s="3">
        <v>21.999579069070599</v>
      </c>
      <c r="L84" s="3">
        <v>26.361668228541902</v>
      </c>
      <c r="M84" s="3">
        <v>17.600187079187702</v>
      </c>
      <c r="N84" s="3">
        <v>16.360778052124601</v>
      </c>
    </row>
    <row r="85" spans="1:14" x14ac:dyDescent="0.35">
      <c r="A85" s="2">
        <v>44449</v>
      </c>
      <c r="B85" s="3">
        <v>38.384254673903698</v>
      </c>
      <c r="C85" s="3">
        <v>18.7883007690196</v>
      </c>
      <c r="D85" s="3">
        <v>17.069186582347001</v>
      </c>
      <c r="E85" s="3">
        <v>16.620089408538</v>
      </c>
      <c r="F85" s="3">
        <v>18.820843207005399</v>
      </c>
      <c r="G85" s="3">
        <v>20.8101064904038</v>
      </c>
      <c r="H85" s="3">
        <v>14.403159123441</v>
      </c>
      <c r="I85" s="3">
        <v>31.449193121192302</v>
      </c>
      <c r="J85" s="3">
        <v>23.665969796354499</v>
      </c>
      <c r="K85" s="3">
        <v>20.691609494829301</v>
      </c>
      <c r="L85" s="3">
        <v>25.666575610446799</v>
      </c>
      <c r="M85" s="3">
        <v>17.4599766898171</v>
      </c>
      <c r="N85" s="3">
        <v>15.264180025746599</v>
      </c>
    </row>
    <row r="86" spans="1:14" x14ac:dyDescent="0.35">
      <c r="A86" s="2">
        <v>44477</v>
      </c>
      <c r="B86" s="3">
        <v>38.500822675363104</v>
      </c>
      <c r="C86" s="3">
        <v>18.551130241486799</v>
      </c>
      <c r="D86" s="3">
        <v>16.551693988252101</v>
      </c>
      <c r="E86" s="3">
        <v>15.863602050128801</v>
      </c>
      <c r="F86" s="3">
        <v>17.549993470031598</v>
      </c>
      <c r="G86" s="3">
        <v>20.202268733684502</v>
      </c>
      <c r="H86" s="3">
        <v>13.901978209324399</v>
      </c>
      <c r="I86" s="3">
        <v>30.463980973319401</v>
      </c>
      <c r="J86" s="3">
        <v>23.086392155854899</v>
      </c>
      <c r="K86" s="3">
        <v>19.280090551728598</v>
      </c>
      <c r="L86" s="3">
        <v>23.969884789487399</v>
      </c>
      <c r="M86" s="3">
        <v>16.8632438762756</v>
      </c>
      <c r="N86" s="3">
        <v>14.623570365909799</v>
      </c>
    </row>
    <row r="87" spans="1:14" x14ac:dyDescent="0.35">
      <c r="A87" s="2">
        <v>44510</v>
      </c>
      <c r="B87" s="3">
        <v>39.240718490271099</v>
      </c>
      <c r="C87" s="3">
        <v>18.4450228919933</v>
      </c>
      <c r="D87" s="3">
        <v>16.612641847533901</v>
      </c>
      <c r="E87" s="3">
        <v>15.433479093827399</v>
      </c>
      <c r="F87" s="3">
        <v>17.369894203273699</v>
      </c>
      <c r="G87" s="3">
        <v>20.9352085247045</v>
      </c>
      <c r="H87" s="3">
        <v>13.3694110492169</v>
      </c>
      <c r="I87" s="3">
        <v>31.5675539162829</v>
      </c>
      <c r="J87" s="3">
        <v>23.284748270987901</v>
      </c>
      <c r="K87" s="3">
        <v>18.7193021778942</v>
      </c>
      <c r="L87" s="3">
        <v>24.4228056653672</v>
      </c>
      <c r="M87" s="3">
        <v>16.677461461355499</v>
      </c>
      <c r="N87" s="3">
        <v>13.920071417349201</v>
      </c>
    </row>
    <row r="88" spans="1:14" x14ac:dyDescent="0.35">
      <c r="A88" s="2">
        <v>44540</v>
      </c>
      <c r="B88" s="3">
        <v>39.306031610021797</v>
      </c>
      <c r="C88" s="3">
        <v>17.8301644748902</v>
      </c>
      <c r="D88" s="3">
        <v>15.5837416242614</v>
      </c>
      <c r="E88" s="3">
        <v>14.382121099526</v>
      </c>
      <c r="F88" s="3">
        <v>16.408090716446999</v>
      </c>
      <c r="G88" s="3">
        <v>21.098797138186502</v>
      </c>
      <c r="H88" s="3">
        <v>12.516932068212</v>
      </c>
      <c r="I88" s="3">
        <v>31.891217819757799</v>
      </c>
      <c r="J88" s="3">
        <v>23.156430996853199</v>
      </c>
      <c r="K88" s="3">
        <v>17.5094176617845</v>
      </c>
      <c r="L88" s="3">
        <v>22.6955153336399</v>
      </c>
      <c r="M88" s="3">
        <v>16.5781978280861</v>
      </c>
      <c r="N88" s="3">
        <v>12.361884312128799</v>
      </c>
    </row>
    <row r="89" spans="1:14" x14ac:dyDescent="0.35">
      <c r="A89" s="2">
        <v>44571</v>
      </c>
      <c r="B89" s="3">
        <v>38.745989805274903</v>
      </c>
      <c r="C89" s="3">
        <v>17.799543584541802</v>
      </c>
      <c r="D89" s="3">
        <v>15.3485962922363</v>
      </c>
      <c r="E89" s="3">
        <v>13.971491015492401</v>
      </c>
      <c r="F89" s="3">
        <v>16.115695263396699</v>
      </c>
      <c r="G89" s="3">
        <v>20.872174085608101</v>
      </c>
      <c r="H89" s="3">
        <v>12.504633556776399</v>
      </c>
      <c r="I89" s="3">
        <v>30.409444181878101</v>
      </c>
      <c r="J89" s="3">
        <v>22.7033082154555</v>
      </c>
      <c r="K89" s="3">
        <v>17.010763014437099</v>
      </c>
      <c r="L89" s="3">
        <v>21.705278127906698</v>
      </c>
      <c r="M89" s="3">
        <v>16.286672048907501</v>
      </c>
      <c r="N89" s="3">
        <v>12.1212324280656</v>
      </c>
    </row>
    <row r="90" spans="1:14" x14ac:dyDescent="0.35">
      <c r="A90" s="2">
        <v>44602</v>
      </c>
      <c r="B90" s="3">
        <v>37.555145501245697</v>
      </c>
      <c r="C90" s="3">
        <v>16.334398437743399</v>
      </c>
      <c r="D90" s="3">
        <v>15.6952584639682</v>
      </c>
      <c r="E90" s="3">
        <v>13.5099659807709</v>
      </c>
      <c r="F90" s="3">
        <v>15.432439599772801</v>
      </c>
      <c r="G90" s="3">
        <v>18.7982396065152</v>
      </c>
      <c r="H90" s="3">
        <v>12.9056929746565</v>
      </c>
      <c r="I90" s="3">
        <v>27.777570990321902</v>
      </c>
      <c r="J90" s="3">
        <v>21.4759126301749</v>
      </c>
      <c r="K90" s="3">
        <v>16.3966601732299</v>
      </c>
      <c r="L90" s="3">
        <v>20.332600579891501</v>
      </c>
      <c r="M90" s="3">
        <v>12.4533906292859</v>
      </c>
      <c r="N90" s="3">
        <v>11.8712636325936</v>
      </c>
    </row>
    <row r="91" spans="1:14" x14ac:dyDescent="0.35">
      <c r="A91" s="2">
        <v>44630</v>
      </c>
      <c r="B91" s="3">
        <v>35.128908805433802</v>
      </c>
      <c r="C91" s="3">
        <v>15.704042110673701</v>
      </c>
      <c r="D91" s="3">
        <v>15.176332530601</v>
      </c>
      <c r="E91" s="3">
        <v>12.341318325468301</v>
      </c>
      <c r="F91" s="3">
        <v>14.568088734042201</v>
      </c>
      <c r="G91" s="3">
        <v>18.325861691005802</v>
      </c>
      <c r="H91" s="3">
        <v>12.391227913531701</v>
      </c>
      <c r="I91" s="3">
        <v>26.433013018736201</v>
      </c>
      <c r="J91" s="3">
        <v>20.562786915979601</v>
      </c>
      <c r="K91" s="3">
        <v>15.251013996452199</v>
      </c>
      <c r="L91" s="3">
        <v>18.1515621304194</v>
      </c>
      <c r="M91" s="3">
        <v>11.661497783982799</v>
      </c>
      <c r="N91" s="3">
        <v>10.485699828427199</v>
      </c>
    </row>
    <row r="92" spans="1:14" x14ac:dyDescent="0.35">
      <c r="A92" s="2">
        <v>44659</v>
      </c>
      <c r="B92" s="3">
        <v>34.611527227824602</v>
      </c>
      <c r="C92" s="3">
        <v>15.7042078463781</v>
      </c>
      <c r="D92" s="3">
        <v>15.0103600521514</v>
      </c>
      <c r="E92" s="3">
        <v>12.3990685325358</v>
      </c>
      <c r="F92" s="3">
        <v>14.485396262694</v>
      </c>
      <c r="G92" s="3">
        <v>18.700161705398301</v>
      </c>
      <c r="H92" s="3">
        <v>12.291485059726901</v>
      </c>
      <c r="I92" s="3">
        <v>26.572398628053801</v>
      </c>
      <c r="J92" s="3">
        <v>20.619708123282901</v>
      </c>
      <c r="K92" s="3">
        <v>15.108468566143401</v>
      </c>
      <c r="L92" s="3">
        <v>18.444287525938901</v>
      </c>
      <c r="M92" s="3">
        <v>12.1996974972683</v>
      </c>
      <c r="N92" s="3">
        <v>10.5389922310933</v>
      </c>
    </row>
    <row r="93" spans="1:14" x14ac:dyDescent="0.35">
      <c r="A93" s="2">
        <v>44691</v>
      </c>
      <c r="B93" s="3">
        <v>34.264429583105603</v>
      </c>
      <c r="C93" s="3">
        <v>15.077079535894001</v>
      </c>
      <c r="D93" s="3">
        <v>14.3040128306745</v>
      </c>
      <c r="E93" s="3">
        <v>11.9683411922673</v>
      </c>
      <c r="F93" s="3">
        <v>14.192583026893001</v>
      </c>
      <c r="G93" s="3">
        <v>18.132301697093599</v>
      </c>
      <c r="H93" s="3">
        <v>11.704768865169401</v>
      </c>
      <c r="I93" s="3">
        <v>25.365784428560001</v>
      </c>
      <c r="J93" s="3">
        <v>19.720002039470099</v>
      </c>
      <c r="K93" s="3">
        <v>14.4108598903162</v>
      </c>
      <c r="L93" s="3">
        <v>17.746306115016001</v>
      </c>
      <c r="M93" s="3">
        <v>12.9676400548861</v>
      </c>
      <c r="N93" s="3">
        <v>10.163624514811501</v>
      </c>
    </row>
    <row r="94" spans="1:14" x14ac:dyDescent="0.35">
      <c r="A94" s="2">
        <v>44722</v>
      </c>
      <c r="B94" s="3">
        <v>33.295324503754003</v>
      </c>
      <c r="C94" s="3">
        <v>14.6351382967239</v>
      </c>
      <c r="D94" s="3">
        <v>14.076152828962</v>
      </c>
      <c r="E94" s="3">
        <v>11.8684936581831</v>
      </c>
      <c r="F94" s="3">
        <v>14.224568447131301</v>
      </c>
      <c r="G94" s="3">
        <v>17.742327155282101</v>
      </c>
      <c r="H94" s="3">
        <v>11.477648735124101</v>
      </c>
      <c r="I94" s="3">
        <v>24.588492086927999</v>
      </c>
      <c r="J94" s="3">
        <v>19.192311794148701</v>
      </c>
      <c r="K94" s="3">
        <v>14.0425128583096</v>
      </c>
      <c r="L94" s="3">
        <v>18.294588909933399</v>
      </c>
      <c r="M94" s="3">
        <v>13.4548493770405</v>
      </c>
      <c r="N94" s="3">
        <v>9.6772776234804496</v>
      </c>
    </row>
    <row r="95" spans="1:14" x14ac:dyDescent="0.35">
      <c r="A95" s="2">
        <v>44750</v>
      </c>
      <c r="B95" s="3">
        <v>33.144143248208302</v>
      </c>
      <c r="C95" s="3">
        <v>14.118770624121099</v>
      </c>
      <c r="D95" s="3">
        <v>13.4333809043909</v>
      </c>
      <c r="E95" s="3">
        <v>11.458176541723599</v>
      </c>
      <c r="F95" s="3">
        <v>13.8634267769985</v>
      </c>
      <c r="G95" s="3">
        <v>17.7575105135131</v>
      </c>
      <c r="H95" s="3">
        <v>11.003552327917401</v>
      </c>
      <c r="I95" s="3">
        <v>24.6037718556525</v>
      </c>
      <c r="J95" s="3">
        <v>18.897011250498199</v>
      </c>
      <c r="K95" s="3">
        <v>13.4449540070302</v>
      </c>
      <c r="L95" s="3">
        <v>18.278289473176201</v>
      </c>
      <c r="M95" s="3">
        <v>13.857014127419101</v>
      </c>
      <c r="N95" s="3">
        <v>9.3262843503360706</v>
      </c>
    </row>
    <row r="96" spans="1:14" x14ac:dyDescent="0.35">
      <c r="A96" s="2">
        <v>44783</v>
      </c>
      <c r="B96" s="3">
        <v>33.4694404657929</v>
      </c>
      <c r="C96" s="3">
        <v>14.532403044469801</v>
      </c>
      <c r="D96" s="3">
        <v>13.300776014310699</v>
      </c>
      <c r="E96" s="3">
        <v>11.303093064187699</v>
      </c>
      <c r="F96" s="3">
        <v>13.8848143542087</v>
      </c>
      <c r="G96" s="3">
        <v>18.372254451623601</v>
      </c>
      <c r="H96" s="3">
        <v>10.9051263820014</v>
      </c>
      <c r="I96" s="3">
        <v>26.2181566935683</v>
      </c>
      <c r="J96" s="3">
        <v>19.524093500324199</v>
      </c>
      <c r="K96" s="3">
        <v>13.267089911007499</v>
      </c>
      <c r="L96" s="3">
        <v>19.664587137435898</v>
      </c>
      <c r="M96" s="3">
        <v>14.791601386858501</v>
      </c>
      <c r="N96" s="3">
        <v>8.8896662119812202</v>
      </c>
    </row>
    <row r="97" spans="1:14" x14ac:dyDescent="0.35">
      <c r="A97" s="2">
        <v>44813</v>
      </c>
      <c r="B97" s="3">
        <v>34.322327397458103</v>
      </c>
      <c r="C97" s="3">
        <v>14.135476826342099</v>
      </c>
      <c r="D97" s="3">
        <v>12.942067819513801</v>
      </c>
      <c r="E97" s="3">
        <v>10.886163343585499</v>
      </c>
      <c r="F97" s="3">
        <v>13.764446330715201</v>
      </c>
      <c r="G97" s="3">
        <v>17.9840443064741</v>
      </c>
      <c r="H97" s="3">
        <v>10.2635475121035</v>
      </c>
      <c r="I97" s="3">
        <v>25.0694818325439</v>
      </c>
      <c r="J97" s="3">
        <v>18.9155021398734</v>
      </c>
      <c r="K97" s="3">
        <v>12.5202092680167</v>
      </c>
      <c r="L97" s="3">
        <v>18.732643490024799</v>
      </c>
      <c r="M97" s="3">
        <v>14.754993837536601</v>
      </c>
      <c r="N97" s="3">
        <v>8.4789112696545406</v>
      </c>
    </row>
    <row r="98" spans="1:14" x14ac:dyDescent="0.35">
      <c r="A98" s="2">
        <v>44844</v>
      </c>
      <c r="B98" s="3">
        <v>31.3559800270843</v>
      </c>
      <c r="C98" s="3">
        <v>13.360660546191699</v>
      </c>
      <c r="D98" s="3">
        <v>12.137883425455099</v>
      </c>
      <c r="E98" s="3">
        <v>10.0654127640999</v>
      </c>
      <c r="F98" s="3">
        <v>13.2374895872141</v>
      </c>
      <c r="G98" s="3">
        <v>16.805160047266799</v>
      </c>
      <c r="H98" s="3">
        <v>9.4420824509754109</v>
      </c>
      <c r="I98" s="3">
        <v>22.526748172166101</v>
      </c>
      <c r="J98" s="3">
        <v>17.256350761629999</v>
      </c>
      <c r="K98" s="3">
        <v>11.4385268126701</v>
      </c>
      <c r="L98" s="3">
        <v>17.019808818322101</v>
      </c>
      <c r="M98" s="3">
        <v>14.419985801571</v>
      </c>
      <c r="N98" s="3">
        <v>7.96964348577756</v>
      </c>
    </row>
    <row r="99" spans="1:14" x14ac:dyDescent="0.35">
      <c r="A99" s="2">
        <v>44875</v>
      </c>
      <c r="B99" s="3">
        <v>30.896384988530901</v>
      </c>
      <c r="C99" s="3">
        <v>13.7864805201064</v>
      </c>
      <c r="D99" s="3">
        <v>12.6716415435481</v>
      </c>
      <c r="E99" s="3">
        <v>10.9427132468282</v>
      </c>
      <c r="F99" s="3">
        <v>13.2959369321125</v>
      </c>
      <c r="G99" s="3">
        <v>19.5365755362395</v>
      </c>
      <c r="H99" s="3">
        <v>9.7367753007234796</v>
      </c>
      <c r="I99" s="3">
        <v>23.588193014134401</v>
      </c>
      <c r="J99" s="3">
        <v>18.323341690470698</v>
      </c>
      <c r="K99" s="3">
        <v>12.149367546519899</v>
      </c>
      <c r="L99" s="3">
        <v>18.262024722044998</v>
      </c>
      <c r="M99" s="3">
        <v>14.1324393585979</v>
      </c>
      <c r="N99" s="3">
        <v>8.4567470732147303</v>
      </c>
    </row>
    <row r="100" spans="1:14" x14ac:dyDescent="0.35">
      <c r="A100" s="2">
        <v>44904</v>
      </c>
      <c r="B100" s="3">
        <v>29.533625598024202</v>
      </c>
      <c r="C100" s="3">
        <v>14.291287380187301</v>
      </c>
      <c r="D100" s="3">
        <v>12.562579062066799</v>
      </c>
      <c r="E100" s="3">
        <v>10.830433009428599</v>
      </c>
      <c r="F100" s="3">
        <v>13.374605207699</v>
      </c>
      <c r="G100" s="3">
        <v>20.350156298493999</v>
      </c>
      <c r="H100" s="3">
        <v>9.8859632696674709</v>
      </c>
      <c r="I100" s="3">
        <v>23.161152744658299</v>
      </c>
      <c r="J100" s="3">
        <v>17.993770837308102</v>
      </c>
      <c r="K100" s="3">
        <v>12.052945545239499</v>
      </c>
      <c r="L100" s="3">
        <v>18.601560982588602</v>
      </c>
      <c r="M100" s="3">
        <v>15.7272486297867</v>
      </c>
      <c r="N100" s="3">
        <v>7.7161479398413499</v>
      </c>
    </row>
    <row r="101" spans="1:14" x14ac:dyDescent="0.35">
      <c r="A101" s="2">
        <v>44936</v>
      </c>
      <c r="B101" s="3">
        <v>29.580609179926601</v>
      </c>
      <c r="C101" s="3">
        <v>14.0632412119178</v>
      </c>
      <c r="D101" s="3">
        <v>12.3690929246929</v>
      </c>
      <c r="E101" s="3">
        <v>11.1409201267487</v>
      </c>
      <c r="F101" s="3">
        <v>12.730976373580599</v>
      </c>
      <c r="G101" s="3">
        <v>20.980891209062701</v>
      </c>
      <c r="H101" s="3">
        <v>9.9511081493340896</v>
      </c>
      <c r="I101" s="3">
        <v>23.2362045679019</v>
      </c>
      <c r="J101" s="3">
        <v>17.787123481659599</v>
      </c>
      <c r="K101" s="3">
        <v>12.2216312276989</v>
      </c>
      <c r="L101" s="3">
        <v>19.052217563943501</v>
      </c>
      <c r="M101" s="3">
        <v>16.383504793673001</v>
      </c>
      <c r="N101" s="3">
        <v>7.8480364277938204</v>
      </c>
    </row>
    <row r="102" spans="1:14" x14ac:dyDescent="0.35">
      <c r="A102" s="2">
        <v>44967</v>
      </c>
      <c r="B102" s="3">
        <v>30.110523942970001</v>
      </c>
      <c r="C102" s="3">
        <v>14.660398601413499</v>
      </c>
      <c r="D102" s="3">
        <v>12.8700460311236</v>
      </c>
      <c r="E102" s="3">
        <v>11.552809884740199</v>
      </c>
      <c r="F102" s="3">
        <v>13.5554155690174</v>
      </c>
      <c r="G102" s="3">
        <v>21.1586703077434</v>
      </c>
      <c r="H102" s="3">
        <v>10.1159774436115</v>
      </c>
      <c r="I102" s="3">
        <v>25.638827013333099</v>
      </c>
      <c r="J102" s="3">
        <v>18.584098659755998</v>
      </c>
      <c r="K102" s="3">
        <v>12.6108939270433</v>
      </c>
      <c r="L102" s="3">
        <v>20.707762537319599</v>
      </c>
      <c r="M102" s="3">
        <v>25.909019594324299</v>
      </c>
      <c r="N102" s="3">
        <v>8.2605335123049404</v>
      </c>
    </row>
    <row r="103" spans="1:14" x14ac:dyDescent="0.35">
      <c r="A103" s="2">
        <v>44995</v>
      </c>
      <c r="B103" s="3">
        <v>29.281977562069599</v>
      </c>
      <c r="C103" s="3">
        <v>14.2048637400215</v>
      </c>
      <c r="D103" s="3">
        <v>12.5713877310329</v>
      </c>
      <c r="E103" s="3">
        <v>11.3525927837404</v>
      </c>
      <c r="F103" s="3">
        <v>13.6807165090179</v>
      </c>
      <c r="G103" s="3">
        <v>20.523771025583201</v>
      </c>
      <c r="H103" s="3">
        <v>10.231244065644001</v>
      </c>
      <c r="I103" s="3">
        <v>25.119968818637599</v>
      </c>
      <c r="J103" s="3">
        <v>17.953394671743599</v>
      </c>
      <c r="K103" s="3">
        <v>12.910421624746601</v>
      </c>
      <c r="L103" s="3">
        <v>20.492173846840299</v>
      </c>
      <c r="M103" s="3">
        <v>25.230322906889398</v>
      </c>
      <c r="N103" s="3">
        <v>8.2920659420718703</v>
      </c>
    </row>
    <row r="104" spans="1:14" x14ac:dyDescent="0.35">
      <c r="A104" s="2">
        <v>45026</v>
      </c>
      <c r="B104" s="3">
        <v>28.761756725489601</v>
      </c>
      <c r="C104" s="3">
        <v>14.2655138649059</v>
      </c>
      <c r="D104" s="3">
        <v>12.7003086644226</v>
      </c>
      <c r="E104" s="3">
        <v>11.3720208059723</v>
      </c>
      <c r="F104" s="3">
        <v>13.6048792999279</v>
      </c>
      <c r="G104" s="3">
        <v>20.3746926094991</v>
      </c>
      <c r="H104" s="3">
        <v>10.3158189352764</v>
      </c>
      <c r="I104" s="3">
        <v>25.634620080750199</v>
      </c>
      <c r="J104" s="3">
        <v>18.2470062020009</v>
      </c>
      <c r="K104" s="3">
        <v>13.029473885903</v>
      </c>
      <c r="L104" s="3">
        <v>20.174448386451701</v>
      </c>
      <c r="M104" s="3">
        <v>23.9689672954906</v>
      </c>
      <c r="N104" s="3">
        <v>8.3353732609363202</v>
      </c>
    </row>
    <row r="105" spans="1:14" x14ac:dyDescent="0.35">
      <c r="A105" s="2">
        <v>45056</v>
      </c>
      <c r="B105" s="3">
        <v>28.348462579351999</v>
      </c>
      <c r="C105" s="3">
        <v>14.3837675934217</v>
      </c>
      <c r="D105" s="3">
        <v>12.8403498427864</v>
      </c>
      <c r="E105" s="3">
        <v>11.354355425398801</v>
      </c>
      <c r="F105" s="3">
        <v>13.8326011587372</v>
      </c>
      <c r="G105" s="3">
        <v>20.194091720011301</v>
      </c>
      <c r="H105" s="3">
        <v>10.377837935934901</v>
      </c>
      <c r="I105" s="3">
        <v>25.742581906666601</v>
      </c>
      <c r="J105" s="3">
        <v>18.313160729858499</v>
      </c>
      <c r="K105" s="3">
        <v>13.1285215559449</v>
      </c>
      <c r="L105" s="3">
        <v>19.682686152686401</v>
      </c>
      <c r="M105" s="3">
        <v>22.821858718541499</v>
      </c>
      <c r="N105" s="3">
        <v>8.2905227342119403</v>
      </c>
    </row>
    <row r="106" spans="1:14" x14ac:dyDescent="0.35">
      <c r="A106" s="2">
        <v>45086</v>
      </c>
      <c r="B106" s="3">
        <v>26.476695648288</v>
      </c>
      <c r="C106" s="3">
        <v>14.382888054159199</v>
      </c>
      <c r="D106" s="3">
        <v>12.9014976550509</v>
      </c>
      <c r="E106" s="3">
        <v>11.232146150223</v>
      </c>
      <c r="F106" s="3">
        <v>14.3042003846586</v>
      </c>
      <c r="G106" s="3">
        <v>19.482153679856399</v>
      </c>
      <c r="H106" s="3">
        <v>10.3113009682728</v>
      </c>
      <c r="I106" s="3">
        <v>26.644519090543501</v>
      </c>
      <c r="J106" s="3">
        <v>18.664621269525298</v>
      </c>
      <c r="K106" s="3">
        <v>13.090008223965301</v>
      </c>
      <c r="L106" s="3">
        <v>19.330597866154299</v>
      </c>
      <c r="M106" s="3">
        <v>21.763340898304101</v>
      </c>
      <c r="N106" s="3">
        <v>8.4437226725269099</v>
      </c>
    </row>
    <row r="107" spans="1:14" x14ac:dyDescent="0.35">
      <c r="A107" s="2">
        <v>45117</v>
      </c>
      <c r="B107" s="3">
        <v>25.816993308794</v>
      </c>
      <c r="C107" s="3">
        <v>14.4215868297611</v>
      </c>
      <c r="D107" s="3">
        <v>12.986842709307799</v>
      </c>
      <c r="E107" s="3">
        <v>11.1153029141009</v>
      </c>
      <c r="F107" s="3">
        <v>14.4489801859969</v>
      </c>
      <c r="G107" s="3">
        <v>19.0052808982269</v>
      </c>
      <c r="H107" s="3">
        <v>10.2144636237062</v>
      </c>
      <c r="I107" s="3">
        <v>27.243070219956898</v>
      </c>
      <c r="J107" s="3">
        <v>19.126339269493101</v>
      </c>
      <c r="K107" s="3">
        <v>13.0802418608297</v>
      </c>
      <c r="L107" s="3">
        <v>19.003564706426602</v>
      </c>
      <c r="M107" s="3">
        <v>20.317052158702602</v>
      </c>
      <c r="N107" s="3">
        <v>8.5356052818861805</v>
      </c>
    </row>
    <row r="108" spans="1:14" x14ac:dyDescent="0.35">
      <c r="A108" s="2">
        <v>45148</v>
      </c>
      <c r="B108" s="3">
        <v>24.881599535723499</v>
      </c>
      <c r="C108" s="3">
        <v>15.0596690783062</v>
      </c>
      <c r="D108" s="3">
        <v>13.498984763254199</v>
      </c>
      <c r="E108" s="3">
        <v>11.289527125951899</v>
      </c>
      <c r="F108" s="3">
        <v>14.6675154877836</v>
      </c>
      <c r="G108" s="3">
        <v>19.035980498344301</v>
      </c>
      <c r="H108" s="3">
        <v>10.613099903572801</v>
      </c>
      <c r="I108" s="3">
        <v>26.4408822481324</v>
      </c>
      <c r="J108" s="3">
        <v>19.369057590891099</v>
      </c>
      <c r="K108" s="3">
        <v>13.442918861552901</v>
      </c>
      <c r="L108" s="3">
        <v>18.5242712965923</v>
      </c>
      <c r="M108" s="3">
        <v>19.088536479984899</v>
      </c>
      <c r="N108" s="3">
        <v>8.2959191486006905</v>
      </c>
    </row>
    <row r="109" spans="1:14" x14ac:dyDescent="0.35">
      <c r="A109" s="2">
        <v>45177</v>
      </c>
      <c r="B109" s="3">
        <v>24.2680256325974</v>
      </c>
      <c r="C109" s="3">
        <v>14.937382748300999</v>
      </c>
      <c r="D109" s="3">
        <v>13.4981964986573</v>
      </c>
      <c r="E109" s="3">
        <v>11.195134730879101</v>
      </c>
      <c r="F109" s="3">
        <v>14.902429087738801</v>
      </c>
      <c r="G109" s="3">
        <v>18.625915673489001</v>
      </c>
      <c r="H109" s="3">
        <v>10.491583466874401</v>
      </c>
      <c r="I109" s="3">
        <v>26.561565257632601</v>
      </c>
      <c r="J109" s="3">
        <v>19.449382274460699</v>
      </c>
      <c r="K109" s="3">
        <v>13.182964674504801</v>
      </c>
      <c r="L109" s="3">
        <v>17.436901984366699</v>
      </c>
      <c r="M109" s="3">
        <v>17.605959649652402</v>
      </c>
      <c r="N109" s="3">
        <v>8.3033220505129393</v>
      </c>
    </row>
    <row r="110" spans="1:14" x14ac:dyDescent="0.35">
      <c r="A110" s="2">
        <v>45209</v>
      </c>
      <c r="B110" s="3">
        <v>23.527358440473101</v>
      </c>
      <c r="C110" s="3">
        <v>14.7259231778248</v>
      </c>
      <c r="D110" s="3">
        <v>13.283710473839999</v>
      </c>
      <c r="E110" s="3">
        <v>11.078268907282499</v>
      </c>
      <c r="F110" s="3">
        <v>14.774103238949399</v>
      </c>
      <c r="G110" s="3">
        <v>18.436021066992399</v>
      </c>
      <c r="H110" s="3">
        <v>10.645440847674299</v>
      </c>
      <c r="I110" s="3">
        <v>26.550172493911202</v>
      </c>
      <c r="J110" s="3">
        <v>19.353214103506101</v>
      </c>
      <c r="K110" s="3">
        <v>13.018136920579799</v>
      </c>
      <c r="L110" s="3">
        <v>16.6558578573406</v>
      </c>
      <c r="M110" s="3">
        <v>16.4945356656416</v>
      </c>
      <c r="N110" s="3">
        <v>8.2396009870509896</v>
      </c>
    </row>
    <row r="111" spans="1:14" x14ac:dyDescent="0.35">
      <c r="A111" s="2">
        <v>45240</v>
      </c>
      <c r="B111" s="3">
        <v>22.682577152634199</v>
      </c>
      <c r="C111" s="3">
        <v>14.844325676166299</v>
      </c>
      <c r="D111" s="3">
        <v>13.408952037574201</v>
      </c>
      <c r="E111" s="3">
        <v>10.977035365185399</v>
      </c>
      <c r="F111" s="3">
        <v>14.999364275388899</v>
      </c>
      <c r="G111" s="3">
        <v>17.617186131734499</v>
      </c>
      <c r="H111" s="3">
        <v>10.395528235103299</v>
      </c>
      <c r="I111" s="3">
        <v>26.998868540107601</v>
      </c>
      <c r="J111" s="3">
        <v>19.738055598871799</v>
      </c>
      <c r="K111" s="3">
        <v>12.8753542695564</v>
      </c>
      <c r="L111" s="3">
        <v>16.1277450085766</v>
      </c>
      <c r="M111" s="3">
        <v>15.5916466989067</v>
      </c>
      <c r="N111" s="3">
        <v>8.1110625098612807</v>
      </c>
    </row>
    <row r="112" spans="1:14" x14ac:dyDescent="0.35">
      <c r="A112" s="2">
        <v>45268</v>
      </c>
      <c r="B112" s="3">
        <v>23.611131236270001</v>
      </c>
      <c r="C112" s="3">
        <v>15.3966710507424</v>
      </c>
      <c r="D112" s="3">
        <v>14.0322535262684</v>
      </c>
      <c r="E112" s="3">
        <v>11.923125378726899</v>
      </c>
      <c r="F112" s="3">
        <v>14.894668068447899</v>
      </c>
      <c r="G112" s="3">
        <v>18.212808391132601</v>
      </c>
      <c r="H112" s="3">
        <v>10.912592524393601</v>
      </c>
      <c r="I112" s="3">
        <v>27.910124692739</v>
      </c>
      <c r="J112" s="3">
        <v>20.6809849576596</v>
      </c>
      <c r="K112" s="3">
        <v>13.860498029436901</v>
      </c>
      <c r="L112" s="3">
        <v>16.623499926107801</v>
      </c>
      <c r="M112" s="3">
        <v>17.822670757758299</v>
      </c>
      <c r="N112" s="3">
        <v>8.7952628643848794</v>
      </c>
    </row>
    <row r="113" spans="1:25" x14ac:dyDescent="0.35">
      <c r="A113" s="2">
        <v>45301</v>
      </c>
      <c r="B113" s="3">
        <v>23.8934108487137</v>
      </c>
      <c r="C113" s="3">
        <v>16.196779101646801</v>
      </c>
      <c r="D113" s="3">
        <v>14.6427910859628</v>
      </c>
      <c r="E113" s="3">
        <v>11.8885656600897</v>
      </c>
      <c r="F113" s="3">
        <v>15.783793204417799</v>
      </c>
      <c r="G113" s="3">
        <v>18.470594344642201</v>
      </c>
      <c r="H113" s="3">
        <v>11.277665180716999</v>
      </c>
      <c r="I113" s="3">
        <v>29.0188104307035</v>
      </c>
      <c r="J113" s="3">
        <v>21.7710571109744</v>
      </c>
      <c r="K113" s="3">
        <v>13.869445532739</v>
      </c>
      <c r="L113" s="3">
        <v>16.277756606893501</v>
      </c>
      <c r="M113" s="3">
        <v>17.272958317959901</v>
      </c>
      <c r="N113" s="3">
        <v>8.9423970400155603</v>
      </c>
    </row>
    <row r="114" spans="1:25" x14ac:dyDescent="0.35">
      <c r="A114" s="2">
        <v>45331</v>
      </c>
      <c r="B114" s="3">
        <v>23.294243617573802</v>
      </c>
      <c r="C114" s="3">
        <v>16.506593375799302</v>
      </c>
      <c r="D114" s="3">
        <v>14.6630217271397</v>
      </c>
      <c r="E114" s="3">
        <v>12.0273123054048</v>
      </c>
      <c r="F114" s="3">
        <v>16.4645878200899</v>
      </c>
      <c r="G114" s="3">
        <v>18.6877126428436</v>
      </c>
      <c r="H114" s="3">
        <v>11.180291730052501</v>
      </c>
      <c r="I114" s="3">
        <v>30.4408647330281</v>
      </c>
      <c r="J114" s="3">
        <v>22.5949891129059</v>
      </c>
      <c r="K114" s="3">
        <v>14.6913277732063</v>
      </c>
      <c r="L114" s="3">
        <v>17.971896368377099</v>
      </c>
      <c r="M114" s="3">
        <v>15.0839530821309</v>
      </c>
      <c r="N114" s="3">
        <v>9.0846110574636008</v>
      </c>
    </row>
    <row r="115" spans="1:25" x14ac:dyDescent="0.35">
      <c r="A115" s="2">
        <v>45359</v>
      </c>
      <c r="B115" s="3">
        <v>23.796246964263201</v>
      </c>
      <c r="C115" s="3">
        <v>16.680758756970398</v>
      </c>
      <c r="D115" s="3">
        <v>14.945533949883201</v>
      </c>
      <c r="E115" s="3">
        <v>12.529621998841</v>
      </c>
      <c r="F115" s="3">
        <v>17.055118109703201</v>
      </c>
      <c r="G115" s="3">
        <v>19.2261238662099</v>
      </c>
      <c r="H115" s="3">
        <v>11.4612716438943</v>
      </c>
      <c r="I115" s="3">
        <v>30.222053997178499</v>
      </c>
      <c r="J115" s="3">
        <v>22.743042988976899</v>
      </c>
      <c r="K115" s="3">
        <v>15.503899333363201</v>
      </c>
      <c r="L115" s="3">
        <v>18.498033795573399</v>
      </c>
      <c r="M115" s="3">
        <v>15.866805331147701</v>
      </c>
      <c r="N115" s="3">
        <v>9.3863243412541593</v>
      </c>
    </row>
    <row r="116" spans="1:25" x14ac:dyDescent="0.35">
      <c r="A116" s="2">
        <v>45392</v>
      </c>
      <c r="B116" s="3">
        <v>24.135807498349099</v>
      </c>
      <c r="C116" s="3">
        <v>16.680597085378601</v>
      </c>
      <c r="D116" s="3">
        <v>15.0012569904677</v>
      </c>
      <c r="E116" s="3">
        <v>12.5546326740262</v>
      </c>
      <c r="F116" s="3">
        <v>16.9330525354871</v>
      </c>
      <c r="G116" s="3">
        <v>18.995163872518098</v>
      </c>
      <c r="H116" s="3">
        <v>11.545085761345099</v>
      </c>
      <c r="I116" s="3">
        <v>29.852340101373098</v>
      </c>
      <c r="J116" s="3">
        <v>22.601800629318401</v>
      </c>
      <c r="K116" s="3">
        <v>15.4340540880282</v>
      </c>
      <c r="L116" s="3">
        <v>18.3908095632694</v>
      </c>
      <c r="M116" s="3">
        <v>15.9316113548681</v>
      </c>
      <c r="N116" s="3">
        <v>9.4362755085500005</v>
      </c>
    </row>
    <row r="117" spans="1:25" x14ac:dyDescent="0.35">
      <c r="A117" s="2">
        <v>45422</v>
      </c>
      <c r="B117" s="3">
        <v>24.4741241620479</v>
      </c>
      <c r="C117" s="3">
        <v>16.677812343837299</v>
      </c>
      <c r="D117" s="3">
        <v>15.006623847710401</v>
      </c>
      <c r="E117" s="3">
        <v>12.622835564679299</v>
      </c>
      <c r="F117" s="3">
        <v>16.740478325613701</v>
      </c>
      <c r="G117" s="3">
        <v>18.8839493121671</v>
      </c>
      <c r="H117" s="3">
        <v>11.7589322781366</v>
      </c>
      <c r="I117" s="3">
        <v>29.624797557044499</v>
      </c>
      <c r="J117" s="3">
        <v>22.525500582140701</v>
      </c>
      <c r="K117" s="3">
        <v>15.533949747717299</v>
      </c>
      <c r="L117" s="3">
        <v>18.280058296497</v>
      </c>
      <c r="M117" s="3">
        <v>16.108731808758002</v>
      </c>
      <c r="N117" s="3">
        <v>9.5556381003954804</v>
      </c>
    </row>
    <row r="118" spans="1:25" x14ac:dyDescent="0.35">
      <c r="A118" s="2">
        <v>45453</v>
      </c>
      <c r="B118" s="3">
        <v>24.241576311215301</v>
      </c>
      <c r="C118" s="3">
        <v>16.846567641368001</v>
      </c>
      <c r="D118" s="3">
        <v>14.899692690931699</v>
      </c>
      <c r="E118" s="3">
        <v>12.536922115854701</v>
      </c>
      <c r="F118" s="3">
        <v>16.810770990875898</v>
      </c>
      <c r="G118" s="3">
        <v>18.9159056910181</v>
      </c>
      <c r="H118" s="3">
        <v>11.6826062907713</v>
      </c>
      <c r="I118" s="3">
        <v>29.799524554630398</v>
      </c>
      <c r="J118" s="3">
        <v>22.600325672992099</v>
      </c>
      <c r="K118" s="3">
        <v>15.2551507040647</v>
      </c>
      <c r="L118" s="3">
        <v>18.526934356526301</v>
      </c>
      <c r="M118" s="3">
        <v>16.068710046833001</v>
      </c>
      <c r="N118" s="3">
        <v>9.5876750801642103</v>
      </c>
    </row>
    <row r="119" spans="1:25" x14ac:dyDescent="0.35">
      <c r="A119" s="2">
        <v>45483</v>
      </c>
      <c r="B119" s="3">
        <v>24.630619430509501</v>
      </c>
      <c r="C119" s="3">
        <v>16.951154407336499</v>
      </c>
      <c r="D119" s="3">
        <v>14.981459396691299</v>
      </c>
      <c r="E119" s="3">
        <v>12.527049121392601</v>
      </c>
      <c r="F119" s="3">
        <v>17.104087614849799</v>
      </c>
      <c r="G119" s="3">
        <v>18.842501435596201</v>
      </c>
      <c r="H119" s="3">
        <v>11.7435068986545</v>
      </c>
      <c r="I119" s="3">
        <v>30.8324939572516</v>
      </c>
      <c r="J119" s="3">
        <v>23.1312514509513</v>
      </c>
      <c r="K119" s="3">
        <v>14.938496697932299</v>
      </c>
      <c r="L119" s="3">
        <v>18.533033683830901</v>
      </c>
      <c r="M119" s="3">
        <v>16.055048400805699</v>
      </c>
      <c r="N119" s="3">
        <v>9.6340779827008092</v>
      </c>
    </row>
    <row r="120" spans="1:25" x14ac:dyDescent="0.35">
      <c r="A120" s="2">
        <v>45513</v>
      </c>
      <c r="B120" s="3">
        <v>25.308515744899498</v>
      </c>
      <c r="C120" s="3">
        <v>16.9882288153171</v>
      </c>
      <c r="D120" s="3">
        <v>14.941346473918101</v>
      </c>
      <c r="E120" s="3">
        <v>12.3077672313687</v>
      </c>
      <c r="F120" s="3">
        <v>15.3810049731724</v>
      </c>
      <c r="G120" s="3">
        <v>18.571006712638699</v>
      </c>
      <c r="H120" s="3">
        <v>11.7849855616598</v>
      </c>
      <c r="I120" s="3">
        <v>29.368609562644099</v>
      </c>
      <c r="J120" s="3">
        <v>22.4801652560893</v>
      </c>
      <c r="K120" s="3">
        <v>14.675448602028601</v>
      </c>
      <c r="L120" s="3">
        <v>17.360563563717299</v>
      </c>
      <c r="M120" s="3">
        <v>16.030889088769701</v>
      </c>
      <c r="N120" s="3">
        <v>9.4630462403715505</v>
      </c>
    </row>
    <row r="121" spans="1:25" x14ac:dyDescent="0.35">
      <c r="A121" s="2">
        <v>45545</v>
      </c>
      <c r="B121" s="3">
        <v>24.333121359293202</v>
      </c>
      <c r="C121" s="3">
        <v>17.543713193838901</v>
      </c>
      <c r="D121" s="3">
        <v>15.3186264783085</v>
      </c>
      <c r="E121" s="3">
        <v>12.7639111167391</v>
      </c>
      <c r="F121" s="3">
        <v>15.4540894936661</v>
      </c>
      <c r="G121" s="3">
        <v>18.5776319996273</v>
      </c>
      <c r="H121" s="3">
        <v>11.949127421637799</v>
      </c>
      <c r="I121" s="3">
        <v>29.411339449204501</v>
      </c>
      <c r="J121" s="3">
        <v>22.801579008589499</v>
      </c>
      <c r="K121" s="3">
        <v>14.7499649251997</v>
      </c>
      <c r="L121" s="3">
        <v>17.179916594578</v>
      </c>
      <c r="M121" s="3">
        <v>16.6748527578312</v>
      </c>
      <c r="N121" s="3">
        <v>9.9461144294133792</v>
      </c>
    </row>
    <row r="122" spans="1:25" x14ac:dyDescent="0.35">
      <c r="A122" s="2">
        <v>45573</v>
      </c>
      <c r="B122" s="3">
        <v>24.6163469015004</v>
      </c>
      <c r="C122" s="3">
        <v>18.014389442778299</v>
      </c>
      <c r="D122" s="3">
        <v>16.059524851705799</v>
      </c>
      <c r="E122" s="3">
        <v>13.5627497044331</v>
      </c>
      <c r="F122" s="3">
        <v>15.9927810441859</v>
      </c>
      <c r="G122" s="3">
        <v>18.5695714220574</v>
      </c>
      <c r="H122" s="3">
        <v>12.1885794718096</v>
      </c>
      <c r="I122" s="3">
        <v>30.895492457803801</v>
      </c>
      <c r="J122" s="3">
        <v>23.757409007897401</v>
      </c>
      <c r="K122" s="3">
        <v>15.014570518903</v>
      </c>
      <c r="L122" s="3">
        <v>17.786096590219501</v>
      </c>
      <c r="M122" s="3">
        <v>17.521253590099899</v>
      </c>
      <c r="N122" s="3">
        <v>10.423732584268301</v>
      </c>
    </row>
    <row r="124" spans="1:25" x14ac:dyDescent="0.35">
      <c r="A124" s="2" t="s">
        <v>91</v>
      </c>
      <c r="B124" s="3" cm="1">
        <f t="array" ref="B124">MIN(_xlfn._xlws.FILTER(B1:B122, ISNUMBER(B1:B122)))</f>
        <v>17.8689048706871</v>
      </c>
      <c r="C124" s="3" cm="1">
        <f t="array" ref="C124">MIN(_xlfn._xlws.FILTER(C1:C122, ISNUMBER(C1:C122)))</f>
        <v>13.360660546191699</v>
      </c>
      <c r="D124" s="3" cm="1">
        <f t="array" ref="D124">MIN(_xlfn._xlws.FILTER(D1:D122, ISNUMBER(D1:D122)))</f>
        <v>12.137883425455099</v>
      </c>
      <c r="E124" s="3" cm="1">
        <f t="array" ref="E124">MIN(_xlfn._xlws.FILTER(E1:E122, ISNUMBER(E1:E122)))</f>
        <v>10.0654127640999</v>
      </c>
      <c r="F124" s="3" cm="1">
        <f t="array" ref="F124">MIN(_xlfn._xlws.FILTER(F1:F122, ISNUMBER(F1:F122)))</f>
        <v>11.7032811427156</v>
      </c>
      <c r="G124" s="3" cm="1">
        <f t="array" ref="G124">MIN(_xlfn._xlws.FILTER(G1:G122, ISNUMBER(G1:G122)))</f>
        <v>16.2005664573677</v>
      </c>
      <c r="H124" s="3" cm="1">
        <f t="array" ref="H124">MIN(_xlfn._xlws.FILTER(H1:H122, ISNUMBER(H1:H122)))</f>
        <v>9.4420824509754109</v>
      </c>
      <c r="I124" s="3" cm="1">
        <f t="array" ref="I124">MIN(_xlfn._xlws.FILTER(I1:I122, ISNUMBER(I1:I122)))</f>
        <v>17.377373604205999</v>
      </c>
      <c r="J124" s="3" cm="1">
        <f t="array" ref="J124">MIN(_xlfn._xlws.FILTER(J1:J122, ISNUMBER(J1:J122)))</f>
        <v>15.976446953628599</v>
      </c>
      <c r="K124" s="3" cm="1">
        <f t="array" ref="K124">MIN(_xlfn._xlws.FILTER(K1:K122, ISNUMBER(K1:K122)))</f>
        <v>11.4385268126701</v>
      </c>
      <c r="L124" s="3" cm="1">
        <f t="array" ref="L124">MIN(_xlfn._xlws.FILTER(L1:L122, ISNUMBER(L1:L122)))</f>
        <v>14.623281100682901</v>
      </c>
      <c r="M124" s="3" cm="1">
        <f t="array" ref="M124">MIN(_xlfn._xlws.FILTER(M1:M122, ISNUMBER(M1:M122)))</f>
        <v>11.661497783982799</v>
      </c>
      <c r="N124" s="3" cm="1">
        <f t="array" ref="N124">MIN(_xlfn._xlws.FILTER(N1:N122, ISNUMBER(N1:N122)))</f>
        <v>7.7161479398413499</v>
      </c>
    </row>
    <row r="125" spans="1:25" x14ac:dyDescent="0.35">
      <c r="A125" s="2" t="s">
        <v>92</v>
      </c>
      <c r="B125" s="3" cm="1">
        <f t="array" ref="B125">MAX(_xlfn._xlws.FILTER(B1:B122, ISNUMBER(B1:B122)))</f>
        <v>39.306031610021797</v>
      </c>
      <c r="C125" s="3" cm="1">
        <f t="array" ref="C125">MAX(_xlfn._xlws.FILTER(C1:C122, ISNUMBER(C1:C122)))</f>
        <v>23.661944704661401</v>
      </c>
      <c r="D125" s="3" cm="1">
        <f t="array" ref="D125">MAX(_xlfn._xlws.FILTER(D1:D122, ISNUMBER(D1:D122)))</f>
        <v>21.5037971268607</v>
      </c>
      <c r="E125" s="3" cm="1">
        <f t="array" ref="E125">MAX(_xlfn._xlws.FILTER(E1:E122, ISNUMBER(E1:E122)))</f>
        <v>22.3778802773774</v>
      </c>
      <c r="F125" s="3" cm="1">
        <f t="array" ref="F125">MAX(_xlfn._xlws.FILTER(F1:F122, ISNUMBER(F1:F122)))</f>
        <v>24.032275175792801</v>
      </c>
      <c r="G125" s="3" cm="1">
        <f t="array" ref="G125">MAX(_xlfn._xlws.FILTER(G1:G122, ISNUMBER(G1:G122)))</f>
        <v>22.137803175260999</v>
      </c>
      <c r="H125" s="3" cm="1">
        <f t="array" ref="H125">MAX(_xlfn._xlws.FILTER(H1:H122, ISNUMBER(H1:H122)))</f>
        <v>20.665276794872302</v>
      </c>
      <c r="I125" s="3" cm="1">
        <f t="array" ref="I125">MAX(_xlfn._xlws.FILTER(I1:I122, ISNUMBER(I1:I122)))</f>
        <v>35.673700426984396</v>
      </c>
      <c r="J125" s="3" cm="1">
        <f t="array" ref="J125">MAX(_xlfn._xlws.FILTER(J1:J122, ISNUMBER(J1:J122)))</f>
        <v>27.767860015128601</v>
      </c>
      <c r="K125" s="3" cm="1">
        <f t="array" ref="K125">MAX(_xlfn._xlws.FILTER(K1:K122, ISNUMBER(K1:K122)))</f>
        <v>29.358707223859199</v>
      </c>
      <c r="L125" s="3" cm="1">
        <f t="array" ref="L125">MAX(_xlfn._xlws.FILTER(L1:L122, ISNUMBER(L1:L122)))</f>
        <v>28.790799503672801</v>
      </c>
      <c r="M125" s="3" cm="1">
        <f t="array" ref="M125">MAX(_xlfn._xlws.FILTER(M1:M122, ISNUMBER(M1:M122)))</f>
        <v>25.909019594324299</v>
      </c>
      <c r="N125" s="3" cm="1">
        <f t="array" ref="N125">MAX(_xlfn._xlws.FILTER(N1:N122, ISNUMBER(N1:N122)))</f>
        <v>83.693688577698495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0.54900000000000004</v>
      </c>
      <c r="C127" s="9" cm="1">
        <f t="array" ref="C127">_xlfn.PERCENTRANK.EXC(_xlfn._xlws.FILTER(C1:C122, ISNUMBER(C1:C122)),C121)</f>
        <v>0.78600000000000003</v>
      </c>
      <c r="D127" s="9" cm="1">
        <f t="array" ref="D127">_xlfn.PERCENTRANK.EXC(_xlfn._xlws.FILTER(D1:D122, ISNUMBER(D1:D122)),D121)</f>
        <v>0.42599999999999999</v>
      </c>
      <c r="E127" s="9" cm="1">
        <f t="array" ref="E127">_xlfn.PERCENTRANK.EXC(_xlfn._xlws.FILTER(E1:E122, ISNUMBER(E1:E122)),E121)</f>
        <v>0.31900000000000001</v>
      </c>
      <c r="F127" s="9" cm="1">
        <f t="array" ref="F127">_xlfn.PERCENTRANK.EXC(_xlfn._xlws.FILTER(F1:F122, ISNUMBER(F1:F122)),F121)</f>
        <v>0.54900000000000004</v>
      </c>
      <c r="G127" s="9" cm="1">
        <f t="array" ref="G127">_xlfn.PERCENTRANK.EXC(_xlfn._xlws.FILTER(G1:G122, ISNUMBER(G1:G122)),G121)</f>
        <v>0.45900000000000002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0.79500000000000004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0.33600000000000002</v>
      </c>
      <c r="L127" s="9" cm="1">
        <f t="array" ref="L127">_xlfn.PERCENTRANK.EXC(_xlfn._xlws.FILTER(L1:L122, ISNUMBER(L1:L122)),L121)</f>
        <v>0.434</v>
      </c>
      <c r="M127" s="9" cm="1">
        <f t="array" ref="M127">_xlfn.PERCENTRANK.EXC(_xlfn._xlws.FILTER(M1:M122, ISNUMBER(M1:M122)),M121)</f>
        <v>0.45</v>
      </c>
      <c r="N127" s="9" cm="1">
        <f t="array" ref="N127">_xlfn.PERCENTRANK.EXC(_xlfn._xlws.FILTER(N1:N122, ISNUMBER(N1:N122)),N121)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41922</v>
      </c>
      <c r="B2" s="3" cm="1">
        <f t="array" ref="B2:B122">_xll.FDS(B1,"FMA_PE(NTMA,-10AY,0,AM,""PORTAGG"",""MEANR"")")</f>
        <v>17.079922742082999</v>
      </c>
      <c r="C2" s="3" cm="1">
        <f t="array" ref="C2:C122">_xll.FDS(C1,"FMA_PE(NTMA,-10AY,0,AM,""PORTAGG"",""MEANR"")")</f>
        <v>13.640520379406899</v>
      </c>
      <c r="D2" s="3" cm="1">
        <f t="array" ref="D2:D122">_xll.FDS(D1,"FMA_PE(NTMA,-10AY,0,AM,""PORTAGG"",""MEANR"")")</f>
        <v>13.756697344018299</v>
      </c>
      <c r="E2" s="3" cm="1">
        <f t="array" ref="E2:E122">_xll.FDS(E1,"FMA_PE(NTMA,-10AY,0,AM,""PORTAGG"",""MEANR"")")</f>
        <v>11.6096709554332</v>
      </c>
      <c r="F2" s="3" cm="1">
        <f t="array" ref="F2:F122">_xll.FDS(F1,"FMA_PE(NTMA,-10AY,0,AM,""PORTAGG"",""MEANR"")")</f>
        <v>13.1596564540028</v>
      </c>
      <c r="G2" s="3" cm="1">
        <f t="array" ref="G2:G122">_xll.FDS(G1,"FMA_PE(NTMA,-10AY,0,AM,""PORTAGG"",""MEANR"")")</f>
        <v>15.1180215919904</v>
      </c>
      <c r="H2" s="3" cm="1">
        <f t="array" ref="H2:H122">_xll.FDS(H1,"FMA_PE(NTMA,-10AY,0,AM,""PORTAGG"",""MEANR"")")</f>
        <v>12.506996740650401</v>
      </c>
      <c r="I2" s="3" cm="1">
        <f t="array" ref="I2:I122">_xll.FDS(I1,"FMA_PE(NTMA,-10AY,0,AM,""PORTAGG"",""MEANR"")")</f>
        <v>16.590143960872499</v>
      </c>
      <c r="J2" s="3" cm="1">
        <f t="array" ref="J2:J122">_xll.FDS(J1,"FMA_PE(NTMA,-10AY,0,AM,""PORTAGG"",""MEANR"")")</f>
        <v>14.5264828399597</v>
      </c>
      <c r="K2" s="3" cm="1">
        <f t="array" ref="K2:K122">_xll.FDS(K1,"FMA_PE(NTMA,-10AY,0,AM,""PORTAGG"",""MEANR"")")</f>
        <v>12.6193460181865</v>
      </c>
      <c r="L2" s="3" cm="1">
        <f t="array" ref="L2:L122">_xll.FDS(L1,"FMA_PE(NTMA,-10AY,0,AM,""PORTAGG"",""MEANR"")")</f>
        <v>13.8188359071062</v>
      </c>
      <c r="M2" s="3" cm="1">
        <f t="array" ref="M2:M122">_xll.FDS(M1,"FMA_PE(NTMA,-10AY,0,AM,""PORTAGG"",""MEANR"")")</f>
        <v>13.574358497269699</v>
      </c>
      <c r="N2" s="3" cm="1">
        <f t="array" ref="N2:N122">_xll.FDS(N1,"FMA_PE(NTMA,-10AY,0,AM,""PORTAGG"",""MEANR"")")</f>
        <v>12.515040725635499</v>
      </c>
    </row>
    <row r="3" spans="1:14" x14ac:dyDescent="0.35">
      <c r="A3" s="2">
        <v>41953</v>
      </c>
      <c r="B3" s="3">
        <v>17.928446364959601</v>
      </c>
      <c r="C3" s="3">
        <v>14.529828862178</v>
      </c>
      <c r="D3" s="3">
        <v>14.4961538297778</v>
      </c>
      <c r="E3" s="3">
        <v>12.3322228696792</v>
      </c>
      <c r="F3" s="3">
        <v>14.234850194278099</v>
      </c>
      <c r="G3" s="3">
        <v>15.9654544075771</v>
      </c>
      <c r="H3" s="3">
        <v>13.368234402472901</v>
      </c>
      <c r="I3" s="3">
        <v>17.754263481896899</v>
      </c>
      <c r="J3" s="3">
        <v>15.621277868037501</v>
      </c>
      <c r="K3" s="3">
        <v>13.216633395956499</v>
      </c>
      <c r="L3" s="3">
        <v>14.7544838435385</v>
      </c>
      <c r="M3" s="3">
        <v>15.332660937465899</v>
      </c>
      <c r="N3" s="3">
        <v>12.6206693180333</v>
      </c>
    </row>
    <row r="4" spans="1:14" x14ac:dyDescent="0.35">
      <c r="A4" s="2">
        <v>41983</v>
      </c>
      <c r="B4" s="3">
        <v>18.013107100136999</v>
      </c>
      <c r="C4" s="3">
        <v>13.892511094901201</v>
      </c>
      <c r="D4" s="3">
        <v>14.163553278652</v>
      </c>
      <c r="E4" s="3">
        <v>12.8673341128946</v>
      </c>
      <c r="F4" s="3">
        <v>14.3515045209307</v>
      </c>
      <c r="G4" s="3">
        <v>15.833010972269699</v>
      </c>
      <c r="H4" s="3">
        <v>13.5265707874392</v>
      </c>
      <c r="I4" s="3">
        <v>17.715711845900799</v>
      </c>
      <c r="J4" s="3">
        <v>15.6155042719028</v>
      </c>
      <c r="K4" s="3">
        <v>13.5382044072804</v>
      </c>
      <c r="L4" s="3">
        <v>14.8499034450886</v>
      </c>
      <c r="M4" s="3">
        <v>15.5825459920662</v>
      </c>
      <c r="N4" s="3">
        <v>12.5740286976033</v>
      </c>
    </row>
    <row r="5" spans="1:14" x14ac:dyDescent="0.35">
      <c r="A5" s="2">
        <v>42013</v>
      </c>
      <c r="B5" s="3">
        <v>18.425153265231799</v>
      </c>
      <c r="C5" s="3">
        <v>14.7910246106693</v>
      </c>
      <c r="D5" s="3">
        <v>15.314983069742899</v>
      </c>
      <c r="E5" s="3">
        <v>12.6855910791261</v>
      </c>
      <c r="F5" s="3">
        <v>13.922453698624601</v>
      </c>
      <c r="G5" s="3">
        <v>15.756515836934099</v>
      </c>
      <c r="H5" s="3">
        <v>13.6574947514962</v>
      </c>
      <c r="I5" s="3">
        <v>17.305556239870899</v>
      </c>
      <c r="J5" s="3">
        <v>16.0157856576161</v>
      </c>
      <c r="K5" s="3">
        <v>13.5183553642329</v>
      </c>
      <c r="L5" s="3">
        <v>14.594353983902</v>
      </c>
      <c r="M5" s="3">
        <v>15.4187242794354</v>
      </c>
      <c r="N5" s="3">
        <v>11.756665961575999</v>
      </c>
    </row>
    <row r="6" spans="1:14" x14ac:dyDescent="0.35">
      <c r="A6" s="2">
        <v>42045</v>
      </c>
      <c r="B6" s="3">
        <v>19.0743101823589</v>
      </c>
      <c r="C6" s="3">
        <v>15.867825201696601</v>
      </c>
      <c r="D6" s="3">
        <v>17.166829667056099</v>
      </c>
      <c r="E6" s="3">
        <v>14.0119793969656</v>
      </c>
      <c r="F6" s="3">
        <v>14.175953170116699</v>
      </c>
      <c r="G6" s="3">
        <v>16.847544328673699</v>
      </c>
      <c r="H6" s="3">
        <v>15.369060161781601</v>
      </c>
      <c r="I6" s="3">
        <v>17.461849088561198</v>
      </c>
      <c r="J6" s="3">
        <v>16.624776031564299</v>
      </c>
      <c r="K6" s="3">
        <v>15.5966709330333</v>
      </c>
      <c r="L6" s="3">
        <v>15.6636961879629</v>
      </c>
      <c r="M6" s="3">
        <v>16.415050064650298</v>
      </c>
      <c r="N6" s="3">
        <v>14.2153473112465</v>
      </c>
    </row>
    <row r="7" spans="1:14" x14ac:dyDescent="0.35">
      <c r="A7" s="2">
        <v>42073</v>
      </c>
      <c r="B7" s="3">
        <v>19.193307857561202</v>
      </c>
      <c r="C7" s="3">
        <v>15.9332707117885</v>
      </c>
      <c r="D7" s="3">
        <v>16.795298066412698</v>
      </c>
      <c r="E7" s="3">
        <v>14.915238063416099</v>
      </c>
      <c r="F7" s="3">
        <v>15.0907442056912</v>
      </c>
      <c r="G7" s="3">
        <v>17.284157458601999</v>
      </c>
      <c r="H7" s="3">
        <v>15.139320997514201</v>
      </c>
      <c r="I7" s="3">
        <v>17.561623401845601</v>
      </c>
      <c r="J7" s="3">
        <v>16.3764422177725</v>
      </c>
      <c r="K7" s="3">
        <v>16.069305169090701</v>
      </c>
      <c r="L7" s="3">
        <v>17.136316220442001</v>
      </c>
      <c r="M7" s="3">
        <v>16.846342975519899</v>
      </c>
      <c r="N7" s="3">
        <v>15.339468296973999</v>
      </c>
    </row>
    <row r="8" spans="1:14" x14ac:dyDescent="0.35">
      <c r="A8" s="2">
        <v>42104</v>
      </c>
      <c r="B8" s="3">
        <v>18.401874526003201</v>
      </c>
      <c r="C8" s="3">
        <v>16.583015198882499</v>
      </c>
      <c r="D8" s="3">
        <v>17.3889493103798</v>
      </c>
      <c r="E8" s="3">
        <v>15.90603691566</v>
      </c>
      <c r="F8" s="3">
        <v>15.6172877626872</v>
      </c>
      <c r="G8" s="3">
        <v>18.287365841318898</v>
      </c>
      <c r="H8" s="3">
        <v>16.080304276995498</v>
      </c>
      <c r="I8" s="3">
        <v>17.9983431695291</v>
      </c>
      <c r="J8" s="3">
        <v>16.750617980344799</v>
      </c>
      <c r="K8" s="3">
        <v>17.1212684363433</v>
      </c>
      <c r="L8" s="3">
        <v>17.799055538552899</v>
      </c>
      <c r="M8" s="3">
        <v>17.103165084414901</v>
      </c>
      <c r="N8" s="3">
        <v>16.238930682903199</v>
      </c>
    </row>
    <row r="9" spans="1:14" x14ac:dyDescent="0.35">
      <c r="A9" s="2">
        <v>42132</v>
      </c>
      <c r="B9" s="3">
        <v>18.2364671207994</v>
      </c>
      <c r="C9" s="3">
        <v>15.7971097554148</v>
      </c>
      <c r="D9" s="3">
        <v>17.177121370916101</v>
      </c>
      <c r="E9" s="3">
        <v>14.6688245783557</v>
      </c>
      <c r="F9" s="3">
        <v>15.665552122572301</v>
      </c>
      <c r="G9" s="3">
        <v>17.601124707802299</v>
      </c>
      <c r="H9" s="3">
        <v>16.239988922650799</v>
      </c>
      <c r="I9" s="3">
        <v>17.921216253968801</v>
      </c>
      <c r="J9" s="3">
        <v>16.7257895760468</v>
      </c>
      <c r="K9" s="3">
        <v>16.459880883637801</v>
      </c>
      <c r="L9" s="3">
        <v>16.960746563994402</v>
      </c>
      <c r="M9" s="3">
        <v>15.7315857377599</v>
      </c>
      <c r="N9" s="3">
        <v>15.9223150080423</v>
      </c>
    </row>
    <row r="10" spans="1:14" x14ac:dyDescent="0.35">
      <c r="A10" s="2">
        <v>42165</v>
      </c>
      <c r="B10" s="3">
        <v>18.103782307655599</v>
      </c>
      <c r="C10" s="3">
        <v>15.1096914407228</v>
      </c>
      <c r="D10" s="3">
        <v>16.382749116326899</v>
      </c>
      <c r="E10" s="3">
        <v>13.821590935266901</v>
      </c>
      <c r="F10" s="3">
        <v>15.711134698638901</v>
      </c>
      <c r="G10" s="3">
        <v>17.4507240567984</v>
      </c>
      <c r="H10" s="3">
        <v>15.7210204279185</v>
      </c>
      <c r="I10" s="3">
        <v>17.893977291657801</v>
      </c>
      <c r="J10" s="3">
        <v>16.487184985312499</v>
      </c>
      <c r="K10" s="3">
        <v>15.841425547705599</v>
      </c>
      <c r="L10" s="3">
        <v>16.495838302108002</v>
      </c>
      <c r="M10" s="3">
        <v>16.048494008362301</v>
      </c>
      <c r="N10" s="3">
        <v>15.3733418065792</v>
      </c>
    </row>
    <row r="11" spans="1:14" x14ac:dyDescent="0.35">
      <c r="A11" s="2">
        <v>42195</v>
      </c>
      <c r="B11" s="3">
        <v>17.805612125920199</v>
      </c>
      <c r="C11" s="3">
        <v>15.1095200696876</v>
      </c>
      <c r="D11" s="3">
        <v>15.650755207904499</v>
      </c>
      <c r="E11" s="3">
        <v>13.7483321944471</v>
      </c>
      <c r="F11" s="3">
        <v>14.9094105664143</v>
      </c>
      <c r="G11" s="3">
        <v>17.3141890608346</v>
      </c>
      <c r="H11" s="3">
        <v>15.2118083680274</v>
      </c>
      <c r="I11" s="3">
        <v>17.511051871763001</v>
      </c>
      <c r="J11" s="3">
        <v>16.184584271081899</v>
      </c>
      <c r="K11" s="3">
        <v>15.502702290150401</v>
      </c>
      <c r="L11" s="3">
        <v>16.449163423840901</v>
      </c>
      <c r="M11" s="3">
        <v>15.902158617015299</v>
      </c>
      <c r="N11" s="3">
        <v>14.977426109166201</v>
      </c>
    </row>
    <row r="12" spans="1:14" x14ac:dyDescent="0.35">
      <c r="A12" s="2">
        <v>42226</v>
      </c>
      <c r="B12" s="3">
        <v>18.196800166979301</v>
      </c>
      <c r="C12" s="3">
        <v>15.2705616668897</v>
      </c>
      <c r="D12" s="3">
        <v>15.6626179360086</v>
      </c>
      <c r="E12" s="3">
        <v>14.0351103746554</v>
      </c>
      <c r="F12" s="3">
        <v>15.730282267877101</v>
      </c>
      <c r="G12" s="3">
        <v>17.667659082985502</v>
      </c>
      <c r="H12" s="3">
        <v>15.5322420518789</v>
      </c>
      <c r="I12" s="3">
        <v>18.531701896656799</v>
      </c>
      <c r="J12" s="3">
        <v>16.421660883876701</v>
      </c>
      <c r="K12" s="3">
        <v>15.9928722431893</v>
      </c>
      <c r="L12" s="3">
        <v>16.8304262913014</v>
      </c>
      <c r="M12" s="3">
        <v>16.361250291043099</v>
      </c>
      <c r="N12" s="3">
        <v>15.7992185551422</v>
      </c>
    </row>
    <row r="13" spans="1:14" x14ac:dyDescent="0.35">
      <c r="A13" s="2">
        <v>42257</v>
      </c>
      <c r="B13" s="3">
        <v>17.392107424714901</v>
      </c>
      <c r="C13" s="3">
        <v>14.3888205600947</v>
      </c>
      <c r="D13" s="3">
        <v>14.718856053790599</v>
      </c>
      <c r="E13" s="3">
        <v>12.384070116873101</v>
      </c>
      <c r="F13" s="3">
        <v>13.671158756332799</v>
      </c>
      <c r="G13" s="3">
        <v>16.459485393650699</v>
      </c>
      <c r="H13" s="3">
        <v>14.4025204648939</v>
      </c>
      <c r="I13" s="3">
        <v>17.3173277196674</v>
      </c>
      <c r="J13" s="3">
        <v>15.212202474446199</v>
      </c>
      <c r="K13" s="3">
        <v>14.2469040618953</v>
      </c>
      <c r="L13" s="3">
        <v>14.761673797220899</v>
      </c>
      <c r="M13" s="3">
        <v>14.8600467358236</v>
      </c>
      <c r="N13" s="3">
        <v>14.428303296297999</v>
      </c>
    </row>
    <row r="14" spans="1:14" x14ac:dyDescent="0.35">
      <c r="A14" s="2">
        <v>42286</v>
      </c>
      <c r="B14" s="3">
        <v>17.031612061579601</v>
      </c>
      <c r="C14" s="3">
        <v>15.1554685743865</v>
      </c>
      <c r="D14" s="3">
        <v>15.217111641436301</v>
      </c>
      <c r="E14" s="3">
        <v>12.411436294847601</v>
      </c>
      <c r="F14" s="3">
        <v>14.0086136298185</v>
      </c>
      <c r="G14" s="3">
        <v>16.514842923924299</v>
      </c>
      <c r="H14" s="3">
        <v>15.3093024904814</v>
      </c>
      <c r="I14" s="3">
        <v>17.575455015094299</v>
      </c>
      <c r="J14" s="3">
        <v>15.7512636421626</v>
      </c>
      <c r="K14" s="3">
        <v>14.6264557862971</v>
      </c>
      <c r="L14" s="3">
        <v>14.864067789783499</v>
      </c>
      <c r="M14" s="3">
        <v>15.076400971001901</v>
      </c>
      <c r="N14" s="3">
        <v>14.597173581211599</v>
      </c>
    </row>
    <row r="15" spans="1:14" x14ac:dyDescent="0.35">
      <c r="A15" s="2">
        <v>42318</v>
      </c>
      <c r="B15" s="3">
        <v>18.0015323600065</v>
      </c>
      <c r="C15" s="3">
        <v>14.6490035125322</v>
      </c>
      <c r="D15" s="3">
        <v>14.679467190036901</v>
      </c>
      <c r="E15" s="3">
        <v>13.392284650072501</v>
      </c>
      <c r="F15" s="3">
        <v>14.6770749080851</v>
      </c>
      <c r="G15" s="3">
        <v>16.826002351017198</v>
      </c>
      <c r="H15" s="3">
        <v>15.130505272704401</v>
      </c>
      <c r="I15" s="3">
        <v>18.606200633366601</v>
      </c>
      <c r="J15" s="3">
        <v>16.318375613955801</v>
      </c>
      <c r="K15" s="3">
        <v>15.2179089584933</v>
      </c>
      <c r="L15" s="3">
        <v>16.1335899046002</v>
      </c>
      <c r="M15" s="3">
        <v>15.4091374432706</v>
      </c>
      <c r="N15" s="3">
        <v>14.8362245018059</v>
      </c>
    </row>
    <row r="16" spans="1:14" x14ac:dyDescent="0.35">
      <c r="A16" s="2">
        <v>42348</v>
      </c>
      <c r="B16" s="3">
        <v>17.956539428386399</v>
      </c>
      <c r="C16" s="3">
        <v>14.722225291983699</v>
      </c>
      <c r="D16" s="3">
        <v>14.129378443248701</v>
      </c>
      <c r="E16" s="3">
        <v>13.219128300382399</v>
      </c>
      <c r="F16" s="3">
        <v>14.1073430395091</v>
      </c>
      <c r="G16" s="3">
        <v>16.593917686391599</v>
      </c>
      <c r="H16" s="3">
        <v>14.7860678665746</v>
      </c>
      <c r="I16" s="3">
        <v>18.5253809263405</v>
      </c>
      <c r="J16" s="3">
        <v>16.0241529691063</v>
      </c>
      <c r="K16" s="3">
        <v>14.515425557679199</v>
      </c>
      <c r="L16" s="3">
        <v>15.466705309079799</v>
      </c>
      <c r="M16" s="3">
        <v>14.7910334882814</v>
      </c>
      <c r="N16" s="3">
        <v>14.108721556386</v>
      </c>
    </row>
    <row r="17" spans="1:14" x14ac:dyDescent="0.35">
      <c r="A17" s="2">
        <v>42377</v>
      </c>
      <c r="B17" s="3">
        <v>17.749291676186999</v>
      </c>
      <c r="C17" s="3">
        <v>14.753741765573899</v>
      </c>
      <c r="D17" s="3">
        <v>13.528280155171499</v>
      </c>
      <c r="E17" s="3">
        <v>12.240955778597799</v>
      </c>
      <c r="F17" s="3">
        <v>13.098367993885599</v>
      </c>
      <c r="G17" s="3">
        <v>15.858096841445599</v>
      </c>
      <c r="H17" s="3">
        <v>14.478192346495</v>
      </c>
      <c r="I17" s="3">
        <v>17.1676831615518</v>
      </c>
      <c r="J17" s="3">
        <v>15.077533232166401</v>
      </c>
      <c r="K17" s="3">
        <v>13.6482204024616</v>
      </c>
      <c r="L17" s="3">
        <v>14.4164634935421</v>
      </c>
      <c r="M17" s="3">
        <v>13.9946447295889</v>
      </c>
      <c r="N17" s="3">
        <v>13.4042798846598</v>
      </c>
    </row>
    <row r="18" spans="1:14" x14ac:dyDescent="0.35">
      <c r="A18" s="2">
        <v>42410</v>
      </c>
      <c r="B18" s="3">
        <v>16.984373896537701</v>
      </c>
      <c r="C18" s="3">
        <v>14.634864082599</v>
      </c>
      <c r="D18" s="3">
        <v>13.869335485446801</v>
      </c>
      <c r="E18" s="3">
        <v>11.4376041952361</v>
      </c>
      <c r="F18" s="3">
        <v>11.615854824757299</v>
      </c>
      <c r="G18" s="3">
        <v>15.7721098463917</v>
      </c>
      <c r="H18" s="3">
        <v>14.7119954605602</v>
      </c>
      <c r="I18" s="3">
        <v>16.036064303294999</v>
      </c>
      <c r="J18" s="3">
        <v>15.5099438140132</v>
      </c>
      <c r="K18" s="3">
        <v>13.2362338680317</v>
      </c>
      <c r="L18" s="3">
        <v>13.7834993392188</v>
      </c>
      <c r="M18" s="3">
        <v>14.315726379112499</v>
      </c>
      <c r="N18" s="3">
        <v>12.018196678288801</v>
      </c>
    </row>
    <row r="19" spans="1:14" x14ac:dyDescent="0.35">
      <c r="A19" s="2">
        <v>42439</v>
      </c>
      <c r="B19" s="3">
        <v>18.144249335252301</v>
      </c>
      <c r="C19" s="3">
        <v>16.038638099370399</v>
      </c>
      <c r="D19" s="3">
        <v>15.5426313059011</v>
      </c>
      <c r="E19" s="3">
        <v>12.119397721723599</v>
      </c>
      <c r="F19" s="3">
        <v>12.878626294387701</v>
      </c>
      <c r="G19" s="3">
        <v>16.434190595759201</v>
      </c>
      <c r="H19" s="3">
        <v>15.685658567719001</v>
      </c>
      <c r="I19" s="3">
        <v>17.149488237100702</v>
      </c>
      <c r="J19" s="3">
        <v>15.516736353630501</v>
      </c>
      <c r="K19" s="3">
        <v>14.2201390360053</v>
      </c>
      <c r="L19" s="3">
        <v>14.934653877717601</v>
      </c>
      <c r="M19" s="3">
        <v>15.307622548251</v>
      </c>
      <c r="N19" s="3">
        <v>13.095796339995699</v>
      </c>
    </row>
    <row r="20" spans="1:14" x14ac:dyDescent="0.35">
      <c r="A20" s="2">
        <v>42468</v>
      </c>
      <c r="B20" s="3">
        <v>18.472357561866499</v>
      </c>
      <c r="C20" s="3">
        <v>15.180061713093</v>
      </c>
      <c r="D20" s="3">
        <v>15.835296957804101</v>
      </c>
      <c r="E20" s="3">
        <v>12.284624464216501</v>
      </c>
      <c r="F20" s="3">
        <v>12.255984700133601</v>
      </c>
      <c r="G20" s="3">
        <v>16.485325492876601</v>
      </c>
      <c r="H20" s="3">
        <v>16.076821939008202</v>
      </c>
      <c r="I20" s="3">
        <v>17.814134775206799</v>
      </c>
      <c r="J20" s="3">
        <v>16.500463546018398</v>
      </c>
      <c r="K20" s="3">
        <v>14.096531939656201</v>
      </c>
      <c r="L20" s="3">
        <v>14.9467300116203</v>
      </c>
      <c r="M20" s="3">
        <v>15.050502804990201</v>
      </c>
      <c r="N20" s="3">
        <v>12.681319758079299</v>
      </c>
    </row>
    <row r="21" spans="1:14" x14ac:dyDescent="0.35">
      <c r="A21" s="2">
        <v>42500</v>
      </c>
      <c r="B21" s="3">
        <v>19.161030066408198</v>
      </c>
      <c r="C21" s="3">
        <v>16.504811534084599</v>
      </c>
      <c r="D21" s="3">
        <v>16.331903112237899</v>
      </c>
      <c r="E21" s="3">
        <v>12.614360605848001</v>
      </c>
      <c r="F21" s="3">
        <v>12.9012524133861</v>
      </c>
      <c r="G21" s="3">
        <v>16.668174000818599</v>
      </c>
      <c r="H21" s="3">
        <v>15.779932212715099</v>
      </c>
      <c r="I21" s="3">
        <v>17.695142133475098</v>
      </c>
      <c r="J21" s="3">
        <v>16.522677016730398</v>
      </c>
      <c r="K21" s="3">
        <v>14.216433812874699</v>
      </c>
      <c r="L21" s="3">
        <v>14.873805829601</v>
      </c>
      <c r="M21" s="3">
        <v>14.979998042748599</v>
      </c>
      <c r="N21" s="3">
        <v>13.2900939188617</v>
      </c>
    </row>
    <row r="22" spans="1:14" x14ac:dyDescent="0.35">
      <c r="A22" s="2">
        <v>42531</v>
      </c>
      <c r="B22" s="3">
        <v>19.325858525158701</v>
      </c>
      <c r="C22" s="3">
        <v>16.2466950378194</v>
      </c>
      <c r="D22" s="3">
        <v>16.5638660182303</v>
      </c>
      <c r="E22" s="3">
        <v>12.1514418532897</v>
      </c>
      <c r="F22" s="3">
        <v>13.3577855484663</v>
      </c>
      <c r="G22" s="3">
        <v>16.665406035274199</v>
      </c>
      <c r="H22" s="3">
        <v>15.456618916031999</v>
      </c>
      <c r="I22" s="3">
        <v>17.724918026053398</v>
      </c>
      <c r="J22" s="3">
        <v>16.533254702551702</v>
      </c>
      <c r="K22" s="3">
        <v>13.891646825214901</v>
      </c>
      <c r="L22" s="3">
        <v>14.525945561051101</v>
      </c>
      <c r="M22" s="3">
        <v>14.415651769368001</v>
      </c>
      <c r="N22" s="3">
        <v>12.490673351837501</v>
      </c>
    </row>
    <row r="23" spans="1:14" x14ac:dyDescent="0.35">
      <c r="A23" s="2">
        <v>42559</v>
      </c>
      <c r="B23" s="3">
        <v>19.2810162965941</v>
      </c>
      <c r="C23" s="3">
        <v>15.8447968025185</v>
      </c>
      <c r="D23" s="3">
        <v>16.402909488600599</v>
      </c>
      <c r="E23" s="3">
        <v>11.903944811721701</v>
      </c>
      <c r="F23" s="3">
        <v>12.316557999241301</v>
      </c>
      <c r="G23" s="3">
        <v>16.707304082633001</v>
      </c>
      <c r="H23" s="3">
        <v>15.8228981691241</v>
      </c>
      <c r="I23" s="3">
        <v>18.070721201476498</v>
      </c>
      <c r="J23" s="3">
        <v>16.743505668113201</v>
      </c>
      <c r="K23" s="3">
        <v>13.443369205430299</v>
      </c>
      <c r="L23" s="3">
        <v>14.0942057163934</v>
      </c>
      <c r="M23" s="3">
        <v>14.555124475278999</v>
      </c>
      <c r="N23" s="3">
        <v>11.7116234840266</v>
      </c>
    </row>
    <row r="24" spans="1:14" x14ac:dyDescent="0.35">
      <c r="A24" s="2">
        <v>42592</v>
      </c>
      <c r="B24" s="3">
        <v>20.300834724518602</v>
      </c>
      <c r="C24" s="3">
        <v>16.820578775767299</v>
      </c>
      <c r="D24" s="3">
        <v>16.5680291866617</v>
      </c>
      <c r="E24" s="3">
        <v>13.0817964837037</v>
      </c>
      <c r="F24" s="3">
        <v>13.360205047257701</v>
      </c>
      <c r="G24" s="3">
        <v>17.423527966129001</v>
      </c>
      <c r="H24" s="3">
        <v>16.277628047952302</v>
      </c>
      <c r="I24" s="3">
        <v>18.774346412028599</v>
      </c>
      <c r="J24" s="3">
        <v>16.937579570472401</v>
      </c>
      <c r="K24" s="3">
        <v>14.071011193418</v>
      </c>
      <c r="L24" s="3">
        <v>14.852722884216</v>
      </c>
      <c r="M24" s="3">
        <v>15.4638654511279</v>
      </c>
      <c r="N24" s="3">
        <v>12.670226314359301</v>
      </c>
    </row>
    <row r="25" spans="1:14" x14ac:dyDescent="0.35">
      <c r="A25" s="2">
        <v>42622</v>
      </c>
      <c r="B25" s="3">
        <v>20.985895910256001</v>
      </c>
      <c r="C25" s="3">
        <v>16.067738212727701</v>
      </c>
      <c r="D25" s="3">
        <v>16.105541077750001</v>
      </c>
      <c r="E25" s="3">
        <v>12.982670768163301</v>
      </c>
      <c r="F25" s="3">
        <v>13.623194582680799</v>
      </c>
      <c r="G25" s="3">
        <v>17.3492168529548</v>
      </c>
      <c r="H25" s="3">
        <v>15.786246641616801</v>
      </c>
      <c r="I25" s="3">
        <v>18.090205728453199</v>
      </c>
      <c r="J25" s="3">
        <v>16.443516067558999</v>
      </c>
      <c r="K25" s="3">
        <v>14.081852774977699</v>
      </c>
      <c r="L25" s="3">
        <v>14.874296463428299</v>
      </c>
      <c r="M25" s="3">
        <v>15.4947158805012</v>
      </c>
      <c r="N25" s="3">
        <v>12.4798024463263</v>
      </c>
    </row>
    <row r="26" spans="1:14" x14ac:dyDescent="0.35">
      <c r="A26" s="2">
        <v>42653</v>
      </c>
      <c r="B26" s="3">
        <v>19.5096399391348</v>
      </c>
      <c r="C26" s="3">
        <v>16.350818662060298</v>
      </c>
      <c r="D26" s="3">
        <v>15.9399348352821</v>
      </c>
      <c r="E26" s="3">
        <v>12.9825574645606</v>
      </c>
      <c r="F26" s="3">
        <v>13.5033881848967</v>
      </c>
      <c r="G26" s="3">
        <v>17.047017892499099</v>
      </c>
      <c r="H26" s="3">
        <v>15.670529202380701</v>
      </c>
      <c r="I26" s="3">
        <v>18.667457270170999</v>
      </c>
      <c r="J26" s="3">
        <v>16.586262030479201</v>
      </c>
      <c r="K26" s="3">
        <v>13.927538209328899</v>
      </c>
      <c r="L26" s="3">
        <v>14.9000339434388</v>
      </c>
      <c r="M26" s="3">
        <v>16.048167480458901</v>
      </c>
      <c r="N26" s="3">
        <v>11.863551885082799</v>
      </c>
    </row>
    <row r="27" spans="1:14" x14ac:dyDescent="0.35">
      <c r="A27" s="2">
        <v>42684</v>
      </c>
      <c r="B27" s="3">
        <v>18.264994340144</v>
      </c>
      <c r="C27" s="3">
        <v>15.7552767289479</v>
      </c>
      <c r="D27" s="3">
        <v>15.8670374170439</v>
      </c>
      <c r="E27" s="3">
        <v>12.776257625874999</v>
      </c>
      <c r="F27" s="3">
        <v>13.6532610901625</v>
      </c>
      <c r="G27" s="3">
        <v>16.569103274066201</v>
      </c>
      <c r="H27" s="3">
        <v>14.562351804271101</v>
      </c>
      <c r="I27" s="3">
        <v>17.948140127503802</v>
      </c>
      <c r="J27" s="3">
        <v>16.555580462325299</v>
      </c>
      <c r="K27" s="3">
        <v>13.8074160488588</v>
      </c>
      <c r="L27" s="3">
        <v>14.506540177089001</v>
      </c>
      <c r="M27" s="3">
        <v>16.0902197827882</v>
      </c>
      <c r="N27" s="3">
        <v>11.9012482434409</v>
      </c>
    </row>
    <row r="28" spans="1:14" x14ac:dyDescent="0.35">
      <c r="A28" s="2">
        <v>42713</v>
      </c>
      <c r="B28" s="3">
        <v>18.596965123911499</v>
      </c>
      <c r="C28" s="3">
        <v>15.902515362013</v>
      </c>
      <c r="D28" s="3">
        <v>15.996948232407901</v>
      </c>
      <c r="E28" s="3">
        <v>13.3932021891696</v>
      </c>
      <c r="F28" s="3">
        <v>14.988333420923301</v>
      </c>
      <c r="G28" s="3">
        <v>16.6379478574713</v>
      </c>
      <c r="H28" s="3">
        <v>14.4597164461922</v>
      </c>
      <c r="I28" s="3">
        <v>18.283669809778001</v>
      </c>
      <c r="J28" s="3">
        <v>17.081772933173902</v>
      </c>
      <c r="K28" s="3">
        <v>14.396355790909899</v>
      </c>
      <c r="L28" s="3">
        <v>14.7895848907391</v>
      </c>
      <c r="M28" s="3">
        <v>16.650737117459801</v>
      </c>
      <c r="N28" s="3">
        <v>12.8113917756079</v>
      </c>
    </row>
    <row r="29" spans="1:14" x14ac:dyDescent="0.35">
      <c r="A29" s="2">
        <v>42745</v>
      </c>
      <c r="B29" s="3">
        <v>18.915569289066099</v>
      </c>
      <c r="C29" s="3">
        <v>16.034667678876499</v>
      </c>
      <c r="D29" s="3">
        <v>15.858563549602</v>
      </c>
      <c r="E29" s="3">
        <v>13.7269771511453</v>
      </c>
      <c r="F29" s="3">
        <v>14.7820907026508</v>
      </c>
      <c r="G29" s="3">
        <v>17.206509119977099</v>
      </c>
      <c r="H29" s="3">
        <v>14.4474256147103</v>
      </c>
      <c r="I29" s="3">
        <v>18.625242175815998</v>
      </c>
      <c r="J29" s="3">
        <v>16.9697942058087</v>
      </c>
      <c r="K29" s="3">
        <v>14.606852108756</v>
      </c>
      <c r="L29" s="3">
        <v>14.995643939793601</v>
      </c>
      <c r="M29" s="3">
        <v>16.377602433832099</v>
      </c>
      <c r="N29" s="3">
        <v>13.458497236042399</v>
      </c>
    </row>
    <row r="30" spans="1:14" x14ac:dyDescent="0.35">
      <c r="A30" s="2">
        <v>42776</v>
      </c>
      <c r="B30" s="3">
        <v>19.171644371050999</v>
      </c>
      <c r="C30" s="3">
        <v>15.8687074156165</v>
      </c>
      <c r="D30" s="3">
        <v>16.237924967249501</v>
      </c>
      <c r="E30" s="3">
        <v>13.629762368562099</v>
      </c>
      <c r="F30" s="3">
        <v>14.4869528859572</v>
      </c>
      <c r="G30" s="3">
        <v>17.380002483009498</v>
      </c>
      <c r="H30" s="3">
        <v>14.5121104342617</v>
      </c>
      <c r="I30" s="3">
        <v>19.752540610370499</v>
      </c>
      <c r="J30" s="3">
        <v>17.357313516161799</v>
      </c>
      <c r="K30" s="3">
        <v>14.2086830911331</v>
      </c>
      <c r="L30" s="3">
        <v>15.2732373653177</v>
      </c>
      <c r="M30" s="3">
        <v>16.053573845926401</v>
      </c>
      <c r="N30" s="3">
        <v>13.0473965591938</v>
      </c>
    </row>
    <row r="31" spans="1:14" x14ac:dyDescent="0.35">
      <c r="A31" s="2">
        <v>42804</v>
      </c>
      <c r="B31" s="3">
        <v>18.956193852494899</v>
      </c>
      <c r="C31" s="3">
        <v>15.8277049015119</v>
      </c>
      <c r="D31" s="3">
        <v>15.9114596927576</v>
      </c>
      <c r="E31" s="3">
        <v>13.8574938465021</v>
      </c>
      <c r="F31" s="3">
        <v>14.403819184986</v>
      </c>
      <c r="G31" s="3">
        <v>17.639037454638501</v>
      </c>
      <c r="H31" s="3">
        <v>14.341533303434099</v>
      </c>
      <c r="I31" s="3">
        <v>20.128858016644099</v>
      </c>
      <c r="J31" s="3">
        <v>17.6868555093764</v>
      </c>
      <c r="K31" s="3">
        <v>14.520479109223601</v>
      </c>
      <c r="L31" s="3">
        <v>16.065830795563301</v>
      </c>
      <c r="M31" s="3">
        <v>16.852744495405901</v>
      </c>
      <c r="N31" s="3">
        <v>13.286304268017901</v>
      </c>
    </row>
    <row r="32" spans="1:14" x14ac:dyDescent="0.35">
      <c r="A32" s="2">
        <v>42835</v>
      </c>
      <c r="B32" s="3">
        <v>19.1779182884055</v>
      </c>
      <c r="C32" s="3">
        <v>15.866708872289999</v>
      </c>
      <c r="D32" s="3">
        <v>15.9971221015344</v>
      </c>
      <c r="E32" s="3">
        <v>13.9147520356091</v>
      </c>
      <c r="F32" s="3">
        <v>13.627201789266801</v>
      </c>
      <c r="G32" s="3">
        <v>17.282573703132801</v>
      </c>
      <c r="H32" s="3">
        <v>14.4291196560243</v>
      </c>
      <c r="I32" s="3">
        <v>20.031206992466199</v>
      </c>
      <c r="J32" s="3">
        <v>17.413391459907501</v>
      </c>
      <c r="K32" s="3">
        <v>14.827429102753699</v>
      </c>
      <c r="L32" s="3">
        <v>16.086549004261698</v>
      </c>
      <c r="M32" s="3">
        <v>16.977437460841301</v>
      </c>
      <c r="N32" s="3">
        <v>13.2603834923378</v>
      </c>
    </row>
    <row r="33" spans="1:14" x14ac:dyDescent="0.35">
      <c r="A33" s="2">
        <v>42865</v>
      </c>
      <c r="B33" s="3">
        <v>19.605987802063499</v>
      </c>
      <c r="C33" s="3">
        <v>15.716290358411401</v>
      </c>
      <c r="D33" s="3">
        <v>15.7027537348644</v>
      </c>
      <c r="E33" s="3">
        <v>14.1207003881358</v>
      </c>
      <c r="F33" s="3">
        <v>14.3133403420407</v>
      </c>
      <c r="G33" s="3">
        <v>18.0259516534311</v>
      </c>
      <c r="H33" s="3">
        <v>14.617032251356701</v>
      </c>
      <c r="I33" s="3">
        <v>20.7036815632882</v>
      </c>
      <c r="J33" s="3">
        <v>17.4991173197885</v>
      </c>
      <c r="K33" s="3">
        <v>15.4420951533017</v>
      </c>
      <c r="L33" s="3">
        <v>16.566385689956999</v>
      </c>
      <c r="M33" s="3">
        <v>17.1978219189896</v>
      </c>
      <c r="N33" s="3">
        <v>13.8730257202493</v>
      </c>
    </row>
    <row r="34" spans="1:14" x14ac:dyDescent="0.35">
      <c r="A34" s="2">
        <v>42895</v>
      </c>
      <c r="B34" s="3">
        <v>19.341945265785199</v>
      </c>
      <c r="C34" s="3">
        <v>15.1595002902089</v>
      </c>
      <c r="D34" s="3">
        <v>15.526547027327499</v>
      </c>
      <c r="E34" s="3">
        <v>13.8798517892156</v>
      </c>
      <c r="F34" s="3">
        <v>14.354416422436</v>
      </c>
      <c r="G34" s="3">
        <v>17.85127543502</v>
      </c>
      <c r="H34" s="3">
        <v>14.7216397543999</v>
      </c>
      <c r="I34" s="3">
        <v>20.640936077665199</v>
      </c>
      <c r="J34" s="3">
        <v>17.589292207425601</v>
      </c>
      <c r="K34" s="3">
        <v>15.0857833266054</v>
      </c>
      <c r="L34" s="3">
        <v>16.3278039027341</v>
      </c>
      <c r="M34" s="3">
        <v>16.912913838454202</v>
      </c>
      <c r="N34" s="3">
        <v>13.3966175320939</v>
      </c>
    </row>
    <row r="35" spans="1:14" x14ac:dyDescent="0.35">
      <c r="A35" s="2">
        <v>42926</v>
      </c>
      <c r="B35" s="3">
        <v>19.342157604971501</v>
      </c>
      <c r="C35" s="3">
        <v>15.4125797310084</v>
      </c>
      <c r="D35" s="3">
        <v>15.205574330827501</v>
      </c>
      <c r="E35" s="3">
        <v>13.418971980843599</v>
      </c>
      <c r="F35" s="3">
        <v>14.2478179376808</v>
      </c>
      <c r="G35" s="3">
        <v>17.7311509741055</v>
      </c>
      <c r="H35" s="3">
        <v>14.4585460696683</v>
      </c>
      <c r="I35" s="3">
        <v>20.156272947028199</v>
      </c>
      <c r="J35" s="3">
        <v>17.405434416765502</v>
      </c>
      <c r="K35" s="3">
        <v>14.6671903610003</v>
      </c>
      <c r="L35" s="3">
        <v>15.7730200369603</v>
      </c>
      <c r="M35" s="3">
        <v>16.622624650548399</v>
      </c>
      <c r="N35" s="3">
        <v>13.3365664558014</v>
      </c>
    </row>
    <row r="36" spans="1:14" x14ac:dyDescent="0.35">
      <c r="A36" s="2">
        <v>42957</v>
      </c>
      <c r="B36" s="3">
        <v>19.976157618325999</v>
      </c>
      <c r="C36" s="3">
        <v>15.7335522429332</v>
      </c>
      <c r="D36" s="3">
        <v>15.4971021786761</v>
      </c>
      <c r="E36" s="3">
        <v>12.9212402320784</v>
      </c>
      <c r="F36" s="3">
        <v>14.0537503239473</v>
      </c>
      <c r="G36" s="3">
        <v>17.551210137586299</v>
      </c>
      <c r="H36" s="3">
        <v>14.601927735414201</v>
      </c>
      <c r="I36" s="3">
        <v>20.234944771451399</v>
      </c>
      <c r="J36" s="3">
        <v>17.3585222613669</v>
      </c>
      <c r="K36" s="3">
        <v>14.5266539053119</v>
      </c>
      <c r="L36" s="3">
        <v>15.869803863132301</v>
      </c>
      <c r="M36" s="3">
        <v>15.9093125938891</v>
      </c>
      <c r="N36" s="3">
        <v>13.3510423507991</v>
      </c>
    </row>
    <row r="37" spans="1:14" x14ac:dyDescent="0.35">
      <c r="A37" s="2">
        <v>42986</v>
      </c>
      <c r="B37" s="3">
        <v>19.9748460346356</v>
      </c>
      <c r="C37" s="3">
        <v>15.487210136675801</v>
      </c>
      <c r="D37" s="3">
        <v>15.1299249058398</v>
      </c>
      <c r="E37" s="3">
        <v>13.149949273910501</v>
      </c>
      <c r="F37" s="3">
        <v>13.425356357914399</v>
      </c>
      <c r="G37" s="3">
        <v>17.500427006168799</v>
      </c>
      <c r="H37" s="3">
        <v>14.576596596832299</v>
      </c>
      <c r="I37" s="3">
        <v>20.382589583215299</v>
      </c>
      <c r="J37" s="3">
        <v>17.391376730096699</v>
      </c>
      <c r="K37" s="3">
        <v>14.593854631830901</v>
      </c>
      <c r="L37" s="3">
        <v>15.6713702265961</v>
      </c>
      <c r="M37" s="3">
        <v>15.9137116015378</v>
      </c>
      <c r="N37" s="3">
        <v>13.2217932020195</v>
      </c>
    </row>
    <row r="38" spans="1:14" x14ac:dyDescent="0.35">
      <c r="A38" s="2">
        <v>43018</v>
      </c>
      <c r="B38" s="3">
        <v>19.9670588424685</v>
      </c>
      <c r="C38" s="3">
        <v>15.502649264964599</v>
      </c>
      <c r="D38" s="3">
        <v>15.8466197926337</v>
      </c>
      <c r="E38" s="3">
        <v>13.772724991349399</v>
      </c>
      <c r="F38" s="3">
        <v>14.0863461659261</v>
      </c>
      <c r="G38" s="3">
        <v>17.9120637695898</v>
      </c>
      <c r="H38" s="3">
        <v>14.6916617327664</v>
      </c>
      <c r="I38" s="3">
        <v>20.5715336803528</v>
      </c>
      <c r="J38" s="3">
        <v>17.904978845127602</v>
      </c>
      <c r="K38" s="3">
        <v>15.181976625911</v>
      </c>
      <c r="L38" s="3">
        <v>16.116139969363299</v>
      </c>
      <c r="M38" s="3">
        <v>16.730859221909601</v>
      </c>
      <c r="N38" s="3">
        <v>13.525779941818101</v>
      </c>
    </row>
    <row r="39" spans="1:14" x14ac:dyDescent="0.35">
      <c r="A39" s="2">
        <v>43049</v>
      </c>
      <c r="B39" s="3">
        <v>20.025792988519999</v>
      </c>
      <c r="C39" s="3">
        <v>16.131743422553001</v>
      </c>
      <c r="D39" s="3">
        <v>15.9309487680888</v>
      </c>
      <c r="E39" s="3">
        <v>13.971175985629101</v>
      </c>
      <c r="F39" s="3">
        <v>14.8770236369231</v>
      </c>
      <c r="G39" s="3">
        <v>17.613219778274701</v>
      </c>
      <c r="H39" s="3">
        <v>14.370770244548201</v>
      </c>
      <c r="I39" s="3">
        <v>20.873642674146399</v>
      </c>
      <c r="J39" s="3">
        <v>17.915816601730398</v>
      </c>
      <c r="K39" s="3">
        <v>15.0117688428659</v>
      </c>
      <c r="L39" s="3">
        <v>16.1161194546651</v>
      </c>
      <c r="M39" s="3">
        <v>16.899718848763602</v>
      </c>
      <c r="N39" s="3">
        <v>13.446000596365799</v>
      </c>
    </row>
    <row r="40" spans="1:14" x14ac:dyDescent="0.35">
      <c r="A40" s="2">
        <v>43077</v>
      </c>
      <c r="B40" s="3">
        <v>20.514714450084199</v>
      </c>
      <c r="C40" s="3">
        <v>15.826554093487299</v>
      </c>
      <c r="D40" s="3">
        <v>15.9796193354354</v>
      </c>
      <c r="E40" s="3">
        <v>14.0260587045394</v>
      </c>
      <c r="F40" s="3">
        <v>14.692099383678499</v>
      </c>
      <c r="G40" s="3">
        <v>17.5932464331134</v>
      </c>
      <c r="H40" s="3">
        <v>14.248657304744</v>
      </c>
      <c r="I40" s="3">
        <v>20.741019062141699</v>
      </c>
      <c r="J40" s="3">
        <v>18.213862706966101</v>
      </c>
      <c r="K40" s="3">
        <v>15.0807403721605</v>
      </c>
      <c r="L40" s="3">
        <v>16.042462043941399</v>
      </c>
      <c r="M40" s="3">
        <v>16.4656506946612</v>
      </c>
      <c r="N40" s="3">
        <v>13.6153240806097</v>
      </c>
    </row>
    <row r="41" spans="1:14" x14ac:dyDescent="0.35">
      <c r="A41" s="2">
        <v>43110</v>
      </c>
      <c r="B41" s="3">
        <v>20.7334709122722</v>
      </c>
      <c r="C41" s="3">
        <v>16.067895680996401</v>
      </c>
      <c r="D41" s="3">
        <v>15.8240900131907</v>
      </c>
      <c r="E41" s="3">
        <v>14.085503635684001</v>
      </c>
      <c r="F41" s="3">
        <v>15.434795772710499</v>
      </c>
      <c r="G41" s="3">
        <v>17.8741525974281</v>
      </c>
      <c r="H41" s="3">
        <v>14.7831147352284</v>
      </c>
      <c r="I41" s="3">
        <v>21.490079635723699</v>
      </c>
      <c r="J41" s="3">
        <v>18.206624267274101</v>
      </c>
      <c r="K41" s="3">
        <v>15.223309388220599</v>
      </c>
      <c r="L41" s="3">
        <v>16.246170843396499</v>
      </c>
      <c r="M41" s="3">
        <v>16.622006904944399</v>
      </c>
      <c r="N41" s="3">
        <v>13.547429355217901</v>
      </c>
    </row>
    <row r="42" spans="1:14" x14ac:dyDescent="0.35">
      <c r="A42" s="2">
        <v>43140</v>
      </c>
      <c r="B42" s="3">
        <v>19.182985607953899</v>
      </c>
      <c r="C42" s="3">
        <v>15.156225273290699</v>
      </c>
      <c r="D42" s="3">
        <v>14.2710920811937</v>
      </c>
      <c r="E42" s="3">
        <v>12.829917061255699</v>
      </c>
      <c r="F42" s="3">
        <v>13.724401386297799</v>
      </c>
      <c r="G42" s="3">
        <v>16.264885605742101</v>
      </c>
      <c r="H42" s="3">
        <v>13.3277442334801</v>
      </c>
      <c r="I42" s="3">
        <v>19.656531410308599</v>
      </c>
      <c r="J42" s="3">
        <v>16.431939713911301</v>
      </c>
      <c r="K42" s="3">
        <v>14.030264621436499</v>
      </c>
      <c r="L42" s="3">
        <v>15.1646814553608</v>
      </c>
      <c r="M42" s="3">
        <v>15.5817227402787</v>
      </c>
      <c r="N42" s="3">
        <v>12.426312143246999</v>
      </c>
    </row>
    <row r="43" spans="1:14" x14ac:dyDescent="0.35">
      <c r="A43" s="2">
        <v>43168</v>
      </c>
      <c r="B43" s="3">
        <v>20.323956360460802</v>
      </c>
      <c r="C43" s="3">
        <v>15.4056068152723</v>
      </c>
      <c r="D43" s="3">
        <v>14.4567043259723</v>
      </c>
      <c r="E43" s="3">
        <v>13.088952967584101</v>
      </c>
      <c r="F43" s="3">
        <v>12.841037980382101</v>
      </c>
      <c r="G43" s="3">
        <v>16.4759389556176</v>
      </c>
      <c r="H43" s="3">
        <v>13.5669654160062</v>
      </c>
      <c r="I43" s="3">
        <v>21.475115815503798</v>
      </c>
      <c r="J43" s="3">
        <v>17.2975432074564</v>
      </c>
      <c r="K43" s="3">
        <v>14.556108266567801</v>
      </c>
      <c r="L43" s="3">
        <v>15.7741675501155</v>
      </c>
      <c r="M43" s="3">
        <v>16.381201992008901</v>
      </c>
      <c r="N43" s="3">
        <v>12.717101374817</v>
      </c>
    </row>
    <row r="44" spans="1:14" x14ac:dyDescent="0.35">
      <c r="A44" s="2">
        <v>43200</v>
      </c>
      <c r="B44" s="3">
        <v>20.298494274855301</v>
      </c>
      <c r="C44" s="3">
        <v>15.0185315281788</v>
      </c>
      <c r="D44" s="3">
        <v>14.026418283233699</v>
      </c>
      <c r="E44" s="3">
        <v>13.0286778422922</v>
      </c>
      <c r="F44" s="3">
        <v>12.874909321836499</v>
      </c>
      <c r="G44" s="3">
        <v>16.096355329912399</v>
      </c>
      <c r="H44" s="3">
        <v>13.6285716562774</v>
      </c>
      <c r="I44" s="3">
        <v>19.814107518707502</v>
      </c>
      <c r="J44" s="3">
        <v>16.3543796742198</v>
      </c>
      <c r="K44" s="3">
        <v>14.5211620566446</v>
      </c>
      <c r="L44" s="3">
        <v>15.6136274323216</v>
      </c>
      <c r="M44" s="3">
        <v>15.6670676913372</v>
      </c>
      <c r="N44" s="3">
        <v>12.806351759891101</v>
      </c>
    </row>
    <row r="45" spans="1:14" x14ac:dyDescent="0.35">
      <c r="A45" s="2">
        <v>43230</v>
      </c>
      <c r="B45" s="3">
        <v>20.436252994294001</v>
      </c>
      <c r="C45" s="3">
        <v>15.505075840951401</v>
      </c>
      <c r="D45" s="3">
        <v>14.3031467433876</v>
      </c>
      <c r="E45" s="3">
        <v>13.4574494409853</v>
      </c>
      <c r="F45" s="3">
        <v>13.204714784503</v>
      </c>
      <c r="G45" s="3">
        <v>16.2912594718584</v>
      </c>
      <c r="H45" s="3">
        <v>13.9432307864985</v>
      </c>
      <c r="I45" s="3">
        <v>20.253816136608201</v>
      </c>
      <c r="J45" s="3">
        <v>16.445288692127999</v>
      </c>
      <c r="K45" s="3">
        <v>14.872637461286001</v>
      </c>
      <c r="L45" s="3">
        <v>15.6896888373232</v>
      </c>
      <c r="M45" s="3">
        <v>16.1376618859661</v>
      </c>
      <c r="N45" s="3">
        <v>12.9554181077193</v>
      </c>
    </row>
    <row r="46" spans="1:14" x14ac:dyDescent="0.35">
      <c r="A46" s="2">
        <v>43259</v>
      </c>
      <c r="B46" s="3">
        <v>21.1911624078075</v>
      </c>
      <c r="C46" s="3">
        <v>15.1273524531377</v>
      </c>
      <c r="D46" s="3">
        <v>14.326904280147501</v>
      </c>
      <c r="E46" s="3">
        <v>13.219676078512199</v>
      </c>
      <c r="F46" s="3">
        <v>13.1813628221858</v>
      </c>
      <c r="G46" s="3">
        <v>15.538196550711699</v>
      </c>
      <c r="H46" s="3">
        <v>13.536100610372101</v>
      </c>
      <c r="I46" s="3">
        <v>20.533937046742</v>
      </c>
      <c r="J46" s="3">
        <v>16.579407296591999</v>
      </c>
      <c r="K46" s="3">
        <v>14.360214453195001</v>
      </c>
      <c r="L46" s="3">
        <v>15.8585875964392</v>
      </c>
      <c r="M46" s="3">
        <v>15.3909449207469</v>
      </c>
      <c r="N46" s="3">
        <v>11.268371580461199</v>
      </c>
    </row>
    <row r="47" spans="1:14" x14ac:dyDescent="0.35">
      <c r="A47" s="2">
        <v>43291</v>
      </c>
      <c r="B47" s="3">
        <v>21.224544680570201</v>
      </c>
      <c r="C47" s="3">
        <v>15.5889312015321</v>
      </c>
      <c r="D47" s="3">
        <v>14.367019553026701</v>
      </c>
      <c r="E47" s="3">
        <v>13.056840383752499</v>
      </c>
      <c r="F47" s="3">
        <v>12.694002633660601</v>
      </c>
      <c r="G47" s="3">
        <v>15.891272362624999</v>
      </c>
      <c r="H47" s="3">
        <v>13.3537578674707</v>
      </c>
      <c r="I47" s="3">
        <v>20.7299839734026</v>
      </c>
      <c r="J47" s="3">
        <v>16.5174561345802</v>
      </c>
      <c r="K47" s="3">
        <v>14.1535918060352</v>
      </c>
      <c r="L47" s="3">
        <v>15.670593905873799</v>
      </c>
      <c r="M47" s="3">
        <v>15.389881544277101</v>
      </c>
      <c r="N47" s="3">
        <v>11.5525665236616</v>
      </c>
    </row>
    <row r="48" spans="1:14" x14ac:dyDescent="0.35">
      <c r="A48" s="2">
        <v>43322</v>
      </c>
      <c r="B48" s="3">
        <v>21.268626498125801</v>
      </c>
      <c r="C48" s="3">
        <v>15.601110355645501</v>
      </c>
      <c r="D48" s="3">
        <v>14.0206898622599</v>
      </c>
      <c r="E48" s="3">
        <v>12.8581373553285</v>
      </c>
      <c r="F48" s="3">
        <v>12.6502865565222</v>
      </c>
      <c r="G48" s="3">
        <v>16.027255560649799</v>
      </c>
      <c r="H48" s="3">
        <v>13.0323955034441</v>
      </c>
      <c r="I48" s="3">
        <v>20.58621890021</v>
      </c>
      <c r="J48" s="3">
        <v>16.502657469115199</v>
      </c>
      <c r="K48" s="3">
        <v>13.8598306658398</v>
      </c>
      <c r="L48" s="3">
        <v>15.640740861733001</v>
      </c>
      <c r="M48" s="3">
        <v>15.569101598569899</v>
      </c>
      <c r="N48" s="3">
        <v>11.0899770874372</v>
      </c>
    </row>
    <row r="49" spans="1:14" x14ac:dyDescent="0.35">
      <c r="A49" s="2">
        <v>43353</v>
      </c>
      <c r="B49" s="3">
        <v>21.1806421935364</v>
      </c>
      <c r="C49" s="3">
        <v>15.1368618157131</v>
      </c>
      <c r="D49" s="3">
        <v>13.568868454318499</v>
      </c>
      <c r="E49" s="3">
        <v>12.449336199012301</v>
      </c>
      <c r="F49" s="3">
        <v>12.322287171192499</v>
      </c>
      <c r="G49" s="3">
        <v>15.875504664686501</v>
      </c>
      <c r="H49" s="3">
        <v>12.378704306499801</v>
      </c>
      <c r="I49" s="3">
        <v>20.469385006738001</v>
      </c>
      <c r="J49" s="3">
        <v>16.612700806678198</v>
      </c>
      <c r="K49" s="3">
        <v>13.4091684181942</v>
      </c>
      <c r="L49" s="3">
        <v>15.019385424609</v>
      </c>
      <c r="M49" s="3">
        <v>15.518272048786899</v>
      </c>
      <c r="N49" s="3">
        <v>10.7713033877376</v>
      </c>
    </row>
    <row r="50" spans="1:14" x14ac:dyDescent="0.35">
      <c r="A50" s="2">
        <v>43383</v>
      </c>
      <c r="B50" s="3">
        <v>20.8612352120807</v>
      </c>
      <c r="C50" s="3">
        <v>14.791573225675499</v>
      </c>
      <c r="D50" s="3">
        <v>13.0040120982706</v>
      </c>
      <c r="E50" s="3">
        <v>12.063052275375201</v>
      </c>
      <c r="F50" s="3">
        <v>12.8739052819073</v>
      </c>
      <c r="G50" s="3">
        <v>15.496708375158599</v>
      </c>
      <c r="H50" s="3">
        <v>12.1807669923902</v>
      </c>
      <c r="I50" s="3">
        <v>19.2509187775619</v>
      </c>
      <c r="J50" s="3">
        <v>15.988910502337101</v>
      </c>
      <c r="K50" s="3">
        <v>13.024288705095399</v>
      </c>
      <c r="L50" s="3">
        <v>14.276010547164701</v>
      </c>
      <c r="M50" s="3">
        <v>15.0707492940296</v>
      </c>
      <c r="N50" s="3">
        <v>10.120718968620601</v>
      </c>
    </row>
    <row r="51" spans="1:14" x14ac:dyDescent="0.35">
      <c r="A51" s="2">
        <v>43413</v>
      </c>
      <c r="B51" s="3">
        <v>20.5368053214283</v>
      </c>
      <c r="C51" s="3">
        <v>14.647037538523</v>
      </c>
      <c r="D51" s="3">
        <v>12.6934806330384</v>
      </c>
      <c r="E51" s="3">
        <v>11.8044807401602</v>
      </c>
      <c r="F51" s="3">
        <v>12.1830320458456</v>
      </c>
      <c r="G51" s="3">
        <v>15.776399258642201</v>
      </c>
      <c r="H51" s="3">
        <v>11.931797352236501</v>
      </c>
      <c r="I51" s="3">
        <v>19.046710566253999</v>
      </c>
      <c r="J51" s="3">
        <v>15.893384522402901</v>
      </c>
      <c r="K51" s="3">
        <v>12.8255122560701</v>
      </c>
      <c r="L51" s="3">
        <v>14.369722066343099</v>
      </c>
      <c r="M51" s="3">
        <v>14.3961772472307</v>
      </c>
      <c r="N51" s="3">
        <v>9.8325002246017306</v>
      </c>
    </row>
    <row r="52" spans="1:14" x14ac:dyDescent="0.35">
      <c r="A52" s="2">
        <v>43444</v>
      </c>
      <c r="B52" s="3">
        <v>19.762265058751598</v>
      </c>
      <c r="C52" s="3">
        <v>13.7525711148668</v>
      </c>
      <c r="D52" s="3">
        <v>12.4344308084367</v>
      </c>
      <c r="E52" s="3">
        <v>11.017072992491</v>
      </c>
      <c r="F52" s="3">
        <v>11.724230295957501</v>
      </c>
      <c r="G52" s="3">
        <v>14.8166086845059</v>
      </c>
      <c r="H52" s="3">
        <v>11.201230832807299</v>
      </c>
      <c r="I52" s="3">
        <v>18.060363814817599</v>
      </c>
      <c r="J52" s="3">
        <v>15.051235781853601</v>
      </c>
      <c r="K52" s="3">
        <v>11.9257368373604</v>
      </c>
      <c r="L52" s="3">
        <v>13.3720386690058</v>
      </c>
      <c r="M52" s="3">
        <v>13.4268563149364</v>
      </c>
      <c r="N52" s="3">
        <v>9.1616613007793504</v>
      </c>
    </row>
    <row r="53" spans="1:14" x14ac:dyDescent="0.35">
      <c r="A53" s="2">
        <v>43475</v>
      </c>
      <c r="B53" s="3">
        <v>20.274538636926302</v>
      </c>
      <c r="C53" s="3">
        <v>14.4589771833495</v>
      </c>
      <c r="D53" s="3">
        <v>12.889588517328701</v>
      </c>
      <c r="E53" s="3">
        <v>11.346100041194401</v>
      </c>
      <c r="F53" s="3">
        <v>11.3728932215834</v>
      </c>
      <c r="G53" s="3">
        <v>15.180371491153499</v>
      </c>
      <c r="H53" s="3">
        <v>11.891162268255099</v>
      </c>
      <c r="I53" s="3">
        <v>18.189543498796901</v>
      </c>
      <c r="J53" s="3">
        <v>15.0717494759239</v>
      </c>
      <c r="K53" s="3">
        <v>12.2764025083788</v>
      </c>
      <c r="L53" s="3">
        <v>13.361705434192199</v>
      </c>
      <c r="M53" s="3">
        <v>13.989463423165301</v>
      </c>
      <c r="N53" s="3">
        <v>9.6976244018832105</v>
      </c>
    </row>
    <row r="54" spans="1:14" x14ac:dyDescent="0.35">
      <c r="A54" s="2">
        <v>43504</v>
      </c>
      <c r="B54" s="3">
        <v>20.924256404920701</v>
      </c>
      <c r="C54" s="3">
        <v>15.1140590559393</v>
      </c>
      <c r="D54" s="3">
        <v>13.790192940896301</v>
      </c>
      <c r="E54" s="3">
        <v>11.5165417422748</v>
      </c>
      <c r="F54" s="3">
        <v>11.783917836817499</v>
      </c>
      <c r="G54" s="3">
        <v>15.548067560805301</v>
      </c>
      <c r="H54" s="3">
        <v>12.2460325682825</v>
      </c>
      <c r="I54" s="3">
        <v>19.1144461451171</v>
      </c>
      <c r="J54" s="3">
        <v>15.786380009013</v>
      </c>
      <c r="K54" s="3">
        <v>12.751875626448699</v>
      </c>
      <c r="L54" s="3">
        <v>14.3944465028796</v>
      </c>
      <c r="M54" s="3">
        <v>14.4528062223253</v>
      </c>
      <c r="N54" s="3">
        <v>9.9909270625510693</v>
      </c>
    </row>
    <row r="55" spans="1:14" x14ac:dyDescent="0.35">
      <c r="A55" s="2">
        <v>43532</v>
      </c>
      <c r="B55" s="3">
        <v>21.852236098504498</v>
      </c>
      <c r="C55" s="3">
        <v>15.358580095774601</v>
      </c>
      <c r="D55" s="3">
        <v>14.0913009231824</v>
      </c>
      <c r="E55" s="3">
        <v>12.092177694284</v>
      </c>
      <c r="F55" s="3">
        <v>12.2742177536373</v>
      </c>
      <c r="G55" s="3">
        <v>16.1344931768982</v>
      </c>
      <c r="H55" s="3">
        <v>12.276452427506801</v>
      </c>
      <c r="I55" s="3">
        <v>19.413767677296399</v>
      </c>
      <c r="J55" s="3">
        <v>15.944845173858701</v>
      </c>
      <c r="K55" s="3">
        <v>13.389551665396001</v>
      </c>
      <c r="L55" s="3">
        <v>14.7021194548281</v>
      </c>
      <c r="M55" s="3">
        <v>14.6442200593129</v>
      </c>
      <c r="N55" s="3">
        <v>10.3975860967619</v>
      </c>
    </row>
    <row r="56" spans="1:14" x14ac:dyDescent="0.35">
      <c r="A56" s="2">
        <v>43565</v>
      </c>
      <c r="B56" s="3">
        <v>21.944077054904199</v>
      </c>
      <c r="C56" s="3">
        <v>15.2907990340283</v>
      </c>
      <c r="D56" s="3">
        <v>14.2561660236706</v>
      </c>
      <c r="E56" s="3">
        <v>12.5255092790734</v>
      </c>
      <c r="F56" s="3">
        <v>12.6209077557948</v>
      </c>
      <c r="G56" s="3">
        <v>16.8246595888332</v>
      </c>
      <c r="H56" s="3">
        <v>12.7722280718299</v>
      </c>
      <c r="I56" s="3">
        <v>20.920326983476102</v>
      </c>
      <c r="J56" s="3">
        <v>16.7361052706907</v>
      </c>
      <c r="K56" s="3">
        <v>13.841791471148801</v>
      </c>
      <c r="L56" s="3">
        <v>15.4753224199036</v>
      </c>
      <c r="M56" s="3">
        <v>15.154949480546099</v>
      </c>
      <c r="N56" s="3">
        <v>10.8644073661267</v>
      </c>
    </row>
    <row r="57" spans="1:14" x14ac:dyDescent="0.35">
      <c r="A57" s="2">
        <v>43595</v>
      </c>
      <c r="B57" s="3">
        <v>22.865927315471101</v>
      </c>
      <c r="C57" s="3">
        <v>15.3891090344512</v>
      </c>
      <c r="D57" s="3">
        <v>13.600233920858001</v>
      </c>
      <c r="E57" s="3">
        <v>12.5783091446634</v>
      </c>
      <c r="F57" s="3">
        <v>12.237521143842599</v>
      </c>
      <c r="G57" s="3">
        <v>16.454854266911699</v>
      </c>
      <c r="H57" s="3">
        <v>12.2672687034365</v>
      </c>
      <c r="I57" s="3">
        <v>20.715539920337399</v>
      </c>
      <c r="J57" s="3">
        <v>16.513264553926899</v>
      </c>
      <c r="K57" s="3">
        <v>13.493352237088899</v>
      </c>
      <c r="L57" s="3">
        <v>15.2539616935744</v>
      </c>
      <c r="M57" s="3">
        <v>14.9813018503785</v>
      </c>
      <c r="N57" s="3">
        <v>10.391440239369601</v>
      </c>
    </row>
    <row r="58" spans="1:14" x14ac:dyDescent="0.35">
      <c r="A58" s="2">
        <v>43626</v>
      </c>
      <c r="B58" s="3">
        <v>22.5763601983674</v>
      </c>
      <c r="C58" s="3">
        <v>15.7152381166912</v>
      </c>
      <c r="D58" s="3">
        <v>13.5133292787628</v>
      </c>
      <c r="E58" s="3">
        <v>12.3245450903022</v>
      </c>
      <c r="F58" s="3">
        <v>12.60878723247</v>
      </c>
      <c r="G58" s="3">
        <v>16.891207421280001</v>
      </c>
      <c r="H58" s="3">
        <v>12.4824945027772</v>
      </c>
      <c r="I58" s="3">
        <v>20.3100710610695</v>
      </c>
      <c r="J58" s="3">
        <v>16.426664168009498</v>
      </c>
      <c r="K58" s="3">
        <v>13.5722726158725</v>
      </c>
      <c r="L58" s="3">
        <v>15.2558409406402</v>
      </c>
      <c r="M58" s="3">
        <v>14.630414243285699</v>
      </c>
      <c r="N58" s="3">
        <v>10.0853939624569</v>
      </c>
    </row>
    <row r="59" spans="1:14" x14ac:dyDescent="0.35">
      <c r="A59" s="2">
        <v>43656</v>
      </c>
      <c r="B59" s="3">
        <v>24.220375822533999</v>
      </c>
      <c r="C59" s="3">
        <v>16.209758335971099</v>
      </c>
      <c r="D59" s="3">
        <v>13.7470011066811</v>
      </c>
      <c r="E59" s="3">
        <v>12.842991268779199</v>
      </c>
      <c r="F59" s="3">
        <v>12.891891387964799</v>
      </c>
      <c r="G59" s="3">
        <v>17.135986349019699</v>
      </c>
      <c r="H59" s="3">
        <v>12.6253394094744</v>
      </c>
      <c r="I59" s="3">
        <v>21.354296505444999</v>
      </c>
      <c r="J59" s="3">
        <v>17.007138620807901</v>
      </c>
      <c r="K59" s="3">
        <v>13.9451615646324</v>
      </c>
      <c r="L59" s="3">
        <v>15.4841154329232</v>
      </c>
      <c r="M59" s="3">
        <v>15.057750021206701</v>
      </c>
      <c r="N59" s="3">
        <v>10.858635052776</v>
      </c>
    </row>
    <row r="60" spans="1:14" x14ac:dyDescent="0.35">
      <c r="A60" s="2">
        <v>43686</v>
      </c>
      <c r="B60" s="3">
        <v>24.659804053511099</v>
      </c>
      <c r="C60" s="3">
        <v>15.9716847105929</v>
      </c>
      <c r="D60" s="3">
        <v>13.5866796270719</v>
      </c>
      <c r="E60" s="3">
        <v>12.3727481152197</v>
      </c>
      <c r="F60" s="3">
        <v>12.391694539685799</v>
      </c>
      <c r="G60" s="3">
        <v>16.845491991456701</v>
      </c>
      <c r="H60" s="3">
        <v>11.9980783945234</v>
      </c>
      <c r="I60" s="3">
        <v>20.474755494538499</v>
      </c>
      <c r="J60" s="3">
        <v>16.601354704460999</v>
      </c>
      <c r="K60" s="3">
        <v>13.503200648412401</v>
      </c>
      <c r="L60" s="3">
        <v>15.0337846097366</v>
      </c>
      <c r="M60" s="3">
        <v>13.6686927913931</v>
      </c>
      <c r="N60" s="3">
        <v>10.017967986368699</v>
      </c>
    </row>
    <row r="61" spans="1:14" x14ac:dyDescent="0.35">
      <c r="A61" s="2">
        <v>43718</v>
      </c>
      <c r="B61" s="3">
        <v>26.4929679044123</v>
      </c>
      <c r="C61" s="3">
        <v>16.379218146980801</v>
      </c>
      <c r="D61" s="3">
        <v>13.8140448100549</v>
      </c>
      <c r="E61" s="3">
        <v>13.006830589321201</v>
      </c>
      <c r="F61" s="3">
        <v>13.005077038184</v>
      </c>
      <c r="G61" s="3">
        <v>17.145378193980299</v>
      </c>
      <c r="H61" s="3">
        <v>12.2337518635949</v>
      </c>
      <c r="I61" s="3">
        <v>20.708566685099701</v>
      </c>
      <c r="J61" s="3">
        <v>16.8300053213468</v>
      </c>
      <c r="K61" s="3">
        <v>14.0374251876923</v>
      </c>
      <c r="L61" s="3">
        <v>15.8129652120545</v>
      </c>
      <c r="M61" s="3">
        <v>14.4038805197776</v>
      </c>
      <c r="N61" s="3">
        <v>10.731226264116501</v>
      </c>
    </row>
    <row r="62" spans="1:14" x14ac:dyDescent="0.35">
      <c r="A62" s="2">
        <v>43748</v>
      </c>
      <c r="B62" s="3">
        <v>25.194970057628201</v>
      </c>
      <c r="C62" s="3">
        <v>16.343277126136599</v>
      </c>
      <c r="D62" s="3">
        <v>13.7808432945878</v>
      </c>
      <c r="E62" s="3">
        <v>12.766027608423901</v>
      </c>
      <c r="F62" s="3">
        <v>13.1436641591845</v>
      </c>
      <c r="G62" s="3">
        <v>16.875021495074101</v>
      </c>
      <c r="H62" s="3">
        <v>12.1319707275001</v>
      </c>
      <c r="I62" s="3">
        <v>20.3407458145719</v>
      </c>
      <c r="J62" s="3">
        <v>16.6013462529069</v>
      </c>
      <c r="K62" s="3">
        <v>13.937264481655999</v>
      </c>
      <c r="L62" s="3">
        <v>15.917189930441699</v>
      </c>
      <c r="M62" s="3">
        <v>14.8590606991842</v>
      </c>
      <c r="N62" s="3">
        <v>10.667464951275001</v>
      </c>
    </row>
    <row r="63" spans="1:14" x14ac:dyDescent="0.35">
      <c r="A63" s="2">
        <v>43777</v>
      </c>
      <c r="B63" s="3">
        <v>24.8369854156497</v>
      </c>
      <c r="C63" s="3">
        <v>17.142787427830299</v>
      </c>
      <c r="D63" s="3">
        <v>14.335564349438799</v>
      </c>
      <c r="E63" s="3">
        <v>13.9046102450747</v>
      </c>
      <c r="F63" s="3">
        <v>14.153059655707301</v>
      </c>
      <c r="G63" s="3">
        <v>17.413112866655599</v>
      </c>
      <c r="H63" s="3">
        <v>12.783415366691701</v>
      </c>
      <c r="I63" s="3">
        <v>21.559261595326898</v>
      </c>
      <c r="J63" s="3">
        <v>17.4711852419174</v>
      </c>
      <c r="K63" s="3">
        <v>14.7464585099916</v>
      </c>
      <c r="L63" s="3">
        <v>16.701299581677599</v>
      </c>
      <c r="M63" s="3">
        <v>15.9927925048547</v>
      </c>
      <c r="N63" s="3">
        <v>11.4298489679783</v>
      </c>
    </row>
    <row r="64" spans="1:14" x14ac:dyDescent="0.35">
      <c r="A64" s="2">
        <v>43809</v>
      </c>
      <c r="B64" s="3">
        <v>25.5720576727919</v>
      </c>
      <c r="C64" s="3">
        <v>17.076234478864201</v>
      </c>
      <c r="D64" s="3">
        <v>14.309243902119899</v>
      </c>
      <c r="E64" s="3">
        <v>13.909799719586299</v>
      </c>
      <c r="F64" s="3">
        <v>14.519836871722999</v>
      </c>
      <c r="G64" s="3">
        <v>17.4295037745276</v>
      </c>
      <c r="H64" s="3">
        <v>12.855151088348199</v>
      </c>
      <c r="I64" s="3">
        <v>21.7903131284707</v>
      </c>
      <c r="J64" s="3">
        <v>17.628836257375301</v>
      </c>
      <c r="K64" s="3">
        <v>14.609304114376201</v>
      </c>
      <c r="L64" s="3">
        <v>16.800283082052701</v>
      </c>
      <c r="M64" s="3">
        <v>15.6944899163298</v>
      </c>
      <c r="N64" s="3">
        <v>11.2100286920671</v>
      </c>
    </row>
    <row r="65" spans="1:14" x14ac:dyDescent="0.35">
      <c r="A65" s="2">
        <v>43840</v>
      </c>
      <c r="B65" s="3">
        <v>25.7807703686487</v>
      </c>
      <c r="C65" s="3">
        <v>17.697331403597001</v>
      </c>
      <c r="D65" s="3">
        <v>14.488949644134101</v>
      </c>
      <c r="E65" s="3">
        <v>14.3552463434219</v>
      </c>
      <c r="F65" s="3">
        <v>14.649000256061701</v>
      </c>
      <c r="G65" s="3">
        <v>17.7647889301834</v>
      </c>
      <c r="H65" s="3">
        <v>13.4535379660483</v>
      </c>
      <c r="I65" s="3">
        <v>23.2526541301789</v>
      </c>
      <c r="J65" s="3">
        <v>18.3089395926131</v>
      </c>
      <c r="K65" s="3">
        <v>14.998734210636</v>
      </c>
      <c r="L65" s="3">
        <v>17.1620643650941</v>
      </c>
      <c r="M65" s="3">
        <v>16.2701914172908</v>
      </c>
      <c r="N65" s="3">
        <v>11.6285504676505</v>
      </c>
    </row>
    <row r="66" spans="1:14" x14ac:dyDescent="0.35">
      <c r="A66" s="2">
        <v>43871</v>
      </c>
      <c r="B66" s="3">
        <v>26.375650501300001</v>
      </c>
      <c r="C66" s="3">
        <v>17.865060444679202</v>
      </c>
      <c r="D66" s="3">
        <v>14.885271302677699</v>
      </c>
      <c r="E66" s="3">
        <v>14.2846625665125</v>
      </c>
      <c r="F66" s="3">
        <v>14.470356953469</v>
      </c>
      <c r="G66" s="3">
        <v>18.375116759772201</v>
      </c>
      <c r="H66" s="3">
        <v>13.328649125926001</v>
      </c>
      <c r="I66" s="3">
        <v>24.119082498542198</v>
      </c>
      <c r="J66" s="3">
        <v>18.802352151889799</v>
      </c>
      <c r="K66" s="3">
        <v>14.982990546702</v>
      </c>
      <c r="L66" s="3">
        <v>17.785293162483001</v>
      </c>
      <c r="M66" s="3">
        <v>16.727390769242302</v>
      </c>
      <c r="N66" s="3">
        <v>11.7226772500211</v>
      </c>
    </row>
    <row r="67" spans="1:14" x14ac:dyDescent="0.35">
      <c r="A67" s="2">
        <v>43900</v>
      </c>
      <c r="B67" s="3">
        <v>25.019245916482099</v>
      </c>
      <c r="C67" s="3">
        <v>15.366975665717201</v>
      </c>
      <c r="D67" s="3">
        <v>12.896311921377899</v>
      </c>
      <c r="E67" s="3">
        <v>11.297579014145199</v>
      </c>
      <c r="F67" s="3">
        <v>12.197582709165101</v>
      </c>
      <c r="G67" s="3">
        <v>15.6458827201396</v>
      </c>
      <c r="H67" s="3">
        <v>10.9425650971771</v>
      </c>
      <c r="I67" s="3">
        <v>21.163024239182398</v>
      </c>
      <c r="J67" s="3">
        <v>16.2441362433905</v>
      </c>
      <c r="K67" s="3">
        <v>12.0007794751946</v>
      </c>
      <c r="L67" s="3">
        <v>14.356528166545299</v>
      </c>
      <c r="M67" s="3">
        <v>13.6755857482328</v>
      </c>
      <c r="N67" s="3">
        <v>8.6643839647668397</v>
      </c>
    </row>
    <row r="68" spans="1:14" x14ac:dyDescent="0.35">
      <c r="A68" s="2">
        <v>43930</v>
      </c>
      <c r="B68" s="3">
        <v>26.406743793933099</v>
      </c>
      <c r="C68" s="3">
        <v>15.7640648566904</v>
      </c>
      <c r="D68" s="3">
        <v>14.739156522208001</v>
      </c>
      <c r="E68" s="3">
        <v>13.5012910233363</v>
      </c>
      <c r="F68" s="3">
        <v>12.876598332647299</v>
      </c>
      <c r="G68" s="3">
        <v>17.201386624659001</v>
      </c>
      <c r="H68" s="3">
        <v>13.223684509798201</v>
      </c>
      <c r="I68" s="3">
        <v>22.278983053580099</v>
      </c>
      <c r="J68" s="3">
        <v>17.965854608043902</v>
      </c>
      <c r="K68" s="3">
        <v>14.4908623991801</v>
      </c>
      <c r="L68" s="3">
        <v>15.830024078587201</v>
      </c>
      <c r="M68" s="3">
        <v>15.6842281394485</v>
      </c>
      <c r="N68" s="3">
        <v>10.5489472602225</v>
      </c>
    </row>
    <row r="69" spans="1:14" x14ac:dyDescent="0.35">
      <c r="A69" s="2">
        <v>43959</v>
      </c>
      <c r="B69" s="3">
        <v>29.796937849708801</v>
      </c>
      <c r="C69" s="3">
        <v>17.227402571521399</v>
      </c>
      <c r="D69" s="3">
        <v>17.515475203193802</v>
      </c>
      <c r="E69" s="3">
        <v>15.406725430884199</v>
      </c>
      <c r="F69" s="3">
        <v>14.1449653118645</v>
      </c>
      <c r="G69" s="3">
        <v>18.4695814286525</v>
      </c>
      <c r="H69" s="3">
        <v>15.1768329097885</v>
      </c>
      <c r="I69" s="3">
        <v>26.465269478361201</v>
      </c>
      <c r="J69" s="3">
        <v>20.8324333324618</v>
      </c>
      <c r="K69" s="3">
        <v>16.808393213262999</v>
      </c>
      <c r="L69" s="3">
        <v>17.529298364426001</v>
      </c>
      <c r="M69" s="3">
        <v>18.130961846091001</v>
      </c>
      <c r="N69" s="3">
        <v>14.930952695817799</v>
      </c>
    </row>
    <row r="70" spans="1:14" x14ac:dyDescent="0.35">
      <c r="A70" s="2">
        <v>43992</v>
      </c>
      <c r="B70" s="3">
        <v>30.584244294697299</v>
      </c>
      <c r="C70" s="3">
        <v>20.0862533019999</v>
      </c>
      <c r="D70" s="3">
        <v>18.3914770846797</v>
      </c>
      <c r="E70" s="3">
        <v>18.1082310982423</v>
      </c>
      <c r="F70" s="3">
        <v>17.649405998991199</v>
      </c>
      <c r="G70" s="3">
        <v>19.495673115213901</v>
      </c>
      <c r="H70" s="3">
        <v>16.639683291466898</v>
      </c>
      <c r="I70" s="3">
        <v>28.688540300682401</v>
      </c>
      <c r="J70" s="3">
        <v>22.5302593444178</v>
      </c>
      <c r="K70" s="3">
        <v>19.110635466123998</v>
      </c>
      <c r="L70" s="3">
        <v>19.4264161900341</v>
      </c>
      <c r="M70" s="3">
        <v>19.390075714320002</v>
      </c>
      <c r="N70" s="3">
        <v>17.876984318065698</v>
      </c>
    </row>
    <row r="71" spans="1:14" x14ac:dyDescent="0.35">
      <c r="A71" s="2">
        <v>44022</v>
      </c>
      <c r="B71" s="3">
        <v>31.497271165788501</v>
      </c>
      <c r="C71" s="3">
        <v>18.816503994584</v>
      </c>
      <c r="D71" s="3">
        <v>17.647296674841801</v>
      </c>
      <c r="E71" s="3">
        <v>18.308896687491899</v>
      </c>
      <c r="F71" s="3">
        <v>17.4938275640481</v>
      </c>
      <c r="G71" s="3">
        <v>19.627224632589002</v>
      </c>
      <c r="H71" s="3">
        <v>15.609506215273701</v>
      </c>
      <c r="I71" s="3">
        <v>30.070499025356401</v>
      </c>
      <c r="J71" s="3">
        <v>22.179891217507901</v>
      </c>
      <c r="K71" s="3">
        <v>19.1810581877785</v>
      </c>
      <c r="L71" s="3">
        <v>20.107883748229</v>
      </c>
      <c r="M71" s="3">
        <v>19.519934253414899</v>
      </c>
      <c r="N71" s="3">
        <v>17.324407478026998</v>
      </c>
    </row>
    <row r="72" spans="1:14" x14ac:dyDescent="0.35">
      <c r="A72" s="2">
        <v>44053</v>
      </c>
      <c r="B72" s="3">
        <v>32.242252275005796</v>
      </c>
      <c r="C72" s="3">
        <v>19.4039736882239</v>
      </c>
      <c r="D72" s="3">
        <v>17.7624349433124</v>
      </c>
      <c r="E72" s="3">
        <v>17.784621151463501</v>
      </c>
      <c r="F72" s="3">
        <v>17.5389163926897</v>
      </c>
      <c r="G72" s="3">
        <v>19.325002530950101</v>
      </c>
      <c r="H72" s="3">
        <v>15.4936604818005</v>
      </c>
      <c r="I72" s="3">
        <v>29.115835453069501</v>
      </c>
      <c r="J72" s="3">
        <v>22.324402768068602</v>
      </c>
      <c r="K72" s="3">
        <v>19.6077840080507</v>
      </c>
      <c r="L72" s="3">
        <v>19.7290384224939</v>
      </c>
      <c r="M72" s="3">
        <v>18.570441055648299</v>
      </c>
      <c r="N72" s="3">
        <v>16.378176140229598</v>
      </c>
    </row>
    <row r="73" spans="1:14" x14ac:dyDescent="0.35">
      <c r="A73" s="2">
        <v>44084</v>
      </c>
      <c r="B73" s="3">
        <v>32.289694039410499</v>
      </c>
      <c r="C73" s="3">
        <v>18.761393428230001</v>
      </c>
      <c r="D73" s="3">
        <v>16.748064497538</v>
      </c>
      <c r="E73" s="3">
        <v>17.812519743153501</v>
      </c>
      <c r="F73" s="3">
        <v>18.248791972294999</v>
      </c>
      <c r="G73" s="3">
        <v>19.528559234082898</v>
      </c>
      <c r="H73" s="3">
        <v>15.06665929625</v>
      </c>
      <c r="I73" s="3">
        <v>28.838401504478501</v>
      </c>
      <c r="J73" s="3">
        <v>21.6561091950012</v>
      </c>
      <c r="K73" s="3">
        <v>19.2615100032863</v>
      </c>
      <c r="L73" s="3">
        <v>19.478729587350799</v>
      </c>
      <c r="M73" s="3">
        <v>18.287650252092401</v>
      </c>
      <c r="N73" s="3">
        <v>15.754057109324901</v>
      </c>
    </row>
    <row r="74" spans="1:14" x14ac:dyDescent="0.35">
      <c r="A74" s="2">
        <v>44113</v>
      </c>
      <c r="B74" s="3">
        <v>33.165620275766599</v>
      </c>
      <c r="C74" s="3">
        <v>18.786548073320201</v>
      </c>
      <c r="D74" s="3">
        <v>16.547328437117201</v>
      </c>
      <c r="E74" s="3">
        <v>16.952928779255501</v>
      </c>
      <c r="F74" s="3">
        <v>18.203170816396501</v>
      </c>
      <c r="G74" s="3">
        <v>19.148914637055199</v>
      </c>
      <c r="H74" s="3">
        <v>14.5756987535701</v>
      </c>
      <c r="I74" s="3">
        <v>29.824989828385899</v>
      </c>
      <c r="J74" s="3">
        <v>22.0771933526329</v>
      </c>
      <c r="K74" s="3">
        <v>18.4475063787322</v>
      </c>
      <c r="L74" s="3">
        <v>19.893271946184999</v>
      </c>
      <c r="M74" s="3">
        <v>18.3378146547211</v>
      </c>
      <c r="N74" s="3">
        <v>14.815388534663599</v>
      </c>
    </row>
    <row r="75" spans="1:14" x14ac:dyDescent="0.35">
      <c r="A75" s="2">
        <v>44145</v>
      </c>
      <c r="B75" s="3">
        <v>32.788782496693003</v>
      </c>
      <c r="C75" s="3">
        <v>18.993171595560099</v>
      </c>
      <c r="D75" s="3">
        <v>16.064105306090799</v>
      </c>
      <c r="E75" s="3">
        <v>16.098885679040102</v>
      </c>
      <c r="F75" s="3">
        <v>18.222225059798799</v>
      </c>
      <c r="G75" s="3">
        <v>18.822542377688599</v>
      </c>
      <c r="H75" s="3">
        <v>14.689747121386899</v>
      </c>
      <c r="I75" s="3">
        <v>28.500780237248701</v>
      </c>
      <c r="J75" s="3">
        <v>21.6796888124153</v>
      </c>
      <c r="K75" s="3">
        <v>19.130438332230302</v>
      </c>
      <c r="L75" s="3">
        <v>20.3511712519634</v>
      </c>
      <c r="M75" s="3">
        <v>17.0926505649599</v>
      </c>
      <c r="N75" s="3">
        <v>14.8575584806386</v>
      </c>
    </row>
    <row r="76" spans="1:14" x14ac:dyDescent="0.35">
      <c r="A76" s="2">
        <v>44175</v>
      </c>
      <c r="B76" s="3">
        <v>33.053973955919297</v>
      </c>
      <c r="C76" s="3">
        <v>19.543560201883299</v>
      </c>
      <c r="D76" s="3">
        <v>16.320509761085599</v>
      </c>
      <c r="E76" s="3">
        <v>15.9091754496083</v>
      </c>
      <c r="F76" s="3">
        <v>18.442346493061098</v>
      </c>
      <c r="G76" s="3">
        <v>18.446399739826902</v>
      </c>
      <c r="H76" s="3">
        <v>15.042859937600101</v>
      </c>
      <c r="I76" s="3">
        <v>29.732086968061299</v>
      </c>
      <c r="J76" s="3">
        <v>21.8890668448574</v>
      </c>
      <c r="K76" s="3">
        <v>18.647584789007599</v>
      </c>
      <c r="L76" s="3">
        <v>20.391816183645201</v>
      </c>
      <c r="M76" s="3">
        <v>17.309139697670499</v>
      </c>
      <c r="N76" s="3">
        <v>14.9854578151455</v>
      </c>
    </row>
    <row r="77" spans="1:14" x14ac:dyDescent="0.35">
      <c r="A77" s="2">
        <v>44204</v>
      </c>
      <c r="B77" s="3">
        <v>35.364367520511301</v>
      </c>
      <c r="C77" s="3">
        <v>19.520476364099999</v>
      </c>
      <c r="D77" s="3">
        <v>16.3437249867352</v>
      </c>
      <c r="E77" s="3">
        <v>16.325465735516001</v>
      </c>
      <c r="F77" s="3">
        <v>18.737530741202601</v>
      </c>
      <c r="G77" s="3">
        <v>19.050458462045899</v>
      </c>
      <c r="H77" s="3">
        <v>14.962554476566201</v>
      </c>
      <c r="I77" s="3">
        <v>30.4213250733489</v>
      </c>
      <c r="J77" s="3">
        <v>22.664841703425498</v>
      </c>
      <c r="K77" s="3">
        <v>18.294084933001301</v>
      </c>
      <c r="L77" s="3">
        <v>21.181970411225699</v>
      </c>
      <c r="M77" s="3">
        <v>18.7644461856475</v>
      </c>
      <c r="N77" s="3">
        <v>15.016700208903901</v>
      </c>
    </row>
    <row r="78" spans="1:14" x14ac:dyDescent="0.35">
      <c r="A78" s="2">
        <v>44237</v>
      </c>
      <c r="B78" s="3">
        <v>32.2589239519234</v>
      </c>
      <c r="C78" s="3">
        <v>19.132130255353101</v>
      </c>
      <c r="D78" s="3">
        <v>16.3449151169686</v>
      </c>
      <c r="E78" s="3">
        <v>15.729398196927299</v>
      </c>
      <c r="F78" s="3">
        <v>18.94610995967</v>
      </c>
      <c r="G78" s="3">
        <v>18.901264597793901</v>
      </c>
      <c r="H78" s="3">
        <v>13.949786002305499</v>
      </c>
      <c r="I78" s="3">
        <v>29.979607517192001</v>
      </c>
      <c r="J78" s="3">
        <v>22.1471863308564</v>
      </c>
      <c r="K78" s="3">
        <v>17.8939394735471</v>
      </c>
      <c r="L78" s="3">
        <v>22.021171255945699</v>
      </c>
      <c r="M78" s="3">
        <v>18.636534132084901</v>
      </c>
      <c r="N78" s="3">
        <v>14.269609525875801</v>
      </c>
    </row>
    <row r="79" spans="1:14" x14ac:dyDescent="0.35">
      <c r="A79" s="2">
        <v>44265</v>
      </c>
      <c r="B79" s="3">
        <v>31.811742516327602</v>
      </c>
      <c r="C79" s="3">
        <v>17.985856856992601</v>
      </c>
      <c r="D79" s="3">
        <v>15.592037051796099</v>
      </c>
      <c r="E79" s="3">
        <v>15.9451270949455</v>
      </c>
      <c r="F79" s="3">
        <v>17.692679830076901</v>
      </c>
      <c r="G79" s="3">
        <v>18.616472935518999</v>
      </c>
      <c r="H79" s="3">
        <v>14.0687064162883</v>
      </c>
      <c r="I79" s="3">
        <v>27.346269456764901</v>
      </c>
      <c r="J79" s="3">
        <v>21.7140187031758</v>
      </c>
      <c r="K79" s="3">
        <v>18.3693195486095</v>
      </c>
      <c r="L79" s="3">
        <v>21.702555146391099</v>
      </c>
      <c r="M79" s="3">
        <v>19.806776122318499</v>
      </c>
      <c r="N79" s="3">
        <v>13.927966152085499</v>
      </c>
    </row>
    <row r="80" spans="1:14" x14ac:dyDescent="0.35">
      <c r="A80" s="2">
        <v>44295</v>
      </c>
      <c r="B80" s="3">
        <v>32.257058263544998</v>
      </c>
      <c r="C80" s="3">
        <v>18.082195436540498</v>
      </c>
      <c r="D80" s="3">
        <v>15.640955561293501</v>
      </c>
      <c r="E80" s="3">
        <v>16.240469114610399</v>
      </c>
      <c r="F80" s="3">
        <v>17.4869290977317</v>
      </c>
      <c r="G80" s="3">
        <v>19.431866213927499</v>
      </c>
      <c r="H80" s="3">
        <v>13.537777806701</v>
      </c>
      <c r="I80" s="3">
        <v>29.4433189404585</v>
      </c>
      <c r="J80" s="3">
        <v>22.5068848175504</v>
      </c>
      <c r="K80" s="3">
        <v>18.335940661778601</v>
      </c>
      <c r="L80" s="3">
        <v>22.884572283335501</v>
      </c>
      <c r="M80" s="3">
        <v>20.6106303205753</v>
      </c>
      <c r="N80" s="3">
        <v>13.8515871782921</v>
      </c>
    </row>
    <row r="81" spans="1:14" x14ac:dyDescent="0.35">
      <c r="A81" s="2">
        <v>44326</v>
      </c>
      <c r="B81" s="3">
        <v>32.955841274102497</v>
      </c>
      <c r="C81" s="3">
        <v>18.3177047158715</v>
      </c>
      <c r="D81" s="3">
        <v>15.557482296460799</v>
      </c>
      <c r="E81" s="3">
        <v>15.022816827723901</v>
      </c>
      <c r="F81" s="3">
        <v>17.046535476930099</v>
      </c>
      <c r="G81" s="3">
        <v>19.046322797681899</v>
      </c>
      <c r="H81" s="3">
        <v>13.531039130924</v>
      </c>
      <c r="I81" s="3">
        <v>26.591988906820401</v>
      </c>
      <c r="J81" s="3">
        <v>21.4554074202869</v>
      </c>
      <c r="K81" s="3">
        <v>17.9201710267312</v>
      </c>
      <c r="L81" s="3">
        <v>21.506984902867199</v>
      </c>
      <c r="M81" s="3">
        <v>18.2804873750155</v>
      </c>
      <c r="N81" s="3">
        <v>13.4786441963724</v>
      </c>
    </row>
    <row r="82" spans="1:14" x14ac:dyDescent="0.35">
      <c r="A82" s="2">
        <v>44357</v>
      </c>
      <c r="B82" s="3">
        <v>33.022507466853398</v>
      </c>
      <c r="C82" s="3">
        <v>18.153988032507801</v>
      </c>
      <c r="D82" s="3">
        <v>15.557945966510401</v>
      </c>
      <c r="E82" s="3">
        <v>14.906025225215</v>
      </c>
      <c r="F82" s="3">
        <v>16.521974273450599</v>
      </c>
      <c r="G82" s="3">
        <v>19.870086251243201</v>
      </c>
      <c r="H82" s="3">
        <v>13.1455983827677</v>
      </c>
      <c r="I82" s="3">
        <v>27.337369279200601</v>
      </c>
      <c r="J82" s="3">
        <v>21.288640115093099</v>
      </c>
      <c r="K82" s="3">
        <v>17.870843105893702</v>
      </c>
      <c r="L82" s="3">
        <v>21.396167735511501</v>
      </c>
      <c r="M82" s="3">
        <v>18.6591719351714</v>
      </c>
      <c r="N82" s="3">
        <v>13.7923914123513</v>
      </c>
    </row>
    <row r="83" spans="1:14" x14ac:dyDescent="0.35">
      <c r="A83" s="2">
        <v>44386</v>
      </c>
      <c r="B83" s="3">
        <v>34.323605471780397</v>
      </c>
      <c r="C83" s="3">
        <v>17.0199912323442</v>
      </c>
      <c r="D83" s="3">
        <v>15.5617168209765</v>
      </c>
      <c r="E83" s="3">
        <v>14.7022818048261</v>
      </c>
      <c r="F83" s="3">
        <v>15.8682683562565</v>
      </c>
      <c r="G83" s="3">
        <v>19.7674143893801</v>
      </c>
      <c r="H83" s="3">
        <v>12.653528298142099</v>
      </c>
      <c r="I83" s="3">
        <v>28.735735379487199</v>
      </c>
      <c r="J83" s="3">
        <v>21.611683270318402</v>
      </c>
      <c r="K83" s="3">
        <v>17.248995940996402</v>
      </c>
      <c r="L83" s="3">
        <v>21.0945241265939</v>
      </c>
      <c r="M83" s="3">
        <v>18.886115661660799</v>
      </c>
      <c r="N83" s="3">
        <v>13.134379470346801</v>
      </c>
    </row>
    <row r="84" spans="1:14" x14ac:dyDescent="0.35">
      <c r="A84" s="2">
        <v>44418</v>
      </c>
      <c r="B84" s="3">
        <v>33.9553603883965</v>
      </c>
      <c r="C84" s="3">
        <v>17.194469042875099</v>
      </c>
      <c r="D84" s="3">
        <v>15.1139027426649</v>
      </c>
      <c r="E84" s="3">
        <v>14.3035767612305</v>
      </c>
      <c r="F84" s="3">
        <v>15.683768596583</v>
      </c>
      <c r="G84" s="3">
        <v>19.880618069201201</v>
      </c>
      <c r="H84" s="3">
        <v>12.330897594680501</v>
      </c>
      <c r="I84" s="3">
        <v>27.878019815138899</v>
      </c>
      <c r="J84" s="3">
        <v>21.006740433284801</v>
      </c>
      <c r="K84" s="3">
        <v>16.8040119605594</v>
      </c>
      <c r="L84" s="3">
        <v>21.907428123578601</v>
      </c>
      <c r="M84" s="3">
        <v>18.620775518692501</v>
      </c>
      <c r="N84" s="3">
        <v>12.2973172087964</v>
      </c>
    </row>
    <row r="85" spans="1:14" x14ac:dyDescent="0.35">
      <c r="A85" s="2">
        <v>44449</v>
      </c>
      <c r="B85" s="3">
        <v>34.688577555292198</v>
      </c>
      <c r="C85" s="3">
        <v>17.016473562513799</v>
      </c>
      <c r="D85" s="3">
        <v>14.8977069740418</v>
      </c>
      <c r="E85" s="3">
        <v>14.027002608384</v>
      </c>
      <c r="F85" s="3">
        <v>16.123061930533002</v>
      </c>
      <c r="G85" s="3">
        <v>19.291137404274199</v>
      </c>
      <c r="H85" s="3">
        <v>11.9751124005448</v>
      </c>
      <c r="I85" s="3">
        <v>28.255653540649</v>
      </c>
      <c r="J85" s="3">
        <v>20.857052515834301</v>
      </c>
      <c r="K85" s="3">
        <v>16.211307779428498</v>
      </c>
      <c r="L85" s="3">
        <v>21.737472888542499</v>
      </c>
      <c r="M85" s="3">
        <v>18.475843664768199</v>
      </c>
      <c r="N85" s="3">
        <v>11.719117586318299</v>
      </c>
    </row>
    <row r="86" spans="1:14" x14ac:dyDescent="0.35">
      <c r="A86" s="2">
        <v>44477</v>
      </c>
      <c r="B86" s="3">
        <v>33.836337835543397</v>
      </c>
      <c r="C86" s="3">
        <v>17.2444094765758</v>
      </c>
      <c r="D86" s="3">
        <v>14.6150248342319</v>
      </c>
      <c r="E86" s="3">
        <v>13.4697489292329</v>
      </c>
      <c r="F86" s="3">
        <v>14.9001993999562</v>
      </c>
      <c r="G86" s="3">
        <v>18.4288348270169</v>
      </c>
      <c r="H86" s="3">
        <v>12.0657503984046</v>
      </c>
      <c r="I86" s="3">
        <v>27.211201998819199</v>
      </c>
      <c r="J86" s="3">
        <v>20.4286052971141</v>
      </c>
      <c r="K86" s="3">
        <v>15.4921927393993</v>
      </c>
      <c r="L86" s="3">
        <v>20.192968382275001</v>
      </c>
      <c r="M86" s="3">
        <v>17.639819676489001</v>
      </c>
      <c r="N86" s="3">
        <v>11.7237165099123</v>
      </c>
    </row>
    <row r="87" spans="1:14" x14ac:dyDescent="0.35">
      <c r="A87" s="2">
        <v>44510</v>
      </c>
      <c r="B87" s="3">
        <v>33.4591046684763</v>
      </c>
      <c r="C87" s="3">
        <v>17.5434208886583</v>
      </c>
      <c r="D87" s="3">
        <v>15.0012347867152</v>
      </c>
      <c r="E87" s="3">
        <v>13.797580323944601</v>
      </c>
      <c r="F87" s="3">
        <v>15.1456646567666</v>
      </c>
      <c r="G87" s="3">
        <v>19.323572457574901</v>
      </c>
      <c r="H87" s="3">
        <v>12.173651326979</v>
      </c>
      <c r="I87" s="3">
        <v>29.0169090333466</v>
      </c>
      <c r="J87" s="3">
        <v>21.2133088077846</v>
      </c>
      <c r="K87" s="3">
        <v>15.925875210485399</v>
      </c>
      <c r="L87" s="3">
        <v>21.361506527866101</v>
      </c>
      <c r="M87" s="3">
        <v>18.6120492121414</v>
      </c>
      <c r="N87" s="3">
        <v>11.773389967036399</v>
      </c>
    </row>
    <row r="88" spans="1:14" x14ac:dyDescent="0.35">
      <c r="A88" s="2">
        <v>44540</v>
      </c>
      <c r="B88" s="3">
        <v>32.437050383637498</v>
      </c>
      <c r="C88" s="3">
        <v>17.2270474759571</v>
      </c>
      <c r="D88" s="3">
        <v>14.242909136621901</v>
      </c>
      <c r="E88" s="3">
        <v>13.299053587243399</v>
      </c>
      <c r="F88" s="3">
        <v>14.532283814289499</v>
      </c>
      <c r="G88" s="3">
        <v>19.339885542312199</v>
      </c>
      <c r="H88" s="3">
        <v>11.9361464382373</v>
      </c>
      <c r="I88" s="3">
        <v>29.1991785879014</v>
      </c>
      <c r="J88" s="3">
        <v>21.186545050044099</v>
      </c>
      <c r="K88" s="3">
        <v>15.556072640802901</v>
      </c>
      <c r="L88" s="3">
        <v>20.211059989213101</v>
      </c>
      <c r="M88" s="3">
        <v>18.999171537292</v>
      </c>
      <c r="N88" s="3">
        <v>10.8563034542595</v>
      </c>
    </row>
    <row r="89" spans="1:14" x14ac:dyDescent="0.35">
      <c r="A89" s="2">
        <v>44571</v>
      </c>
      <c r="B89" s="3">
        <v>31.747139655166102</v>
      </c>
      <c r="C89" s="3">
        <v>17.447207854605701</v>
      </c>
      <c r="D89" s="3">
        <v>14.2930664774868</v>
      </c>
      <c r="E89" s="3">
        <v>13.2489271858406</v>
      </c>
      <c r="F89" s="3">
        <v>14.5282574032674</v>
      </c>
      <c r="G89" s="3">
        <v>19.031483468331501</v>
      </c>
      <c r="H89" s="3">
        <v>12.327058045818401</v>
      </c>
      <c r="I89" s="3">
        <v>27.803756632249002</v>
      </c>
      <c r="J89" s="3">
        <v>20.8037721495824</v>
      </c>
      <c r="K89" s="3">
        <v>15.619970072376899</v>
      </c>
      <c r="L89" s="3">
        <v>19.596979313015702</v>
      </c>
      <c r="M89" s="3">
        <v>17.826555385374501</v>
      </c>
      <c r="N89" s="3">
        <v>11.120055439398</v>
      </c>
    </row>
    <row r="90" spans="1:14" x14ac:dyDescent="0.35">
      <c r="A90" s="2">
        <v>44602</v>
      </c>
      <c r="B90" s="3">
        <v>30.5812861001173</v>
      </c>
      <c r="C90" s="3">
        <v>16.196865737222101</v>
      </c>
      <c r="D90" s="3">
        <v>14.407609947281999</v>
      </c>
      <c r="E90" s="3">
        <v>12.8811534980349</v>
      </c>
      <c r="F90" s="3">
        <v>13.9360191654003</v>
      </c>
      <c r="G90" s="3">
        <v>18.470739405329599</v>
      </c>
      <c r="H90" s="3">
        <v>12.4356130015112</v>
      </c>
      <c r="I90" s="3">
        <v>25.875443912039799</v>
      </c>
      <c r="J90" s="3">
        <v>19.8006163597755</v>
      </c>
      <c r="K90" s="3">
        <v>14.910667977308901</v>
      </c>
      <c r="L90" s="3">
        <v>18.6946209253788</v>
      </c>
      <c r="M90" s="3">
        <v>16.593906052862099</v>
      </c>
      <c r="N90" s="3">
        <v>10.7669794571868</v>
      </c>
    </row>
    <row r="91" spans="1:14" x14ac:dyDescent="0.35">
      <c r="A91" s="2">
        <v>44630</v>
      </c>
      <c r="B91" s="3">
        <v>28.873301753876099</v>
      </c>
      <c r="C91" s="3">
        <v>15.7181026865518</v>
      </c>
      <c r="D91" s="3">
        <v>13.6329563434892</v>
      </c>
      <c r="E91" s="3">
        <v>10.919756739247701</v>
      </c>
      <c r="F91" s="3">
        <v>12.567871568152199</v>
      </c>
      <c r="G91" s="3">
        <v>17.158993858824498</v>
      </c>
      <c r="H91" s="3">
        <v>11.204034683664901</v>
      </c>
      <c r="I91" s="3">
        <v>23.554019391230501</v>
      </c>
      <c r="J91" s="3">
        <v>18.476491435339099</v>
      </c>
      <c r="K91" s="3">
        <v>12.9174659146995</v>
      </c>
      <c r="L91" s="3">
        <v>16.550567173360498</v>
      </c>
      <c r="M91" s="3">
        <v>14.4850271446508</v>
      </c>
      <c r="N91" s="3">
        <v>9.0940910598004194</v>
      </c>
    </row>
    <row r="92" spans="1:14" x14ac:dyDescent="0.35">
      <c r="A92" s="2">
        <v>44659</v>
      </c>
      <c r="B92" s="3">
        <v>28.464225327956701</v>
      </c>
      <c r="C92" s="3">
        <v>15.8310059309749</v>
      </c>
      <c r="D92" s="3">
        <v>13.495896714076</v>
      </c>
      <c r="E92" s="3">
        <v>11.4808807463767</v>
      </c>
      <c r="F92" s="3">
        <v>12.8972630022551</v>
      </c>
      <c r="G92" s="3">
        <v>18.677845581419799</v>
      </c>
      <c r="H92" s="3">
        <v>11.3087864202269</v>
      </c>
      <c r="I92" s="3">
        <v>24.658248483374901</v>
      </c>
      <c r="J92" s="3">
        <v>19.1826565700465</v>
      </c>
      <c r="K92" s="3">
        <v>13.184581821333801</v>
      </c>
      <c r="L92" s="3">
        <v>17.829776218044199</v>
      </c>
      <c r="M92" s="3">
        <v>15.278139411647301</v>
      </c>
      <c r="N92" s="3">
        <v>9.7315101682922691</v>
      </c>
    </row>
    <row r="93" spans="1:14" x14ac:dyDescent="0.35">
      <c r="A93" s="2">
        <v>44691</v>
      </c>
      <c r="B93" s="3">
        <v>27.815580299836299</v>
      </c>
      <c r="C93" s="3">
        <v>14.079230155774701</v>
      </c>
      <c r="D93" s="3">
        <v>11.967430652963399</v>
      </c>
      <c r="E93" s="3">
        <v>10.4462636436047</v>
      </c>
      <c r="F93" s="3">
        <v>12.525743174091399</v>
      </c>
      <c r="G93" s="3">
        <v>16.7903190078138</v>
      </c>
      <c r="H93" s="3">
        <v>10.035981756493401</v>
      </c>
      <c r="I93" s="3">
        <v>21.440011888989201</v>
      </c>
      <c r="J93" s="3">
        <v>16.909423639164601</v>
      </c>
      <c r="K93" s="3">
        <v>11.8594507303167</v>
      </c>
      <c r="L93" s="3">
        <v>15.7085188075079</v>
      </c>
      <c r="M93" s="3">
        <v>15.259140002936499</v>
      </c>
      <c r="N93" s="3">
        <v>8.87093755375707</v>
      </c>
    </row>
    <row r="94" spans="1:14" x14ac:dyDescent="0.35">
      <c r="A94" s="2">
        <v>44722</v>
      </c>
      <c r="B94" s="3">
        <v>26.025026093782401</v>
      </c>
      <c r="C94" s="3">
        <v>13.453368530673499</v>
      </c>
      <c r="D94" s="3">
        <v>12.082157133385101</v>
      </c>
      <c r="E94" s="3">
        <v>10.490052045548101</v>
      </c>
      <c r="F94" s="3">
        <v>12.938834869974601</v>
      </c>
      <c r="G94" s="3">
        <v>15.9733284461668</v>
      </c>
      <c r="H94" s="3">
        <v>9.9876013149798393</v>
      </c>
      <c r="I94" s="3">
        <v>20.374703670911501</v>
      </c>
      <c r="J94" s="3">
        <v>16.297850775251799</v>
      </c>
      <c r="K94" s="3">
        <v>11.750528815977599</v>
      </c>
      <c r="L94" s="3">
        <v>16.606528812537299</v>
      </c>
      <c r="M94" s="3">
        <v>15.192987101441499</v>
      </c>
      <c r="N94" s="3">
        <v>8.1645442922353197</v>
      </c>
    </row>
    <row r="95" spans="1:14" x14ac:dyDescent="0.35">
      <c r="A95" s="2">
        <v>44750</v>
      </c>
      <c r="B95" s="3">
        <v>26.0828800049688</v>
      </c>
      <c r="C95" s="3">
        <v>12.884151676080201</v>
      </c>
      <c r="D95" s="3">
        <v>11.279735166765001</v>
      </c>
      <c r="E95" s="3">
        <v>9.9710957874304</v>
      </c>
      <c r="F95" s="3">
        <v>12.4498842631036</v>
      </c>
      <c r="G95" s="3">
        <v>16.155256843975401</v>
      </c>
      <c r="H95" s="3">
        <v>9.5281154880076908</v>
      </c>
      <c r="I95" s="3">
        <v>21.0093636070233</v>
      </c>
      <c r="J95" s="3">
        <v>16.259810043520499</v>
      </c>
      <c r="K95" s="3">
        <v>11.212534531489</v>
      </c>
      <c r="L95" s="3">
        <v>16.265608874686801</v>
      </c>
      <c r="M95" s="3">
        <v>14.829219531503901</v>
      </c>
      <c r="N95" s="3">
        <v>7.8544656109379298</v>
      </c>
    </row>
    <row r="96" spans="1:14" x14ac:dyDescent="0.35">
      <c r="A96" s="2">
        <v>44783</v>
      </c>
      <c r="B96" s="3">
        <v>26.585678511261701</v>
      </c>
      <c r="C96" s="3">
        <v>13.9733215717494</v>
      </c>
      <c r="D96" s="3">
        <v>11.7123333279419</v>
      </c>
      <c r="E96" s="3">
        <v>10.2816269863541</v>
      </c>
      <c r="F96" s="3">
        <v>12.7066666920002</v>
      </c>
      <c r="G96" s="3">
        <v>16.942066939751999</v>
      </c>
      <c r="H96" s="3">
        <v>9.9205204763220394</v>
      </c>
      <c r="I96" s="3">
        <v>23.863872034800099</v>
      </c>
      <c r="J96" s="3">
        <v>17.772178692023498</v>
      </c>
      <c r="K96" s="3">
        <v>11.837815962749699</v>
      </c>
      <c r="L96" s="3">
        <v>17.812474959350901</v>
      </c>
      <c r="M96" s="3">
        <v>15.067287244511</v>
      </c>
      <c r="N96" s="3">
        <v>7.7432275357364899</v>
      </c>
    </row>
    <row r="97" spans="1:14" x14ac:dyDescent="0.35">
      <c r="A97" s="2">
        <v>44813</v>
      </c>
      <c r="B97" s="3">
        <v>27.022048757648001</v>
      </c>
      <c r="C97" s="3">
        <v>13.6558920110344</v>
      </c>
      <c r="D97" s="3">
        <v>11.647477676577701</v>
      </c>
      <c r="E97" s="3">
        <v>9.8114101235171702</v>
      </c>
      <c r="F97" s="3">
        <v>12.849588741057801</v>
      </c>
      <c r="G97" s="3">
        <v>16.201735306469999</v>
      </c>
      <c r="H97" s="3">
        <v>9.3106181870154892</v>
      </c>
      <c r="I97" s="3">
        <v>22.320181469785702</v>
      </c>
      <c r="J97" s="3">
        <v>17.097034887982399</v>
      </c>
      <c r="K97" s="3">
        <v>11.217122860201799</v>
      </c>
      <c r="L97" s="3">
        <v>16.2211275956255</v>
      </c>
      <c r="M97" s="3">
        <v>14.100412797836199</v>
      </c>
      <c r="N97" s="3">
        <v>7.64621193624032</v>
      </c>
    </row>
    <row r="98" spans="1:14" x14ac:dyDescent="0.35">
      <c r="A98" s="2">
        <v>44844</v>
      </c>
      <c r="B98" s="3">
        <v>23.6492215527289</v>
      </c>
      <c r="C98" s="3">
        <v>12.9164373293252</v>
      </c>
      <c r="D98" s="3">
        <v>10.865029791719101</v>
      </c>
      <c r="E98" s="3">
        <v>9.0900424035366107</v>
      </c>
      <c r="F98" s="3">
        <v>12.3257235383455</v>
      </c>
      <c r="G98" s="3">
        <v>14.8832259860047</v>
      </c>
      <c r="H98" s="3">
        <v>8.6290610125346507</v>
      </c>
      <c r="I98" s="3">
        <v>19.473240381137099</v>
      </c>
      <c r="J98" s="3">
        <v>15.281105498801001</v>
      </c>
      <c r="K98" s="3">
        <v>10.3728840882925</v>
      </c>
      <c r="L98" s="3">
        <v>14.263109956884101</v>
      </c>
      <c r="M98" s="3">
        <v>12.9771523598712</v>
      </c>
      <c r="N98" s="3">
        <v>7.2960955058804302</v>
      </c>
    </row>
    <row r="99" spans="1:14" x14ac:dyDescent="0.35">
      <c r="A99" s="2">
        <v>44875</v>
      </c>
      <c r="B99" s="3">
        <v>23.146715637027999</v>
      </c>
      <c r="C99" s="3">
        <v>13.7926379894771</v>
      </c>
      <c r="D99" s="3">
        <v>11.9041280729635</v>
      </c>
      <c r="E99" s="3">
        <v>10.6158473128396</v>
      </c>
      <c r="F99" s="3">
        <v>12.5806909278066</v>
      </c>
      <c r="G99" s="3">
        <v>16.7820477926252</v>
      </c>
      <c r="H99" s="3">
        <v>9.4359580948493509</v>
      </c>
      <c r="I99" s="3">
        <v>21.6202133886292</v>
      </c>
      <c r="J99" s="3">
        <v>17.142612198829099</v>
      </c>
      <c r="K99" s="3">
        <v>11.7792208877023</v>
      </c>
      <c r="L99" s="3">
        <v>16.096650723355399</v>
      </c>
      <c r="M99" s="3">
        <v>13.1214247710445</v>
      </c>
      <c r="N99" s="3">
        <v>8.2687683426866894</v>
      </c>
    </row>
    <row r="100" spans="1:14" x14ac:dyDescent="0.35">
      <c r="A100" s="2">
        <v>44904</v>
      </c>
      <c r="B100" s="3">
        <v>23.2466483856347</v>
      </c>
      <c r="C100" s="3">
        <v>14.453192080048799</v>
      </c>
      <c r="D100" s="3">
        <v>12.18361533525</v>
      </c>
      <c r="E100" s="3">
        <v>10.7051481635387</v>
      </c>
      <c r="F100" s="3">
        <v>12.7492761601255</v>
      </c>
      <c r="G100" s="3">
        <v>16.781087288449001</v>
      </c>
      <c r="H100" s="3">
        <v>9.9407045018959792</v>
      </c>
      <c r="I100" s="3">
        <v>21.462161433791898</v>
      </c>
      <c r="J100" s="3">
        <v>17.0290960219473</v>
      </c>
      <c r="K100" s="3">
        <v>12.144143935119301</v>
      </c>
      <c r="L100" s="3">
        <v>16.342847567862499</v>
      </c>
      <c r="M100" s="3">
        <v>13.2761821999965</v>
      </c>
      <c r="N100" s="3">
        <v>7.7910508857829299</v>
      </c>
    </row>
    <row r="101" spans="1:14" x14ac:dyDescent="0.35">
      <c r="A101" s="2">
        <v>44936</v>
      </c>
      <c r="B101" s="3">
        <v>23.5849608796631</v>
      </c>
      <c r="C101" s="3">
        <v>14.114912071635599</v>
      </c>
      <c r="D101" s="3">
        <v>12.335294306370701</v>
      </c>
      <c r="E101" s="3">
        <v>11.1723573388769</v>
      </c>
      <c r="F101" s="3">
        <v>12.2009900492721</v>
      </c>
      <c r="G101" s="3">
        <v>16.925572923916899</v>
      </c>
      <c r="H101" s="3">
        <v>10.1764661231911</v>
      </c>
      <c r="I101" s="3">
        <v>21.368763442748701</v>
      </c>
      <c r="J101" s="3">
        <v>17.0313266829904</v>
      </c>
      <c r="K101" s="3">
        <v>12.5658722966601</v>
      </c>
      <c r="L101" s="3">
        <v>16.620370322774001</v>
      </c>
      <c r="M101" s="3">
        <v>13.4499386346611</v>
      </c>
      <c r="N101" s="3">
        <v>8.0977490337781095</v>
      </c>
    </row>
    <row r="102" spans="1:14" x14ac:dyDescent="0.35">
      <c r="A102" s="2">
        <v>44967</v>
      </c>
      <c r="B102" s="3">
        <v>24.430832276422802</v>
      </c>
      <c r="C102" s="3">
        <v>14.822442698247199</v>
      </c>
      <c r="D102" s="3">
        <v>12.9065813934905</v>
      </c>
      <c r="E102" s="3">
        <v>11.637815050103899</v>
      </c>
      <c r="F102" s="3">
        <v>13.0462940553299</v>
      </c>
      <c r="G102" s="3">
        <v>17.033805211601901</v>
      </c>
      <c r="H102" s="3">
        <v>10.5505285596105</v>
      </c>
      <c r="I102" s="3">
        <v>23.790162804119898</v>
      </c>
      <c r="J102" s="3">
        <v>18.0460421434362</v>
      </c>
      <c r="K102" s="3">
        <v>13.113980517337501</v>
      </c>
      <c r="L102" s="3">
        <v>16.870120907587701</v>
      </c>
      <c r="M102" s="3">
        <v>13.9522418566358</v>
      </c>
      <c r="N102" s="3">
        <v>8.4001322415510806</v>
      </c>
    </row>
    <row r="103" spans="1:14" x14ac:dyDescent="0.35">
      <c r="A103" s="2">
        <v>44995</v>
      </c>
      <c r="B103" s="3">
        <v>23.112869454327502</v>
      </c>
      <c r="C103" s="3">
        <v>14.132160683637199</v>
      </c>
      <c r="D103" s="3">
        <v>12.496565070677001</v>
      </c>
      <c r="E103" s="3">
        <v>11.4717203195541</v>
      </c>
      <c r="F103" s="3">
        <v>13.276627051534801</v>
      </c>
      <c r="G103" s="3">
        <v>16.650808195795101</v>
      </c>
      <c r="H103" s="3">
        <v>10.325042382363099</v>
      </c>
      <c r="I103" s="3">
        <v>22.621173889249</v>
      </c>
      <c r="J103" s="3">
        <v>16.9569489529705</v>
      </c>
      <c r="K103" s="3">
        <v>13.145556800588301</v>
      </c>
      <c r="L103" s="3">
        <v>16.186811518452402</v>
      </c>
      <c r="M103" s="3">
        <v>13.7023566875891</v>
      </c>
      <c r="N103" s="3">
        <v>8.5595105920185706</v>
      </c>
    </row>
    <row r="104" spans="1:14" x14ac:dyDescent="0.35">
      <c r="A104" s="2">
        <v>45026</v>
      </c>
      <c r="B104" s="3">
        <v>23.354899767507501</v>
      </c>
      <c r="C104" s="3">
        <v>14.388445132930601</v>
      </c>
      <c r="D104" s="3">
        <v>12.8255412911427</v>
      </c>
      <c r="E104" s="3">
        <v>11.305128960886201</v>
      </c>
      <c r="F104" s="3">
        <v>12.985603796869899</v>
      </c>
      <c r="G104" s="3">
        <v>17.256506824530799</v>
      </c>
      <c r="H104" s="3">
        <v>10.5313128713114</v>
      </c>
      <c r="I104" s="3">
        <v>24.730957856029701</v>
      </c>
      <c r="J104" s="3">
        <v>18.074077949245599</v>
      </c>
      <c r="K104" s="3">
        <v>13.3063256757357</v>
      </c>
      <c r="L104" s="3">
        <v>16.2410199229043</v>
      </c>
      <c r="M104" s="3">
        <v>13.4420181768294</v>
      </c>
      <c r="N104" s="3">
        <v>8.5608660771678409</v>
      </c>
    </row>
    <row r="105" spans="1:14" x14ac:dyDescent="0.35">
      <c r="A105" s="2">
        <v>45056</v>
      </c>
      <c r="B105" s="3">
        <v>23.640713154114898</v>
      </c>
      <c r="C105" s="3">
        <v>14.6961351592795</v>
      </c>
      <c r="D105" s="3">
        <v>13.019059479096599</v>
      </c>
      <c r="E105" s="3">
        <v>11.120468668557701</v>
      </c>
      <c r="F105" s="3">
        <v>13.646997142336801</v>
      </c>
      <c r="G105" s="3">
        <v>17.495586462239501</v>
      </c>
      <c r="H105" s="3">
        <v>10.572206279229601</v>
      </c>
      <c r="I105" s="3">
        <v>24.647090059938002</v>
      </c>
      <c r="J105" s="3">
        <v>18.0057784218825</v>
      </c>
      <c r="K105" s="3">
        <v>13.3281063468313</v>
      </c>
      <c r="L105" s="3">
        <v>15.692220411593899</v>
      </c>
      <c r="M105" s="3">
        <v>13.3692678160838</v>
      </c>
      <c r="N105" s="3">
        <v>8.3569804900970208</v>
      </c>
    </row>
    <row r="106" spans="1:14" x14ac:dyDescent="0.35">
      <c r="A106" s="2">
        <v>45086</v>
      </c>
      <c r="B106" s="3">
        <v>20.686226298781399</v>
      </c>
      <c r="C106" s="3">
        <v>14.5726792864749</v>
      </c>
      <c r="D106" s="3">
        <v>12.881105298563799</v>
      </c>
      <c r="E106" s="3">
        <v>10.7653955714364</v>
      </c>
      <c r="F106" s="3">
        <v>14.5563966304962</v>
      </c>
      <c r="G106" s="3">
        <v>16.4810585049268</v>
      </c>
      <c r="H106" s="3">
        <v>10.296002146607</v>
      </c>
      <c r="I106" s="3">
        <v>26.080430659911801</v>
      </c>
      <c r="J106" s="3">
        <v>18.501232079457399</v>
      </c>
      <c r="K106" s="3">
        <v>13.008666450634299</v>
      </c>
      <c r="L106" s="3">
        <v>15.6413015935373</v>
      </c>
      <c r="M106" s="3">
        <v>13.7103782183028</v>
      </c>
      <c r="N106" s="3">
        <v>8.5631520822216007</v>
      </c>
    </row>
    <row r="107" spans="1:14" x14ac:dyDescent="0.35">
      <c r="A107" s="2">
        <v>45117</v>
      </c>
      <c r="B107" s="3">
        <v>20.891422719090802</v>
      </c>
      <c r="C107" s="3">
        <v>14.530290858739701</v>
      </c>
      <c r="D107" s="3">
        <v>12.797823432768</v>
      </c>
      <c r="E107" s="3">
        <v>10.480026054862201</v>
      </c>
      <c r="F107" s="3">
        <v>14.4979469564559</v>
      </c>
      <c r="G107" s="3">
        <v>16.136100405301601</v>
      </c>
      <c r="H107" s="3">
        <v>10.0559596361743</v>
      </c>
      <c r="I107" s="3">
        <v>26.4252102467692</v>
      </c>
      <c r="J107" s="3">
        <v>18.942491178356899</v>
      </c>
      <c r="K107" s="3">
        <v>12.826754049776699</v>
      </c>
      <c r="L107" s="3">
        <v>15.601747893947399</v>
      </c>
      <c r="M107" s="3">
        <v>13.199751035816099</v>
      </c>
      <c r="N107" s="3">
        <v>8.6549270327496206</v>
      </c>
    </row>
    <row r="108" spans="1:14" x14ac:dyDescent="0.35">
      <c r="A108" s="2">
        <v>45148</v>
      </c>
      <c r="B108" s="3">
        <v>20.481382357411</v>
      </c>
      <c r="C108" s="3">
        <v>15.4728930189153</v>
      </c>
      <c r="D108" s="3">
        <v>13.264229013281399</v>
      </c>
      <c r="E108" s="3">
        <v>10.761887184739701</v>
      </c>
      <c r="F108" s="3">
        <v>14.550851212807199</v>
      </c>
      <c r="G108" s="3">
        <v>16.715326432663499</v>
      </c>
      <c r="H108" s="3">
        <v>10.624094814441399</v>
      </c>
      <c r="I108" s="3">
        <v>24.6262468442585</v>
      </c>
      <c r="J108" s="3">
        <v>18.930079446422202</v>
      </c>
      <c r="K108" s="3">
        <v>13.262434670584399</v>
      </c>
      <c r="L108" s="3">
        <v>15.561632076492</v>
      </c>
      <c r="M108" s="3">
        <v>13.2587708096914</v>
      </c>
      <c r="N108" s="3">
        <v>8.3662367647738094</v>
      </c>
    </row>
    <row r="109" spans="1:14" x14ac:dyDescent="0.35">
      <c r="A109" s="2">
        <v>45177</v>
      </c>
      <c r="B109" s="3">
        <v>20.335038479870398</v>
      </c>
      <c r="C109" s="3">
        <v>15.208686867631901</v>
      </c>
      <c r="D109" s="3">
        <v>13.0281649025912</v>
      </c>
      <c r="E109" s="3">
        <v>10.558605845533499</v>
      </c>
      <c r="F109" s="3">
        <v>14.6696799136915</v>
      </c>
      <c r="G109" s="3">
        <v>16.350921100736699</v>
      </c>
      <c r="H109" s="3">
        <v>10.337858577595201</v>
      </c>
      <c r="I109" s="3">
        <v>24.227072319739001</v>
      </c>
      <c r="J109" s="3">
        <v>18.601543692956799</v>
      </c>
      <c r="K109" s="3">
        <v>12.795433777907601</v>
      </c>
      <c r="L109" s="3">
        <v>14.2820983407612</v>
      </c>
      <c r="M109" s="3">
        <v>12.9363772360661</v>
      </c>
      <c r="N109" s="3">
        <v>8.3629033502777492</v>
      </c>
    </row>
    <row r="110" spans="1:14" x14ac:dyDescent="0.35">
      <c r="A110" s="2">
        <v>45209</v>
      </c>
      <c r="B110" s="3">
        <v>19.9247964050872</v>
      </c>
      <c r="C110" s="3">
        <v>14.7586350456813</v>
      </c>
      <c r="D110" s="3">
        <v>12.5605926312051</v>
      </c>
      <c r="E110" s="3">
        <v>10.330790750689101</v>
      </c>
      <c r="F110" s="3">
        <v>14.264783291164401</v>
      </c>
      <c r="G110" s="3">
        <v>16.215003957391598</v>
      </c>
      <c r="H110" s="3">
        <v>10.4725629140785</v>
      </c>
      <c r="I110" s="3">
        <v>23.724879004543201</v>
      </c>
      <c r="J110" s="3">
        <v>18.101995338693602</v>
      </c>
      <c r="K110" s="3">
        <v>12.508880406036001</v>
      </c>
      <c r="L110" s="3">
        <v>13.714570492796</v>
      </c>
      <c r="M110" s="3">
        <v>13.1356181881994</v>
      </c>
      <c r="N110" s="3">
        <v>8.2381310729295603</v>
      </c>
    </row>
    <row r="111" spans="1:14" x14ac:dyDescent="0.35">
      <c r="A111" s="2">
        <v>45240</v>
      </c>
      <c r="B111" s="3">
        <v>20.0927423564838</v>
      </c>
      <c r="C111" s="3">
        <v>14.7527074569694</v>
      </c>
      <c r="D111" s="3">
        <v>12.5111284538912</v>
      </c>
      <c r="E111" s="3">
        <v>10.2565263951604</v>
      </c>
      <c r="F111" s="3">
        <v>14.221830073314599</v>
      </c>
      <c r="G111" s="3">
        <v>15.7195907330994</v>
      </c>
      <c r="H111" s="3">
        <v>10.0694553593659</v>
      </c>
      <c r="I111" s="3">
        <v>23.988112528038499</v>
      </c>
      <c r="J111" s="3">
        <v>18.2559215576943</v>
      </c>
      <c r="K111" s="3">
        <v>12.4338646719306</v>
      </c>
      <c r="L111" s="3">
        <v>14.0557297633516</v>
      </c>
      <c r="M111" s="3">
        <v>12.7984855615799</v>
      </c>
      <c r="N111" s="3">
        <v>8.0912472326038003</v>
      </c>
    </row>
    <row r="112" spans="1:14" x14ac:dyDescent="0.35">
      <c r="A112" s="2">
        <v>45268</v>
      </c>
      <c r="B112" s="3">
        <v>21.831627134876801</v>
      </c>
      <c r="C112" s="3">
        <v>15.420328824117499</v>
      </c>
      <c r="D112" s="3">
        <v>13.198014869695699</v>
      </c>
      <c r="E112" s="3">
        <v>11.2520710888988</v>
      </c>
      <c r="F112" s="3">
        <v>13.872479117804399</v>
      </c>
      <c r="G112" s="3">
        <v>16.542061360037099</v>
      </c>
      <c r="H112" s="3">
        <v>10.557890309480401</v>
      </c>
      <c r="I112" s="3">
        <v>24.3238824355007</v>
      </c>
      <c r="J112" s="3">
        <v>18.837690056958401</v>
      </c>
      <c r="K112" s="3">
        <v>13.286684698084001</v>
      </c>
      <c r="L112" s="3">
        <v>14.8794040134136</v>
      </c>
      <c r="M112" s="3">
        <v>15.114108695157601</v>
      </c>
      <c r="N112" s="3">
        <v>8.8204313965182006</v>
      </c>
    </row>
    <row r="113" spans="1:25" x14ac:dyDescent="0.35">
      <c r="A113" s="2">
        <v>45301</v>
      </c>
      <c r="B113" s="3">
        <v>22.800987085240301</v>
      </c>
      <c r="C113" s="3">
        <v>16.079119288120499</v>
      </c>
      <c r="D113" s="3">
        <v>13.685874922948001</v>
      </c>
      <c r="E113" s="3">
        <v>11.105664526102499</v>
      </c>
      <c r="F113" s="3">
        <v>14.4292071881691</v>
      </c>
      <c r="G113" s="3">
        <v>17.042586015549499</v>
      </c>
      <c r="H113" s="3">
        <v>11.0197159235901</v>
      </c>
      <c r="I113" s="3">
        <v>24.9423846835608</v>
      </c>
      <c r="J113" s="3">
        <v>19.549420270732998</v>
      </c>
      <c r="K113" s="3">
        <v>13.2398465369851</v>
      </c>
      <c r="L113" s="3">
        <v>14.754191537589399</v>
      </c>
      <c r="M113" s="3">
        <v>15.2593178238203</v>
      </c>
      <c r="N113" s="3">
        <v>8.9554307694897908</v>
      </c>
    </row>
    <row r="114" spans="1:25" x14ac:dyDescent="0.35">
      <c r="A114" s="2">
        <v>45331</v>
      </c>
      <c r="B114" s="3">
        <v>22.227498874079799</v>
      </c>
      <c r="C114" s="3">
        <v>16.435808331911002</v>
      </c>
      <c r="D114" s="3">
        <v>13.9234353852866</v>
      </c>
      <c r="E114" s="3">
        <v>11.5231804189401</v>
      </c>
      <c r="F114" s="3">
        <v>15.015126742890899</v>
      </c>
      <c r="G114" s="3">
        <v>17.0331664846492</v>
      </c>
      <c r="H114" s="3">
        <v>11.004213263095799</v>
      </c>
      <c r="I114" s="3">
        <v>26.388221435454501</v>
      </c>
      <c r="J114" s="3">
        <v>20.393255227804701</v>
      </c>
      <c r="K114" s="3">
        <v>13.798909397032499</v>
      </c>
      <c r="L114" s="3">
        <v>16.298760016897798</v>
      </c>
      <c r="M114" s="3">
        <v>15.6974883778289</v>
      </c>
      <c r="N114" s="3">
        <v>9.0091752844517501</v>
      </c>
    </row>
    <row r="115" spans="1:25" x14ac:dyDescent="0.35">
      <c r="A115" s="2">
        <v>45359</v>
      </c>
      <c r="B115" s="3">
        <v>24.931681453583</v>
      </c>
      <c r="C115" s="3">
        <v>16.9445942902939</v>
      </c>
      <c r="D115" s="3">
        <v>14.484716239218599</v>
      </c>
      <c r="E115" s="3">
        <v>12.1052798238637</v>
      </c>
      <c r="F115" s="3">
        <v>15.741085072561599</v>
      </c>
      <c r="G115" s="3">
        <v>17.758800578154499</v>
      </c>
      <c r="H115" s="3">
        <v>11.2962107557855</v>
      </c>
      <c r="I115" s="3">
        <v>26.065905585109999</v>
      </c>
      <c r="J115" s="3">
        <v>20.516497718142201</v>
      </c>
      <c r="K115" s="3">
        <v>14.473141768277801</v>
      </c>
      <c r="L115" s="3">
        <v>16.1827463299473</v>
      </c>
      <c r="M115" s="3">
        <v>16.549801249001501</v>
      </c>
      <c r="N115" s="3">
        <v>9.4660207449298905</v>
      </c>
    </row>
    <row r="116" spans="1:25" x14ac:dyDescent="0.35">
      <c r="A116" s="2">
        <v>45392</v>
      </c>
      <c r="B116" s="3">
        <v>25.150375000070799</v>
      </c>
      <c r="C116" s="3">
        <v>16.760596456496</v>
      </c>
      <c r="D116" s="3">
        <v>14.6071454725791</v>
      </c>
      <c r="E116" s="3">
        <v>12.124435805890201</v>
      </c>
      <c r="F116" s="3">
        <v>15.633198399444399</v>
      </c>
      <c r="G116" s="3">
        <v>17.181835282099001</v>
      </c>
      <c r="H116" s="3">
        <v>11.5005249173868</v>
      </c>
      <c r="I116" s="3">
        <v>25.733666549879199</v>
      </c>
      <c r="J116" s="3">
        <v>20.481357440635399</v>
      </c>
      <c r="K116" s="3">
        <v>14.401093875014</v>
      </c>
      <c r="L116" s="3">
        <v>16.271677804864201</v>
      </c>
      <c r="M116" s="3">
        <v>16.313944900609101</v>
      </c>
      <c r="N116" s="3">
        <v>9.5771657815072899</v>
      </c>
    </row>
    <row r="117" spans="1:25" x14ac:dyDescent="0.35">
      <c r="A117" s="2">
        <v>45422</v>
      </c>
      <c r="B117" s="3">
        <v>25.224264283064599</v>
      </c>
      <c r="C117" s="3">
        <v>16.628783525192201</v>
      </c>
      <c r="D117" s="3">
        <v>14.469710821978801</v>
      </c>
      <c r="E117" s="3">
        <v>12.229867634457101</v>
      </c>
      <c r="F117" s="3">
        <v>15.319672334144601</v>
      </c>
      <c r="G117" s="3">
        <v>17.156765576460099</v>
      </c>
      <c r="H117" s="3">
        <v>11.9264296934798</v>
      </c>
      <c r="I117" s="3">
        <v>25.660315799135699</v>
      </c>
      <c r="J117" s="3">
        <v>20.473520453704399</v>
      </c>
      <c r="K117" s="3">
        <v>14.7600639061406</v>
      </c>
      <c r="L117" s="3">
        <v>16.156994817987201</v>
      </c>
      <c r="M117" s="3">
        <v>16.464855384257401</v>
      </c>
      <c r="N117" s="3">
        <v>9.7720371938744393</v>
      </c>
    </row>
    <row r="118" spans="1:25" x14ac:dyDescent="0.35">
      <c r="A118" s="2">
        <v>45453</v>
      </c>
      <c r="B118" s="3">
        <v>24.144919887623502</v>
      </c>
      <c r="C118" s="3">
        <v>16.9405763039269</v>
      </c>
      <c r="D118" s="3">
        <v>14.114108229965099</v>
      </c>
      <c r="E118" s="3">
        <v>11.9094761336316</v>
      </c>
      <c r="F118" s="3">
        <v>15.6251234781144</v>
      </c>
      <c r="G118" s="3">
        <v>17.3660279904771</v>
      </c>
      <c r="H118" s="3">
        <v>11.5530658362075</v>
      </c>
      <c r="I118" s="3">
        <v>26.328081784476801</v>
      </c>
      <c r="J118" s="3">
        <v>20.7079510457922</v>
      </c>
      <c r="K118" s="3">
        <v>14.1095277813994</v>
      </c>
      <c r="L118" s="3">
        <v>16.726997284854999</v>
      </c>
      <c r="M118" s="3">
        <v>16.124557323180699</v>
      </c>
      <c r="N118" s="3">
        <v>9.6959095091073095</v>
      </c>
    </row>
    <row r="119" spans="1:25" x14ac:dyDescent="0.35">
      <c r="A119" s="2">
        <v>45483</v>
      </c>
      <c r="B119" s="3">
        <v>24.499623499197899</v>
      </c>
      <c r="C119" s="3">
        <v>16.9986811156462</v>
      </c>
      <c r="D119" s="3">
        <v>14.145053954535101</v>
      </c>
      <c r="E119" s="3">
        <v>11.8197673018375</v>
      </c>
      <c r="F119" s="3">
        <v>16.197672099996201</v>
      </c>
      <c r="G119" s="3">
        <v>17.273731384067599</v>
      </c>
      <c r="H119" s="3">
        <v>11.483708085937</v>
      </c>
      <c r="I119" s="3">
        <v>28.126525874272399</v>
      </c>
      <c r="J119" s="3">
        <v>21.592555173826501</v>
      </c>
      <c r="K119" s="3">
        <v>13.5655161929839</v>
      </c>
      <c r="L119" s="3">
        <v>16.6231398819174</v>
      </c>
      <c r="M119" s="3">
        <v>15.898277365411699</v>
      </c>
      <c r="N119" s="3">
        <v>9.6375314184057803</v>
      </c>
    </row>
    <row r="120" spans="1:25" x14ac:dyDescent="0.35">
      <c r="A120" s="2">
        <v>45513</v>
      </c>
      <c r="B120" s="3">
        <v>25.376168230782501</v>
      </c>
      <c r="C120" s="3">
        <v>16.948795583125801</v>
      </c>
      <c r="D120" s="3">
        <v>13.951839661033899</v>
      </c>
      <c r="E120" s="3">
        <v>11.3643988686421</v>
      </c>
      <c r="F120" s="3">
        <v>13.4280572021481</v>
      </c>
      <c r="G120" s="3">
        <v>16.936732276681798</v>
      </c>
      <c r="H120" s="3">
        <v>11.3503517855252</v>
      </c>
      <c r="I120" s="3">
        <v>25.201484433206002</v>
      </c>
      <c r="J120" s="3">
        <v>20.305588811246601</v>
      </c>
      <c r="K120" s="3">
        <v>13.202612420367901</v>
      </c>
      <c r="L120" s="3">
        <v>14.7735025558865</v>
      </c>
      <c r="M120" s="3">
        <v>15.3878653896494</v>
      </c>
      <c r="N120" s="3">
        <v>9.2256060735054497</v>
      </c>
    </row>
    <row r="121" spans="1:25" x14ac:dyDescent="0.35">
      <c r="A121" s="2">
        <v>45545</v>
      </c>
      <c r="B121" s="3">
        <v>24.197856382869698</v>
      </c>
      <c r="C121" s="3">
        <v>17.7765765058159</v>
      </c>
      <c r="D121" s="3">
        <v>14.3662828622184</v>
      </c>
      <c r="E121" s="3">
        <v>11.9026416758248</v>
      </c>
      <c r="F121" s="3">
        <v>13.792422558794501</v>
      </c>
      <c r="G121" s="3">
        <v>17.029329358036598</v>
      </c>
      <c r="H121" s="3">
        <v>11.4680706068349</v>
      </c>
      <c r="I121" s="3">
        <v>25.080855646380101</v>
      </c>
      <c r="J121" s="3">
        <v>20.5896848339831</v>
      </c>
      <c r="K121" s="3">
        <v>13.429516458292699</v>
      </c>
      <c r="L121" s="3">
        <v>14.460589310662799</v>
      </c>
      <c r="M121" s="3">
        <v>15.596910280932599</v>
      </c>
      <c r="N121" s="3">
        <v>9.8249340972145092</v>
      </c>
    </row>
    <row r="122" spans="1:25" x14ac:dyDescent="0.35">
      <c r="A122" s="2">
        <v>45573</v>
      </c>
      <c r="B122" s="3">
        <v>24.309251830204101</v>
      </c>
      <c r="C122" s="3">
        <v>18.1969661506315</v>
      </c>
      <c r="D122" s="3">
        <v>15.154169455037801</v>
      </c>
      <c r="E122" s="3">
        <v>12.7094869372742</v>
      </c>
      <c r="F122" s="3">
        <v>14.6427122957341</v>
      </c>
      <c r="G122" s="3">
        <v>17.096908951945601</v>
      </c>
      <c r="H122" s="3">
        <v>11.7662455304602</v>
      </c>
      <c r="I122" s="3">
        <v>26.6065593247422</v>
      </c>
      <c r="J122" s="3">
        <v>21.570619563489</v>
      </c>
      <c r="K122" s="3">
        <v>13.817677645899201</v>
      </c>
      <c r="L122" s="3">
        <v>15.1303784360714</v>
      </c>
      <c r="M122" s="3">
        <v>16.376862147760399</v>
      </c>
      <c r="N122" s="3">
        <v>10.2748890249973</v>
      </c>
    </row>
    <row r="124" spans="1:25" x14ac:dyDescent="0.35">
      <c r="A124" s="2" t="s">
        <v>91</v>
      </c>
      <c r="B124" s="3" cm="1">
        <f t="array" ref="B124">MIN(_xlfn._xlws.FILTER(B1:B122, ISNUMBER(B1:B122)))</f>
        <v>16.984373896537701</v>
      </c>
      <c r="C124" s="3" cm="1">
        <f t="array" ref="C124">MIN(_xlfn._xlws.FILTER(C1:C122, ISNUMBER(C1:C122)))</f>
        <v>12.884151676080201</v>
      </c>
      <c r="D124" s="3" cm="1">
        <f t="array" ref="D124">MIN(_xlfn._xlws.FILTER(D1:D122, ISNUMBER(D1:D122)))</f>
        <v>10.865029791719101</v>
      </c>
      <c r="E124" s="3" cm="1">
        <f t="array" ref="E124">MIN(_xlfn._xlws.FILTER(E1:E122, ISNUMBER(E1:E122)))</f>
        <v>9.0900424035366107</v>
      </c>
      <c r="F124" s="3" cm="1">
        <f t="array" ref="F124">MIN(_xlfn._xlws.FILTER(F1:F122, ISNUMBER(F1:F122)))</f>
        <v>11.3728932215834</v>
      </c>
      <c r="G124" s="3" cm="1">
        <f t="array" ref="G124">MIN(_xlfn._xlws.FILTER(G1:G122, ISNUMBER(G1:G122)))</f>
        <v>14.8166086845059</v>
      </c>
      <c r="H124" s="3" cm="1">
        <f t="array" ref="H124">MIN(_xlfn._xlws.FILTER(H1:H122, ISNUMBER(H1:H122)))</f>
        <v>8.6290610125346507</v>
      </c>
      <c r="I124" s="3" cm="1">
        <f t="array" ref="I124">MIN(_xlfn._xlws.FILTER(I1:I122, ISNUMBER(I1:I122)))</f>
        <v>16.036064303294999</v>
      </c>
      <c r="J124" s="3" cm="1">
        <f t="array" ref="J124">MIN(_xlfn._xlws.FILTER(J1:J122, ISNUMBER(J1:J122)))</f>
        <v>14.5264828399597</v>
      </c>
      <c r="K124" s="3" cm="1">
        <f t="array" ref="K124">MIN(_xlfn._xlws.FILTER(K1:K122, ISNUMBER(K1:K122)))</f>
        <v>10.3728840882925</v>
      </c>
      <c r="L124" s="3" cm="1">
        <f t="array" ref="L124">MIN(_xlfn._xlws.FILTER(L1:L122, ISNUMBER(L1:L122)))</f>
        <v>13.361705434192199</v>
      </c>
      <c r="M124" s="3" cm="1">
        <f t="array" ref="M124">MIN(_xlfn._xlws.FILTER(M1:M122, ISNUMBER(M1:M122)))</f>
        <v>12.7984855615799</v>
      </c>
      <c r="N124" s="3" cm="1">
        <f t="array" ref="N124">MIN(_xlfn._xlws.FILTER(N1:N122, ISNUMBER(N1:N122)))</f>
        <v>7.2960955058804302</v>
      </c>
    </row>
    <row r="125" spans="1:25" x14ac:dyDescent="0.35">
      <c r="A125" s="2" t="s">
        <v>92</v>
      </c>
      <c r="B125" s="3" cm="1">
        <f t="array" ref="B125">MAX(_xlfn._xlws.FILTER(B1:B122, ISNUMBER(B1:B122)))</f>
        <v>35.364367520511301</v>
      </c>
      <c r="C125" s="3" cm="1">
        <f t="array" ref="C125">MAX(_xlfn._xlws.FILTER(C1:C122, ISNUMBER(C1:C122)))</f>
        <v>20.0862533019999</v>
      </c>
      <c r="D125" s="3" cm="1">
        <f t="array" ref="D125">MAX(_xlfn._xlws.FILTER(D1:D122, ISNUMBER(D1:D122)))</f>
        <v>18.3914770846797</v>
      </c>
      <c r="E125" s="3" cm="1">
        <f t="array" ref="E125">MAX(_xlfn._xlws.FILTER(E1:E122, ISNUMBER(E1:E122)))</f>
        <v>18.308896687491899</v>
      </c>
      <c r="F125" s="3" cm="1">
        <f t="array" ref="F125">MAX(_xlfn._xlws.FILTER(F1:F122, ISNUMBER(F1:F122)))</f>
        <v>18.94610995967</v>
      </c>
      <c r="G125" s="3" cm="1">
        <f t="array" ref="G125">MAX(_xlfn._xlws.FILTER(G1:G122, ISNUMBER(G1:G122)))</f>
        <v>19.880618069201201</v>
      </c>
      <c r="H125" s="3" cm="1">
        <f t="array" ref="H125">MAX(_xlfn._xlws.FILTER(H1:H122, ISNUMBER(H1:H122)))</f>
        <v>16.639683291466898</v>
      </c>
      <c r="I125" s="3" cm="1">
        <f t="array" ref="I125">MAX(_xlfn._xlws.FILTER(I1:I122, ISNUMBER(I1:I122)))</f>
        <v>30.4213250733489</v>
      </c>
      <c r="J125" s="3" cm="1">
        <f t="array" ref="J125">MAX(_xlfn._xlws.FILTER(J1:J122, ISNUMBER(J1:J122)))</f>
        <v>22.664841703425498</v>
      </c>
      <c r="K125" s="3" cm="1">
        <f t="array" ref="K125">MAX(_xlfn._xlws.FILTER(K1:K122, ISNUMBER(K1:K122)))</f>
        <v>19.6077840080507</v>
      </c>
      <c r="L125" s="3" cm="1">
        <f t="array" ref="L125">MAX(_xlfn._xlws.FILTER(L1:L122, ISNUMBER(L1:L122)))</f>
        <v>22.884572283335501</v>
      </c>
      <c r="M125" s="3" cm="1">
        <f t="array" ref="M125">MAX(_xlfn._xlws.FILTER(M1:M122, ISNUMBER(M1:M122)))</f>
        <v>20.6106303205753</v>
      </c>
      <c r="N125" s="3" cm="1">
        <f t="array" ref="N125">MAX(_xlfn._xlws.FILTER(N1:N122, ISNUMBER(N1:N122)))</f>
        <v>17.876984318065698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0.63100000000000001</v>
      </c>
      <c r="C127" s="9" cm="1">
        <f t="array" ref="C127">_xlfn.PERCENTRANK.EXC(_xlfn._xlws.FILTER(C1:C122, ISNUMBER(C1:C122)),C122)</f>
        <v>0.90900000000000003</v>
      </c>
      <c r="D127" s="9" cm="1">
        <f t="array" ref="D127">_xlfn.PERCENTRANK.EXC(_xlfn._xlws.FILTER(D1:D122, ISNUMBER(D1:D122)),D122)</f>
        <v>0.61399999999999999</v>
      </c>
      <c r="E127" s="9" cm="1">
        <f t="array" ref="E127">_xlfn.PERCENTRANK.EXC(_xlfn._xlws.FILTER(E1:E122, ISNUMBER(E1:E122)),E122)</f>
        <v>0.45900000000000002</v>
      </c>
      <c r="F127" s="9" cm="1">
        <f t="array" ref="F127">_xlfn.PERCENTRANK.EXC(_xlfn._xlws.FILTER(F1:F122, ISNUMBER(F1:F122)),F122)</f>
        <v>0.68</v>
      </c>
      <c r="G127" s="9" cm="1">
        <f t="array" ref="G127">_xlfn.PERCENTRANK.EXC(_xlfn._xlws.FILTER(G1:G122, ISNUMBER(G1:G122)),G122)</f>
        <v>0.50800000000000001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0.82699999999999996</v>
      </c>
      <c r="J127" s="9" cm="1">
        <f t="array" ref="J127">_xlfn.PERCENTRANK.EXC(_xlfn._xlws.FILTER(J1:J122, ISNUMBER(J1:J122)),J122)</f>
        <v>0.88500000000000001</v>
      </c>
      <c r="K127" s="9" cm="1">
        <f t="array" ref="K127">_xlfn.PERCENTRANK.EXC(_xlfn._xlws.FILTER(K1:K122, ISNUMBER(K1:K122)),K122)</f>
        <v>0.38500000000000001</v>
      </c>
      <c r="L127" s="9" cm="1">
        <f t="array" ref="L127">_xlfn.PERCENTRANK.EXC(_xlfn._xlws.FILTER(L1:L122, ISNUMBER(L1:L122)),L122)</f>
        <v>0.30299999999999999</v>
      </c>
      <c r="M127" s="9" cm="1">
        <f t="array" ref="M127">_xlfn.PERCENTRANK.EXC(_xlfn._xlws.FILTER(M1:M122, ISNUMBER(M1:M122)),M122)</f>
        <v>0.66300000000000003</v>
      </c>
      <c r="N127" s="9" cm="1">
        <f t="array" ref="N127">_xlfn.PERCENTRANK.EXC(_xlfn._xlws.FILTER(N1:N122, ISNUMBER(N1:N122)),N122)</f>
        <v>0.32700000000000001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41922</v>
      </c>
      <c r="B2" s="3" cm="1">
        <f t="array" ref="B2:B122">_xll.FDS(B1,"FMA_DIV_YLD(NTMA,-10AY,0,AM,""PORTAGG"",""MEANR"")")</f>
        <v>4.6080429488613497</v>
      </c>
      <c r="C2" s="3" cm="1">
        <f t="array" ref="C2:C122">_xll.FDS(C1,"FMA_DIV_YLD(NTMA,-10AY,0,AM,""PORTAGG"",""MEANR"")")</f>
        <v>5.16716047928794</v>
      </c>
      <c r="D2" s="3" cm="1">
        <f t="array" ref="D2:D122">_xll.FDS(D1,"FMA_DIV_YLD(NTMA,-10AY,0,AM,""PORTAGG"",""MEANR"")")</f>
        <v>3.0380649890814602</v>
      </c>
      <c r="E2" s="3" cm="1">
        <f t="array" ref="E2:E122">_xll.FDS(E1,"FMA_DIV_YLD(NTMA,-10AY,0,AM,""PORTAGG"",""MEANR"")")</f>
        <v>3.4436631308143402</v>
      </c>
      <c r="F2" s="3" cm="1">
        <f t="array" ref="F2:F122">_xll.FDS(F1,"FMA_DIV_YLD(NTMA,-10AY,0,AM,""PORTAGG"",""MEANR"")")</f>
        <v>2.16223506059452</v>
      </c>
      <c r="G2" s="3" cm="1">
        <f t="array" ref="G2:G122">_xll.FDS(G1,"FMA_DIV_YLD(NTMA,-10AY,0,AM,""PORTAGG"",""MEANR"")")</f>
        <v>3.50999395957838</v>
      </c>
      <c r="H2" s="3" cm="1">
        <f t="array" ref="H2:H122">_xll.FDS(H1,"FMA_DIV_YLD(NTMA,-10AY,0,AM,""PORTAGG"",""MEANR"")")</f>
        <v>4.2420047503523097</v>
      </c>
      <c r="I2" s="3" cm="1">
        <f t="array" ref="I2:I122">_xll.FDS(I1,"FMA_DIV_YLD(NTMA,-10AY,0,AM,""PORTAGG"",""MEANR"")")</f>
        <v>1.2989766103771301</v>
      </c>
      <c r="J2" s="3" cm="1">
        <f t="array" ref="J2:J122">_xll.FDS(J1,"FMA_DIV_YLD(NTMA,-10AY,0,AM,""PORTAGG"",""MEANR"")")</f>
        <v>2.2110482118582699</v>
      </c>
      <c r="K2" s="3" cm="1">
        <f t="array" ref="K2:K122">_xll.FDS(K1,"FMA_DIV_YLD(NTMA,-10AY,0,AM,""PORTAGG"",""MEANR"")")</f>
        <v>3.84671942820626</v>
      </c>
      <c r="L2" s="3" cm="1">
        <f t="array" ref="L2:L122">_xll.FDS(L1,"FMA_DIV_YLD(NTMA,-10AY,0,AM,""PORTAGG"",""MEANR"")")</f>
        <v>3.1775086043443799</v>
      </c>
      <c r="M2" s="3" cm="1">
        <f t="array" ref="M2:M122">_xll.FDS(M1,"FMA_DIV_YLD(NTMA,-10AY,0,AM,""PORTAGG"",""MEANR"")")</f>
        <v>4.5304000248011098</v>
      </c>
      <c r="N2" s="3" cm="1">
        <f t="array" ref="N2:N122">_xll.FDS(N1,"FMA_DIV_YLD(NTMA,-10AY,0,AM,""PORTAGG"",""MEANR"")")</f>
        <v>3.9751912211832301</v>
      </c>
    </row>
    <row r="3" spans="1:14" x14ac:dyDescent="0.35">
      <c r="A3" s="2">
        <v>41953</v>
      </c>
      <c r="B3" s="3">
        <v>4.4541542082726702</v>
      </c>
      <c r="C3" s="3">
        <v>4.8515867436289497</v>
      </c>
      <c r="D3" s="3">
        <v>2.94863482948085</v>
      </c>
      <c r="E3" s="3">
        <v>3.2958583055703299</v>
      </c>
      <c r="F3" s="3">
        <v>1.9867487395726</v>
      </c>
      <c r="G3" s="3">
        <v>3.3039097000870501</v>
      </c>
      <c r="H3" s="3">
        <v>4.0714798324885901</v>
      </c>
      <c r="I3" s="3">
        <v>1.2236683813812901</v>
      </c>
      <c r="J3" s="3">
        <v>2.09079127852752</v>
      </c>
      <c r="K3" s="3">
        <v>3.7041350930087198</v>
      </c>
      <c r="L3" s="3">
        <v>3.0933721308965501</v>
      </c>
      <c r="M3" s="3">
        <v>4.1622147652330304</v>
      </c>
      <c r="N3" s="3">
        <v>3.9839809334235299</v>
      </c>
    </row>
    <row r="4" spans="1:14" x14ac:dyDescent="0.35">
      <c r="A4" s="2">
        <v>41983</v>
      </c>
      <c r="B4" s="3">
        <v>4.4824800104059896</v>
      </c>
      <c r="C4" s="3">
        <v>5.0924340293483503</v>
      </c>
      <c r="D4" s="3">
        <v>3.1031217124854802</v>
      </c>
      <c r="E4" s="3">
        <v>3.1892874629496499</v>
      </c>
      <c r="F4" s="3">
        <v>1.9705877621457</v>
      </c>
      <c r="G4" s="3">
        <v>3.2783532602741601</v>
      </c>
      <c r="H4" s="3">
        <v>4.159228871541</v>
      </c>
      <c r="I4" s="3">
        <v>1.22623807986593</v>
      </c>
      <c r="J4" s="3">
        <v>2.1231331000753602</v>
      </c>
      <c r="K4" s="3">
        <v>3.6741575999882201</v>
      </c>
      <c r="L4" s="3">
        <v>3.0530306401412801</v>
      </c>
      <c r="M4" s="3">
        <v>4.1044978738796898</v>
      </c>
      <c r="N4" s="3">
        <v>3.97920018637299</v>
      </c>
    </row>
    <row r="5" spans="1:14" x14ac:dyDescent="0.35">
      <c r="A5" s="2">
        <v>42013</v>
      </c>
      <c r="B5" s="3">
        <v>4.42916115987728</v>
      </c>
      <c r="C5" s="3">
        <v>4.92127442003952</v>
      </c>
      <c r="D5" s="3">
        <v>2.99801577403161</v>
      </c>
      <c r="E5" s="3">
        <v>3.2380933413870099</v>
      </c>
      <c r="F5" s="3">
        <v>2.0245622381747199</v>
      </c>
      <c r="G5" s="3">
        <v>3.2964771795412098</v>
      </c>
      <c r="H5" s="3">
        <v>4.2231316795904101</v>
      </c>
      <c r="I5" s="3">
        <v>1.2123606656738199</v>
      </c>
      <c r="J5" s="3">
        <v>2.12001625623554</v>
      </c>
      <c r="K5" s="3">
        <v>3.7138369547049099</v>
      </c>
      <c r="L5" s="3">
        <v>3.13375663660281</v>
      </c>
      <c r="M5" s="3">
        <v>4.1537943816742002</v>
      </c>
      <c r="N5" s="3">
        <v>4.2721827037801603</v>
      </c>
    </row>
    <row r="6" spans="1:14" x14ac:dyDescent="0.35">
      <c r="A6" s="2">
        <v>42045</v>
      </c>
      <c r="B6" s="3">
        <v>4.28390309573631</v>
      </c>
      <c r="C6" s="3">
        <v>4.6785671635241499</v>
      </c>
      <c r="D6" s="3">
        <v>2.8728336987200298</v>
      </c>
      <c r="E6" s="3">
        <v>2.9449689299941801</v>
      </c>
      <c r="F6" s="3">
        <v>1.99390093274596</v>
      </c>
      <c r="G6" s="3">
        <v>3.29076115286176</v>
      </c>
      <c r="H6" s="3">
        <v>4.0113156402193502</v>
      </c>
      <c r="I6" s="3">
        <v>1.2480345659019301</v>
      </c>
      <c r="J6" s="3">
        <v>2.1300549326546698</v>
      </c>
      <c r="K6" s="3">
        <v>3.2956222146250602</v>
      </c>
      <c r="L6" s="3">
        <v>2.90132679985404</v>
      </c>
      <c r="M6" s="3">
        <v>3.77053937039368</v>
      </c>
      <c r="N6" s="3">
        <v>3.7368242634610702</v>
      </c>
    </row>
    <row r="7" spans="1:14" x14ac:dyDescent="0.35">
      <c r="A7" s="2">
        <v>42073</v>
      </c>
      <c r="B7" s="3">
        <v>4.2773275148842096</v>
      </c>
      <c r="C7" s="3">
        <v>4.6609097515995197</v>
      </c>
      <c r="D7" s="3">
        <v>2.96751056205657</v>
      </c>
      <c r="E7" s="3">
        <v>2.7631390903050499</v>
      </c>
      <c r="F7" s="3">
        <v>1.8893835743488701</v>
      </c>
      <c r="G7" s="3">
        <v>3.2126959536763402</v>
      </c>
      <c r="H7" s="3">
        <v>4.0491412494247498</v>
      </c>
      <c r="I7" s="3">
        <v>1.2718313209999801</v>
      </c>
      <c r="J7" s="3">
        <v>2.2012818775182699</v>
      </c>
      <c r="K7" s="3">
        <v>3.2747465105528901</v>
      </c>
      <c r="L7" s="3">
        <v>2.6923394143343402</v>
      </c>
      <c r="M7" s="3">
        <v>3.7266542254400901</v>
      </c>
      <c r="N7" s="3">
        <v>3.4710824343056501</v>
      </c>
    </row>
    <row r="8" spans="1:14" x14ac:dyDescent="0.35">
      <c r="A8" s="2">
        <v>42104</v>
      </c>
      <c r="B8" s="3">
        <v>4.4310958647291399</v>
      </c>
      <c r="C8" s="3">
        <v>4.5410517069019702</v>
      </c>
      <c r="D8" s="3">
        <v>2.8222379352445599</v>
      </c>
      <c r="E8" s="3">
        <v>2.6063371978410701</v>
      </c>
      <c r="F8" s="3">
        <v>1.84121609437922</v>
      </c>
      <c r="G8" s="3">
        <v>3.0236438881932699</v>
      </c>
      <c r="H8" s="3">
        <v>3.89618276633237</v>
      </c>
      <c r="I8" s="3">
        <v>1.2530926120260599</v>
      </c>
      <c r="J8" s="3">
        <v>2.1471923019209802</v>
      </c>
      <c r="K8" s="3">
        <v>3.0849576101286602</v>
      </c>
      <c r="L8" s="3">
        <v>2.5831034787212399</v>
      </c>
      <c r="M8" s="3">
        <v>3.6075712904039001</v>
      </c>
      <c r="N8" s="3">
        <v>3.0821105234421502</v>
      </c>
    </row>
    <row r="9" spans="1:14" x14ac:dyDescent="0.35">
      <c r="A9" s="2">
        <v>42132</v>
      </c>
      <c r="B9" s="3">
        <v>4.4979497626533904</v>
      </c>
      <c r="C9" s="3">
        <v>4.7682181059317301</v>
      </c>
      <c r="D9" s="3">
        <v>2.8597399369045799</v>
      </c>
      <c r="E9" s="3">
        <v>2.8329193735967002</v>
      </c>
      <c r="F9" s="3">
        <v>1.8762165620882001</v>
      </c>
      <c r="G9" s="3">
        <v>3.1188657877072798</v>
      </c>
      <c r="H9" s="3">
        <v>3.8617426325578101</v>
      </c>
      <c r="I9" s="3">
        <v>1.24649478998341</v>
      </c>
      <c r="J9" s="3">
        <v>2.1451483565735399</v>
      </c>
      <c r="K9" s="3">
        <v>3.2307337248358001</v>
      </c>
      <c r="L9" s="3">
        <v>2.7430899391467398</v>
      </c>
      <c r="M9" s="3">
        <v>3.8421826672580002</v>
      </c>
      <c r="N9" s="3">
        <v>3.1691124022687398</v>
      </c>
    </row>
    <row r="10" spans="1:14" x14ac:dyDescent="0.35">
      <c r="A10" s="2">
        <v>42165</v>
      </c>
      <c r="B10" s="3">
        <v>4.49928491435052</v>
      </c>
      <c r="C10" s="3">
        <v>4.9643924219413202</v>
      </c>
      <c r="D10" s="3">
        <v>2.9272411722687002</v>
      </c>
      <c r="E10" s="3">
        <v>2.9910215599704899</v>
      </c>
      <c r="F10" s="3">
        <v>1.90612334020298</v>
      </c>
      <c r="G10" s="3">
        <v>3.1512132069393601</v>
      </c>
      <c r="H10" s="3">
        <v>3.98370147657785</v>
      </c>
      <c r="I10" s="3">
        <v>1.24725496558472</v>
      </c>
      <c r="J10" s="3">
        <v>2.1658095044735499</v>
      </c>
      <c r="K10" s="3">
        <v>3.3393076774894199</v>
      </c>
      <c r="L10" s="3">
        <v>2.9030181335694301</v>
      </c>
      <c r="M10" s="3">
        <v>3.89272251520782</v>
      </c>
      <c r="N10" s="3">
        <v>3.2668182730806099</v>
      </c>
    </row>
    <row r="11" spans="1:14" x14ac:dyDescent="0.35">
      <c r="A11" s="2">
        <v>42195</v>
      </c>
      <c r="B11" s="3">
        <v>4.7104570306395699</v>
      </c>
      <c r="C11" s="3">
        <v>4.9663562887948203</v>
      </c>
      <c r="D11" s="3">
        <v>3.04958986768268</v>
      </c>
      <c r="E11" s="3">
        <v>2.9998593647693701</v>
      </c>
      <c r="F11" s="3">
        <v>1.9819089937400201</v>
      </c>
      <c r="G11" s="3">
        <v>3.1847482100504099</v>
      </c>
      <c r="H11" s="3">
        <v>4.1361340750537998</v>
      </c>
      <c r="I11" s="3">
        <v>1.26815330981798</v>
      </c>
      <c r="J11" s="3">
        <v>2.1948353186870202</v>
      </c>
      <c r="K11" s="3">
        <v>3.37716442667806</v>
      </c>
      <c r="L11" s="3">
        <v>2.9206618986266299</v>
      </c>
      <c r="M11" s="3">
        <v>3.9618229023014102</v>
      </c>
      <c r="N11" s="3">
        <v>3.27861299320685</v>
      </c>
    </row>
    <row r="12" spans="1:14" x14ac:dyDescent="0.35">
      <c r="A12" s="2">
        <v>42226</v>
      </c>
      <c r="B12" s="3">
        <v>4.6019233211430004</v>
      </c>
      <c r="C12" s="3">
        <v>4.9701800724416501</v>
      </c>
      <c r="D12" s="3">
        <v>3.0622970812310499</v>
      </c>
      <c r="E12" s="3">
        <v>2.9435992881052599</v>
      </c>
      <c r="F12" s="3">
        <v>1.8748430963635001</v>
      </c>
      <c r="G12" s="3">
        <v>3.1003882435669001</v>
      </c>
      <c r="H12" s="3">
        <v>4.0523675588457202</v>
      </c>
      <c r="I12" s="3">
        <v>1.26882441009771</v>
      </c>
      <c r="J12" s="3">
        <v>2.1961428597924</v>
      </c>
      <c r="K12" s="3">
        <v>3.2395836944776901</v>
      </c>
      <c r="L12" s="3">
        <v>3.0157324610098799</v>
      </c>
      <c r="M12" s="3">
        <v>3.9213861834555699</v>
      </c>
      <c r="N12" s="3">
        <v>3.0675456666621899</v>
      </c>
    </row>
    <row r="13" spans="1:14" x14ac:dyDescent="0.35">
      <c r="A13" s="2">
        <v>42257</v>
      </c>
      <c r="B13" s="3">
        <v>5.1268724772413199</v>
      </c>
      <c r="C13" s="3">
        <v>5.4176543239030703</v>
      </c>
      <c r="D13" s="3">
        <v>3.2295660057919799</v>
      </c>
      <c r="E13" s="3">
        <v>3.3431116231970002</v>
      </c>
      <c r="F13" s="3">
        <v>2.14911931726949</v>
      </c>
      <c r="G13" s="3">
        <v>3.3446681147552502</v>
      </c>
      <c r="H13" s="3">
        <v>4.4558469864608501</v>
      </c>
      <c r="I13" s="3">
        <v>1.35772959145788</v>
      </c>
      <c r="J13" s="3">
        <v>2.3781938073309101</v>
      </c>
      <c r="K13" s="3">
        <v>3.6597958484275899</v>
      </c>
      <c r="L13" s="3">
        <v>3.4567734093457601</v>
      </c>
      <c r="M13" s="3">
        <v>4.3139015546597497</v>
      </c>
      <c r="N13" s="3">
        <v>3.38629213996149</v>
      </c>
    </row>
    <row r="14" spans="1:14" x14ac:dyDescent="0.35">
      <c r="A14" s="2">
        <v>42286</v>
      </c>
      <c r="B14" s="3">
        <v>5.25610306562709</v>
      </c>
      <c r="C14" s="3">
        <v>5.1552897042727404</v>
      </c>
      <c r="D14" s="3">
        <v>3.1550501563961602</v>
      </c>
      <c r="E14" s="3">
        <v>3.3047440099960399</v>
      </c>
      <c r="F14" s="3">
        <v>2.1033070475893498</v>
      </c>
      <c r="G14" s="3">
        <v>3.34018456735464</v>
      </c>
      <c r="H14" s="3">
        <v>4.2159246806871904</v>
      </c>
      <c r="I14" s="3">
        <v>1.3388914690956</v>
      </c>
      <c r="J14" s="3">
        <v>2.3097088038473301</v>
      </c>
      <c r="K14" s="3">
        <v>3.5633729323425101</v>
      </c>
      <c r="L14" s="3">
        <v>3.4620863924617602</v>
      </c>
      <c r="M14" s="3">
        <v>4.3101516872700101</v>
      </c>
      <c r="N14" s="3">
        <v>3.5599579937008698</v>
      </c>
    </row>
    <row r="15" spans="1:14" x14ac:dyDescent="0.35">
      <c r="A15" s="2">
        <v>42318</v>
      </c>
      <c r="B15" s="3">
        <v>4.9005028443261898</v>
      </c>
      <c r="C15" s="3">
        <v>5.3909618928061596</v>
      </c>
      <c r="D15" s="3">
        <v>3.2925461717370501</v>
      </c>
      <c r="E15" s="3">
        <v>3.0003262636247401</v>
      </c>
      <c r="F15" s="3">
        <v>2.0144752820366501</v>
      </c>
      <c r="G15" s="3">
        <v>3.2854096025822499</v>
      </c>
      <c r="H15" s="3">
        <v>4.29327102100837</v>
      </c>
      <c r="I15" s="3">
        <v>1.2757666109977299</v>
      </c>
      <c r="J15" s="3">
        <v>2.2663357089168898</v>
      </c>
      <c r="K15" s="3">
        <v>3.4407088434244399</v>
      </c>
      <c r="L15" s="3">
        <v>3.18713642959754</v>
      </c>
      <c r="M15" s="3">
        <v>4.2057267926424897</v>
      </c>
      <c r="N15" s="3">
        <v>3.5845371352390001</v>
      </c>
    </row>
    <row r="16" spans="1:14" x14ac:dyDescent="0.35">
      <c r="A16" s="2">
        <v>42348</v>
      </c>
      <c r="B16" s="3">
        <v>4.8442938008776597</v>
      </c>
      <c r="C16" s="3">
        <v>5.4043471856237799</v>
      </c>
      <c r="D16" s="3">
        <v>3.4036424919764099</v>
      </c>
      <c r="E16" s="3">
        <v>3.07012411834341</v>
      </c>
      <c r="F16" s="3">
        <v>2.0903805535033699</v>
      </c>
      <c r="G16" s="3">
        <v>3.3342571531790002</v>
      </c>
      <c r="H16" s="3">
        <v>4.3754515961893699</v>
      </c>
      <c r="I16" s="3">
        <v>1.2809617357244201</v>
      </c>
      <c r="J16" s="3">
        <v>2.2948819424456</v>
      </c>
      <c r="K16" s="3">
        <v>3.6009675573452502</v>
      </c>
      <c r="L16" s="3">
        <v>3.3160301928245501</v>
      </c>
      <c r="M16" s="3">
        <v>4.3615949672304897</v>
      </c>
      <c r="N16" s="3">
        <v>3.7984618451346401</v>
      </c>
    </row>
    <row r="17" spans="1:14" x14ac:dyDescent="0.35">
      <c r="A17" s="2">
        <v>42377</v>
      </c>
      <c r="B17" s="3">
        <v>4.8687940019945204</v>
      </c>
      <c r="C17" s="3">
        <v>5.4611894413866304</v>
      </c>
      <c r="D17" s="3">
        <v>3.53317833530462</v>
      </c>
      <c r="E17" s="3">
        <v>3.3108190546449001</v>
      </c>
      <c r="F17" s="3">
        <v>2.25240336398616</v>
      </c>
      <c r="G17" s="3">
        <v>3.48936491368698</v>
      </c>
      <c r="H17" s="3">
        <v>4.5680955802656404</v>
      </c>
      <c r="I17" s="3">
        <v>1.3572659859940199</v>
      </c>
      <c r="J17" s="3">
        <v>2.4661001995162999</v>
      </c>
      <c r="K17" s="3">
        <v>3.8430289817446401</v>
      </c>
      <c r="L17" s="3">
        <v>3.33034751755042</v>
      </c>
      <c r="M17" s="3">
        <v>4.6036225173444203</v>
      </c>
      <c r="N17" s="3">
        <v>4.14061568249448</v>
      </c>
    </row>
    <row r="18" spans="1:14" x14ac:dyDescent="0.35">
      <c r="A18" s="2">
        <v>42410</v>
      </c>
      <c r="B18" s="3">
        <v>4.9602849509261304</v>
      </c>
      <c r="C18" s="3">
        <v>5.3563885526633497</v>
      </c>
      <c r="D18" s="3">
        <v>3.5595349791249502</v>
      </c>
      <c r="E18" s="3">
        <v>3.6387195537670398</v>
      </c>
      <c r="F18" s="3">
        <v>2.57886058806214</v>
      </c>
      <c r="G18" s="3">
        <v>3.6115932273837901</v>
      </c>
      <c r="H18" s="3">
        <v>4.7272549397471204</v>
      </c>
      <c r="I18" s="3">
        <v>1.4836689426312699</v>
      </c>
      <c r="J18" s="3">
        <v>2.4518202590146898</v>
      </c>
      <c r="K18" s="3">
        <v>4.0763892762738303</v>
      </c>
      <c r="L18" s="3">
        <v>3.6142774679338801</v>
      </c>
      <c r="M18" s="3">
        <v>4.6203383164161203</v>
      </c>
      <c r="N18" s="3">
        <v>4.8256891686062797</v>
      </c>
    </row>
    <row r="19" spans="1:14" x14ac:dyDescent="0.35">
      <c r="A19" s="2">
        <v>42439</v>
      </c>
      <c r="B19" s="3">
        <v>4.6932098659719399</v>
      </c>
      <c r="C19" s="3">
        <v>4.7506971651166703</v>
      </c>
      <c r="D19" s="3">
        <v>3.17153354331594</v>
      </c>
      <c r="E19" s="3">
        <v>3.4591907995566502</v>
      </c>
      <c r="F19" s="3">
        <v>2.37922811147866</v>
      </c>
      <c r="G19" s="3">
        <v>3.5247066345357401</v>
      </c>
      <c r="H19" s="3">
        <v>4.4589920994749201</v>
      </c>
      <c r="I19" s="3">
        <v>1.39105833653301</v>
      </c>
      <c r="J19" s="3">
        <v>2.4751977345461702</v>
      </c>
      <c r="K19" s="3">
        <v>3.8081086969632398</v>
      </c>
      <c r="L19" s="3">
        <v>3.3715076390384899</v>
      </c>
      <c r="M19" s="3">
        <v>4.3471054558985998</v>
      </c>
      <c r="N19" s="3">
        <v>4.3820806804450303</v>
      </c>
    </row>
    <row r="20" spans="1:14" x14ac:dyDescent="0.35">
      <c r="A20" s="2">
        <v>42468</v>
      </c>
      <c r="B20" s="3">
        <v>4.5678618768205501</v>
      </c>
      <c r="C20" s="3">
        <v>5.0000783642359297</v>
      </c>
      <c r="D20" s="3">
        <v>3.1818577176448102</v>
      </c>
      <c r="E20" s="3">
        <v>3.4090693814605002</v>
      </c>
      <c r="F20" s="3">
        <v>2.5064808424046401</v>
      </c>
      <c r="G20" s="3">
        <v>3.53921875150355</v>
      </c>
      <c r="H20" s="3">
        <v>4.3632449875150598</v>
      </c>
      <c r="I20" s="3">
        <v>1.3378320142356199</v>
      </c>
      <c r="J20" s="3">
        <v>2.2917987413403398</v>
      </c>
      <c r="K20" s="3">
        <v>3.8392086825825298</v>
      </c>
      <c r="L20" s="3">
        <v>3.37669772482865</v>
      </c>
      <c r="M20" s="3">
        <v>4.3952333294386703</v>
      </c>
      <c r="N20" s="3">
        <v>4.5829404350719702</v>
      </c>
    </row>
    <row r="21" spans="1:14" x14ac:dyDescent="0.35">
      <c r="A21" s="2">
        <v>42500</v>
      </c>
      <c r="B21" s="3">
        <v>4.5118429085369502</v>
      </c>
      <c r="C21" s="3">
        <v>4.5680379012554297</v>
      </c>
      <c r="D21" s="3">
        <v>3.0991649888383699</v>
      </c>
      <c r="E21" s="3">
        <v>3.3188305383131498</v>
      </c>
      <c r="F21" s="3">
        <v>2.4025033745420101</v>
      </c>
      <c r="G21" s="3">
        <v>3.5360280913438999</v>
      </c>
      <c r="H21" s="3">
        <v>4.3557981217589496</v>
      </c>
      <c r="I21" s="3">
        <v>1.37458797037491</v>
      </c>
      <c r="J21" s="3">
        <v>2.2927014117324598</v>
      </c>
      <c r="K21" s="3">
        <v>3.7890031665464599</v>
      </c>
      <c r="L21" s="3">
        <v>3.3810700969886098</v>
      </c>
      <c r="M21" s="3">
        <v>4.4054026756659299</v>
      </c>
      <c r="N21" s="3">
        <v>4.4991383637289104</v>
      </c>
    </row>
    <row r="22" spans="1:14" x14ac:dyDescent="0.35">
      <c r="A22" s="2">
        <v>42531</v>
      </c>
      <c r="B22" s="3">
        <v>4.3649597620195904</v>
      </c>
      <c r="C22" s="3">
        <v>4.6091748829277304</v>
      </c>
      <c r="D22" s="3">
        <v>3.0661596082904099</v>
      </c>
      <c r="E22" s="3">
        <v>3.4186106729555998</v>
      </c>
      <c r="F22" s="3">
        <v>2.3792828658984901</v>
      </c>
      <c r="G22" s="3">
        <v>3.5485109459125201</v>
      </c>
      <c r="H22" s="3">
        <v>4.3872951075890096</v>
      </c>
      <c r="I22" s="3">
        <v>1.3621594770997001</v>
      </c>
      <c r="J22" s="3">
        <v>2.2771095330445799</v>
      </c>
      <c r="K22" s="3">
        <v>3.8509698530239</v>
      </c>
      <c r="L22" s="3">
        <v>3.2714917012433</v>
      </c>
      <c r="M22" s="3">
        <v>4.5578898164159503</v>
      </c>
      <c r="N22" s="3">
        <v>4.7878873173571899</v>
      </c>
    </row>
    <row r="23" spans="1:14" x14ac:dyDescent="0.35">
      <c r="A23" s="2">
        <v>42559</v>
      </c>
      <c r="B23" s="3">
        <v>4.3483130523914602</v>
      </c>
      <c r="C23" s="3">
        <v>4.6968500275617204</v>
      </c>
      <c r="D23" s="3">
        <v>3.0471929614728999</v>
      </c>
      <c r="E23" s="3">
        <v>3.50170641485408</v>
      </c>
      <c r="F23" s="3">
        <v>2.6083601718160501</v>
      </c>
      <c r="G23" s="3">
        <v>3.5623870321956099</v>
      </c>
      <c r="H23" s="3">
        <v>4.24241830931427</v>
      </c>
      <c r="I23" s="3">
        <v>1.3341385750911099</v>
      </c>
      <c r="J23" s="3">
        <v>2.24878536754114</v>
      </c>
      <c r="K23" s="3">
        <v>3.9487065837710098</v>
      </c>
      <c r="L23" s="3">
        <v>3.3538626822397499</v>
      </c>
      <c r="M23" s="3">
        <v>4.5071894874951397</v>
      </c>
      <c r="N23" s="3">
        <v>5.0236299961076503</v>
      </c>
    </row>
    <row r="24" spans="1:14" x14ac:dyDescent="0.35">
      <c r="A24" s="2">
        <v>42592</v>
      </c>
      <c r="B24" s="3">
        <v>4.1435000531939998</v>
      </c>
      <c r="C24" s="3">
        <v>4.4371515853324599</v>
      </c>
      <c r="D24" s="3">
        <v>2.9410735196139401</v>
      </c>
      <c r="E24" s="3">
        <v>3.1627581855748299</v>
      </c>
      <c r="F24" s="3">
        <v>2.3945369833778498</v>
      </c>
      <c r="G24" s="3">
        <v>3.4525994710038201</v>
      </c>
      <c r="H24" s="3">
        <v>4.07774007490573</v>
      </c>
      <c r="I24" s="3">
        <v>1.2813482959765601</v>
      </c>
      <c r="J24" s="3">
        <v>2.2110180232535899</v>
      </c>
      <c r="K24" s="3">
        <v>3.7229332967956701</v>
      </c>
      <c r="L24" s="3">
        <v>3.1599609077453801</v>
      </c>
      <c r="M24" s="3">
        <v>4.2406386719598901</v>
      </c>
      <c r="N24" s="3">
        <v>4.7428551726746697</v>
      </c>
    </row>
    <row r="25" spans="1:14" x14ac:dyDescent="0.35">
      <c r="A25" s="2">
        <v>42622</v>
      </c>
      <c r="B25" s="3">
        <v>4.1503589274878303</v>
      </c>
      <c r="C25" s="3">
        <v>4.6205031078713503</v>
      </c>
      <c r="D25" s="3">
        <v>2.98454648841571</v>
      </c>
      <c r="E25" s="3">
        <v>3.1846259917613899</v>
      </c>
      <c r="F25" s="3">
        <v>2.34644872613198</v>
      </c>
      <c r="G25" s="3">
        <v>3.4483318970418</v>
      </c>
      <c r="H25" s="3">
        <v>4.1605879941920696</v>
      </c>
      <c r="I25" s="3">
        <v>1.31642251813892</v>
      </c>
      <c r="J25" s="3">
        <v>2.2631754895949201</v>
      </c>
      <c r="K25" s="3">
        <v>3.6855396281123101</v>
      </c>
      <c r="L25" s="3">
        <v>3.1553595598421502</v>
      </c>
      <c r="M25" s="3">
        <v>4.2212904624640899</v>
      </c>
      <c r="N25" s="3">
        <v>4.7194869864076896</v>
      </c>
    </row>
    <row r="26" spans="1:14" x14ac:dyDescent="0.35">
      <c r="A26" s="2">
        <v>42653</v>
      </c>
      <c r="B26" s="3">
        <v>4.47425924384547</v>
      </c>
      <c r="C26" s="3">
        <v>4.5083003722614903</v>
      </c>
      <c r="D26" s="3">
        <v>2.9641226089523101</v>
      </c>
      <c r="E26" s="3">
        <v>3.1282875944567698</v>
      </c>
      <c r="F26" s="3">
        <v>2.3614836040047802</v>
      </c>
      <c r="G26" s="3">
        <v>3.5031303189829202</v>
      </c>
      <c r="H26" s="3">
        <v>4.1787490749140899</v>
      </c>
      <c r="I26" s="3">
        <v>1.2567244813104701</v>
      </c>
      <c r="J26" s="3">
        <v>2.2268261086038601</v>
      </c>
      <c r="K26" s="3">
        <v>3.7215643208770102</v>
      </c>
      <c r="L26" s="3">
        <v>3.0996177957561999</v>
      </c>
      <c r="M26" s="3">
        <v>4.1100364592266798</v>
      </c>
      <c r="N26" s="3">
        <v>4.9141109573318804</v>
      </c>
    </row>
    <row r="27" spans="1:14" x14ac:dyDescent="0.35">
      <c r="A27" s="2">
        <v>42684</v>
      </c>
      <c r="B27" s="3">
        <v>4.7283683330889401</v>
      </c>
      <c r="C27" s="3">
        <v>4.6475149209783204</v>
      </c>
      <c r="D27" s="3">
        <v>2.9317320380965999</v>
      </c>
      <c r="E27" s="3">
        <v>3.18836971710037</v>
      </c>
      <c r="F27" s="3">
        <v>2.3382512517253602</v>
      </c>
      <c r="G27" s="3">
        <v>3.6074173263065501</v>
      </c>
      <c r="H27" s="3">
        <v>4.3923431334435401</v>
      </c>
      <c r="I27" s="3">
        <v>1.3106153444484601</v>
      </c>
      <c r="J27" s="3">
        <v>2.2365442092982102</v>
      </c>
      <c r="K27" s="3">
        <v>3.7101548586181199</v>
      </c>
      <c r="L27" s="3">
        <v>3.1802690004449099</v>
      </c>
      <c r="M27" s="3">
        <v>4.0723560577504196</v>
      </c>
      <c r="N27" s="3">
        <v>4.7859568094293596</v>
      </c>
    </row>
    <row r="28" spans="1:14" x14ac:dyDescent="0.35">
      <c r="A28" s="2">
        <v>42713</v>
      </c>
      <c r="B28" s="3">
        <v>4.6078893654269004</v>
      </c>
      <c r="C28" s="3">
        <v>4.5290890574088696</v>
      </c>
      <c r="D28" s="3">
        <v>2.8336727189192699</v>
      </c>
      <c r="E28" s="3">
        <v>3.0388274934947002</v>
      </c>
      <c r="F28" s="3">
        <v>2.1008705476222902</v>
      </c>
      <c r="G28" s="3">
        <v>3.5978337402602798</v>
      </c>
      <c r="H28" s="3">
        <v>4.3294080662077796</v>
      </c>
      <c r="I28" s="3">
        <v>1.2868140146648199</v>
      </c>
      <c r="J28" s="3">
        <v>2.1628905059160499</v>
      </c>
      <c r="K28" s="3">
        <v>3.5387359039136501</v>
      </c>
      <c r="L28" s="3">
        <v>3.04139651137152</v>
      </c>
      <c r="M28" s="3">
        <v>3.8795934791461</v>
      </c>
      <c r="N28" s="3">
        <v>4.5355066729458704</v>
      </c>
    </row>
    <row r="29" spans="1:14" x14ac:dyDescent="0.35">
      <c r="A29" s="2">
        <v>42745</v>
      </c>
      <c r="B29" s="3">
        <v>4.5229804087134902</v>
      </c>
      <c r="C29" s="3">
        <v>4.4455853827233298</v>
      </c>
      <c r="D29" s="3">
        <v>2.8275308057797801</v>
      </c>
      <c r="E29" s="3">
        <v>2.9541613662984001</v>
      </c>
      <c r="F29" s="3">
        <v>2.10051950940497</v>
      </c>
      <c r="G29" s="3">
        <v>3.47098098897923</v>
      </c>
      <c r="H29" s="3">
        <v>4.2359577607084198</v>
      </c>
      <c r="I29" s="3">
        <v>1.25955369690347</v>
      </c>
      <c r="J29" s="3">
        <v>2.1637175743595298</v>
      </c>
      <c r="K29" s="3">
        <v>3.4480944671203502</v>
      </c>
      <c r="L29" s="3">
        <v>2.9571810978903499</v>
      </c>
      <c r="M29" s="3">
        <v>3.9185398982148101</v>
      </c>
      <c r="N29" s="3">
        <v>4.3169000803232302</v>
      </c>
    </row>
    <row r="30" spans="1:14" x14ac:dyDescent="0.35">
      <c r="A30" s="2">
        <v>42776</v>
      </c>
      <c r="B30" s="3">
        <v>4.5066770999080497</v>
      </c>
      <c r="C30" s="3">
        <v>4.5227661126483003</v>
      </c>
      <c r="D30" s="3">
        <v>2.7980843190457798</v>
      </c>
      <c r="E30" s="3">
        <v>2.9746206237300399</v>
      </c>
      <c r="F30" s="3">
        <v>2.1241671633640098</v>
      </c>
      <c r="G30" s="3">
        <v>3.4192880236010801</v>
      </c>
      <c r="H30" s="3">
        <v>4.2569869973863996</v>
      </c>
      <c r="I30" s="3">
        <v>1.2402075972484099</v>
      </c>
      <c r="J30" s="3">
        <v>2.1411789885740502</v>
      </c>
      <c r="K30" s="3">
        <v>3.5044872333195398</v>
      </c>
      <c r="L30" s="3">
        <v>2.915858114188</v>
      </c>
      <c r="M30" s="3">
        <v>3.6679564289329898</v>
      </c>
      <c r="N30" s="3">
        <v>4.4459997597640504</v>
      </c>
    </row>
    <row r="31" spans="1:14" x14ac:dyDescent="0.35">
      <c r="A31" s="2">
        <v>42804</v>
      </c>
      <c r="B31" s="3">
        <v>4.5628965855188603</v>
      </c>
      <c r="C31" s="3">
        <v>4.5355825319113299</v>
      </c>
      <c r="D31" s="3">
        <v>2.9046325043350398</v>
      </c>
      <c r="E31" s="3">
        <v>2.9547148932438598</v>
      </c>
      <c r="F31" s="3">
        <v>2.1197184052445399</v>
      </c>
      <c r="G31" s="3">
        <v>3.34952494544337</v>
      </c>
      <c r="H31" s="3">
        <v>4.3278016601036997</v>
      </c>
      <c r="I31" s="3">
        <v>1.2149528090967501</v>
      </c>
      <c r="J31" s="3">
        <v>2.1010324022583902</v>
      </c>
      <c r="K31" s="3">
        <v>3.4274483038200101</v>
      </c>
      <c r="L31" s="3">
        <v>2.7703963195297798</v>
      </c>
      <c r="M31" s="3">
        <v>3.6302758418666201</v>
      </c>
      <c r="N31" s="3">
        <v>4.0675020700204296</v>
      </c>
    </row>
    <row r="32" spans="1:14" x14ac:dyDescent="0.35">
      <c r="A32" s="2">
        <v>42835</v>
      </c>
      <c r="B32" s="3">
        <v>4.54815424712202</v>
      </c>
      <c r="C32" s="3">
        <v>4.4948608863808097</v>
      </c>
      <c r="D32" s="3">
        <v>2.8928343992073899</v>
      </c>
      <c r="E32" s="3">
        <v>2.9202008016371699</v>
      </c>
      <c r="F32" s="3">
        <v>2.2432311715707298</v>
      </c>
      <c r="G32" s="3">
        <v>3.43954866538144</v>
      </c>
      <c r="H32" s="3">
        <v>4.3407237485566403</v>
      </c>
      <c r="I32" s="3">
        <v>1.2138641612054399</v>
      </c>
      <c r="J32" s="3">
        <v>2.1235494706275402</v>
      </c>
      <c r="K32" s="3">
        <v>3.3642311516507601</v>
      </c>
      <c r="L32" s="3">
        <v>2.7711866709013702</v>
      </c>
      <c r="M32" s="3">
        <v>3.6597739713751101</v>
      </c>
      <c r="N32" s="3">
        <v>3.9681084053704598</v>
      </c>
    </row>
    <row r="33" spans="1:14" x14ac:dyDescent="0.35">
      <c r="A33" s="2">
        <v>42865</v>
      </c>
      <c r="B33" s="3">
        <v>4.4621740315277201</v>
      </c>
      <c r="C33" s="3">
        <v>4.54200600865759</v>
      </c>
      <c r="D33" s="3">
        <v>2.9312961294398798</v>
      </c>
      <c r="E33" s="3">
        <v>2.8563092428870398</v>
      </c>
      <c r="F33" s="3">
        <v>2.1472181840395801</v>
      </c>
      <c r="G33" s="3">
        <v>3.3026735964149401</v>
      </c>
      <c r="H33" s="3">
        <v>4.2715239211091998</v>
      </c>
      <c r="I33" s="3">
        <v>1.1736657597400799</v>
      </c>
      <c r="J33" s="3">
        <v>2.1008668567108999</v>
      </c>
      <c r="K33" s="3">
        <v>3.20125900135579</v>
      </c>
      <c r="L33" s="3">
        <v>2.69064199766024</v>
      </c>
      <c r="M33" s="3">
        <v>3.5007174310847602</v>
      </c>
      <c r="N33" s="3">
        <v>3.7600664088576901</v>
      </c>
    </row>
    <row r="34" spans="1:14" x14ac:dyDescent="0.35">
      <c r="A34" s="2">
        <v>42895</v>
      </c>
      <c r="B34" s="3">
        <v>4.4598393393556801</v>
      </c>
      <c r="C34" s="3">
        <v>4.6941197291704704</v>
      </c>
      <c r="D34" s="3">
        <v>2.9769386552952599</v>
      </c>
      <c r="E34" s="3">
        <v>2.9050955420522002</v>
      </c>
      <c r="F34" s="3">
        <v>2.1754745053292401</v>
      </c>
      <c r="G34" s="3">
        <v>3.3523527457648399</v>
      </c>
      <c r="H34" s="3">
        <v>4.2551061588346899</v>
      </c>
      <c r="I34" s="3">
        <v>1.1712495905960101</v>
      </c>
      <c r="J34" s="3">
        <v>2.08510706554299</v>
      </c>
      <c r="K34" s="3">
        <v>3.2590683370733702</v>
      </c>
      <c r="L34" s="3">
        <v>2.7011164576511901</v>
      </c>
      <c r="M34" s="3">
        <v>3.5303843169262099</v>
      </c>
      <c r="N34" s="3">
        <v>3.7589785943263601</v>
      </c>
    </row>
    <row r="35" spans="1:14" x14ac:dyDescent="0.35">
      <c r="A35" s="2">
        <v>42926</v>
      </c>
      <c r="B35" s="3">
        <v>4.4243008329293003</v>
      </c>
      <c r="C35" s="3">
        <v>4.6304566193035397</v>
      </c>
      <c r="D35" s="3">
        <v>3.0612034142586202</v>
      </c>
      <c r="E35" s="3">
        <v>3.0115234008805798</v>
      </c>
      <c r="F35" s="3">
        <v>2.1673632158746901</v>
      </c>
      <c r="G35" s="3">
        <v>3.29151610783265</v>
      </c>
      <c r="H35" s="3">
        <v>4.3366501692644297</v>
      </c>
      <c r="I35" s="3">
        <v>1.2070051256102701</v>
      </c>
      <c r="J35" s="3">
        <v>2.11420810894922</v>
      </c>
      <c r="K35" s="3">
        <v>3.3741559610826499</v>
      </c>
      <c r="L35" s="3">
        <v>2.80965258103376</v>
      </c>
      <c r="M35" s="3">
        <v>3.56637883682227</v>
      </c>
      <c r="N35" s="3">
        <v>3.79947203627448</v>
      </c>
    </row>
    <row r="36" spans="1:14" x14ac:dyDescent="0.35">
      <c r="A36" s="2">
        <v>42957</v>
      </c>
      <c r="B36" s="3">
        <v>4.3373256125844204</v>
      </c>
      <c r="C36" s="3">
        <v>4.5775784302501297</v>
      </c>
      <c r="D36" s="3">
        <v>3.06052048842544</v>
      </c>
      <c r="E36" s="3">
        <v>3.1297803536659798</v>
      </c>
      <c r="F36" s="3">
        <v>2.1866526834472899</v>
      </c>
      <c r="G36" s="3">
        <v>3.3194080702308399</v>
      </c>
      <c r="H36" s="3">
        <v>4.3127623135886299</v>
      </c>
      <c r="I36" s="3">
        <v>1.19740964383957</v>
      </c>
      <c r="J36" s="3">
        <v>2.11791364212056</v>
      </c>
      <c r="K36" s="3">
        <v>3.4099270786764002</v>
      </c>
      <c r="L36" s="3">
        <v>2.7879621820920599</v>
      </c>
      <c r="M36" s="3">
        <v>3.7340672108444499</v>
      </c>
      <c r="N36" s="3">
        <v>3.7681403071300701</v>
      </c>
    </row>
    <row r="37" spans="1:14" x14ac:dyDescent="0.35">
      <c r="A37" s="2">
        <v>42986</v>
      </c>
      <c r="B37" s="3">
        <v>4.3716332364446</v>
      </c>
      <c r="C37" s="3">
        <v>4.6184635962608196</v>
      </c>
      <c r="D37" s="3">
        <v>3.1165957365283301</v>
      </c>
      <c r="E37" s="3">
        <v>3.0992730488700402</v>
      </c>
      <c r="F37" s="3">
        <v>2.2520499651206798</v>
      </c>
      <c r="G37" s="3">
        <v>3.3105796007769399</v>
      </c>
      <c r="H37" s="3">
        <v>4.3220849364429004</v>
      </c>
      <c r="I37" s="3">
        <v>1.1748395587713401</v>
      </c>
      <c r="J37" s="3">
        <v>2.1069394341008199</v>
      </c>
      <c r="K37" s="3">
        <v>3.4009971137358499</v>
      </c>
      <c r="L37" s="3">
        <v>2.8712593692757098</v>
      </c>
      <c r="M37" s="3">
        <v>3.7612823932564798</v>
      </c>
      <c r="N37" s="3">
        <v>3.7808109172432802</v>
      </c>
    </row>
    <row r="38" spans="1:14" x14ac:dyDescent="0.35">
      <c r="A38" s="2">
        <v>43018</v>
      </c>
      <c r="B38" s="3">
        <v>4.3812782952237397</v>
      </c>
      <c r="C38" s="3">
        <v>4.6002826122828697</v>
      </c>
      <c r="D38" s="3">
        <v>2.9563713525047701</v>
      </c>
      <c r="E38" s="3">
        <v>2.9619792793023598</v>
      </c>
      <c r="F38" s="3">
        <v>2.1399807376703301</v>
      </c>
      <c r="G38" s="3">
        <v>3.23708035137689</v>
      </c>
      <c r="H38" s="3">
        <v>4.2499791711350401</v>
      </c>
      <c r="I38" s="3">
        <v>1.1476708877019199</v>
      </c>
      <c r="J38" s="3">
        <v>2.0392443106115099</v>
      </c>
      <c r="K38" s="3">
        <v>3.2848186051719299</v>
      </c>
      <c r="L38" s="3">
        <v>2.7726674701767502</v>
      </c>
      <c r="M38" s="3">
        <v>3.54938619492959</v>
      </c>
      <c r="N38" s="3">
        <v>3.8120868528491001</v>
      </c>
    </row>
    <row r="39" spans="1:14" x14ac:dyDescent="0.35">
      <c r="A39" s="2">
        <v>43049</v>
      </c>
      <c r="B39" s="3">
        <v>4.4607155755972903</v>
      </c>
      <c r="C39" s="3">
        <v>4.4140457730554798</v>
      </c>
      <c r="D39" s="3">
        <v>2.9111263206446698</v>
      </c>
      <c r="E39" s="3">
        <v>2.9204788304332499</v>
      </c>
      <c r="F39" s="3">
        <v>2.0383483458576102</v>
      </c>
      <c r="G39" s="3">
        <v>3.2885925121739299</v>
      </c>
      <c r="H39" s="3">
        <v>4.3445070054819199</v>
      </c>
      <c r="I39" s="3">
        <v>1.11365373427376</v>
      </c>
      <c r="J39" s="3">
        <v>2.0327167048612602</v>
      </c>
      <c r="K39" s="3">
        <v>3.3059796618769699</v>
      </c>
      <c r="L39" s="3">
        <v>2.8011573690836098</v>
      </c>
      <c r="M39" s="3">
        <v>3.6023419289012599</v>
      </c>
      <c r="N39" s="3">
        <v>3.8220699349343898</v>
      </c>
    </row>
    <row r="40" spans="1:14" x14ac:dyDescent="0.35">
      <c r="A40" s="2">
        <v>43077</v>
      </c>
      <c r="B40" s="3">
        <v>4.3239591312580004</v>
      </c>
      <c r="C40" s="3">
        <v>4.5083598672426799</v>
      </c>
      <c r="D40" s="3">
        <v>2.9088386390292702</v>
      </c>
      <c r="E40" s="3">
        <v>2.8966765869245399</v>
      </c>
      <c r="F40" s="3">
        <v>2.06481417274468</v>
      </c>
      <c r="G40" s="3">
        <v>3.2415631031623802</v>
      </c>
      <c r="H40" s="3">
        <v>4.3652518856230902</v>
      </c>
      <c r="I40" s="3">
        <v>1.11532720407803</v>
      </c>
      <c r="J40" s="3">
        <v>1.97191508709743</v>
      </c>
      <c r="K40" s="3">
        <v>3.2662428176412899</v>
      </c>
      <c r="L40" s="3">
        <v>2.82185326854052</v>
      </c>
      <c r="M40" s="3">
        <v>3.6896770311068399</v>
      </c>
      <c r="N40" s="3">
        <v>3.8149336407562502</v>
      </c>
    </row>
    <row r="41" spans="1:14" x14ac:dyDescent="0.35">
      <c r="A41" s="2">
        <v>43110</v>
      </c>
      <c r="B41" s="3">
        <v>4.23880014523521</v>
      </c>
      <c r="C41" s="3">
        <v>4.4403192587790299</v>
      </c>
      <c r="D41" s="3">
        <v>2.9072339962279998</v>
      </c>
      <c r="E41" s="3">
        <v>2.8784006036202401</v>
      </c>
      <c r="F41" s="3">
        <v>1.9764866602618201</v>
      </c>
      <c r="G41" s="3">
        <v>3.1761817412687998</v>
      </c>
      <c r="H41" s="3">
        <v>4.1749112523376999</v>
      </c>
      <c r="I41" s="3">
        <v>1.0601718515513501</v>
      </c>
      <c r="J41" s="3">
        <v>1.91434369753955</v>
      </c>
      <c r="K41" s="3">
        <v>3.2187383959938001</v>
      </c>
      <c r="L41" s="3">
        <v>2.7916311140404999</v>
      </c>
      <c r="M41" s="3">
        <v>3.6417030703695601</v>
      </c>
      <c r="N41" s="3">
        <v>3.7943472617801</v>
      </c>
    </row>
    <row r="42" spans="1:14" x14ac:dyDescent="0.35">
      <c r="A42" s="2">
        <v>43140</v>
      </c>
      <c r="B42" s="3">
        <v>4.56959119117219</v>
      </c>
      <c r="C42" s="3">
        <v>4.69933442738275</v>
      </c>
      <c r="D42" s="3">
        <v>3.1788995062432699</v>
      </c>
      <c r="E42" s="3">
        <v>3.1995050472628401</v>
      </c>
      <c r="F42" s="3">
        <v>2.1998108020825602</v>
      </c>
      <c r="G42" s="3">
        <v>3.4658549924693598</v>
      </c>
      <c r="H42" s="3">
        <v>4.5264876281874198</v>
      </c>
      <c r="I42" s="3">
        <v>1.12646340323705</v>
      </c>
      <c r="J42" s="3">
        <v>2.0390592771745002</v>
      </c>
      <c r="K42" s="3">
        <v>3.5006775932964498</v>
      </c>
      <c r="L42" s="3">
        <v>2.9942815518622101</v>
      </c>
      <c r="M42" s="3">
        <v>4.0255692611866598</v>
      </c>
      <c r="N42" s="3">
        <v>4.0296985547953001</v>
      </c>
    </row>
    <row r="43" spans="1:14" x14ac:dyDescent="0.35">
      <c r="A43" s="2">
        <v>43168</v>
      </c>
      <c r="B43" s="3">
        <v>4.2123106214898796</v>
      </c>
      <c r="C43" s="3">
        <v>4.6465649673457197</v>
      </c>
      <c r="D43" s="3">
        <v>3.1324454970368398</v>
      </c>
      <c r="E43" s="3">
        <v>3.14791412114316</v>
      </c>
      <c r="F43" s="3">
        <v>2.2567325470921</v>
      </c>
      <c r="G43" s="3">
        <v>3.4171061937060498</v>
      </c>
      <c r="H43" s="3">
        <v>4.4657534601630298</v>
      </c>
      <c r="I43" s="3">
        <v>1.0310229614611099</v>
      </c>
      <c r="J43" s="3">
        <v>1.9400306374887799</v>
      </c>
      <c r="K43" s="3">
        <v>3.3831862399343802</v>
      </c>
      <c r="L43" s="3">
        <v>2.9074005252661599</v>
      </c>
      <c r="M43" s="3">
        <v>3.8373338303506199</v>
      </c>
      <c r="N43" s="3">
        <v>4.0024374941438898</v>
      </c>
    </row>
    <row r="44" spans="1:14" x14ac:dyDescent="0.35">
      <c r="A44" s="2">
        <v>43200</v>
      </c>
      <c r="B44" s="3">
        <v>4.2327364368064098</v>
      </c>
      <c r="C44" s="3">
        <v>4.75160781272045</v>
      </c>
      <c r="D44" s="3">
        <v>3.2146592209889699</v>
      </c>
      <c r="E44" s="3">
        <v>3.1934098726359599</v>
      </c>
      <c r="F44" s="3">
        <v>2.2539998607354099</v>
      </c>
      <c r="G44" s="3">
        <v>3.48222097964041</v>
      </c>
      <c r="H44" s="3">
        <v>4.4231256530632601</v>
      </c>
      <c r="I44" s="3">
        <v>1.12064091178921</v>
      </c>
      <c r="J44" s="3">
        <v>2.0533747424629998</v>
      </c>
      <c r="K44" s="3">
        <v>3.3888620704009802</v>
      </c>
      <c r="L44" s="3">
        <v>2.9398452919782398</v>
      </c>
      <c r="M44" s="3">
        <v>4.1026214377249399</v>
      </c>
      <c r="N44" s="3">
        <v>3.9787672095497801</v>
      </c>
    </row>
    <row r="45" spans="1:14" x14ac:dyDescent="0.35">
      <c r="A45" s="2">
        <v>43230</v>
      </c>
      <c r="B45" s="3">
        <v>4.1867169344311099</v>
      </c>
      <c r="C45" s="3">
        <v>4.60415206820843</v>
      </c>
      <c r="D45" s="3">
        <v>3.0897078328802299</v>
      </c>
      <c r="E45" s="3">
        <v>3.09227887653838</v>
      </c>
      <c r="F45" s="3">
        <v>2.2130995839538801</v>
      </c>
      <c r="G45" s="3">
        <v>3.4349554899338002</v>
      </c>
      <c r="H45" s="3">
        <v>4.2878953613048099</v>
      </c>
      <c r="I45" s="3">
        <v>1.0814173316236</v>
      </c>
      <c r="J45" s="3">
        <v>2.0234783294502701</v>
      </c>
      <c r="K45" s="3">
        <v>3.2827823648813599</v>
      </c>
      <c r="L45" s="3">
        <v>2.9022196956731299</v>
      </c>
      <c r="M45" s="3">
        <v>3.9466157399527799</v>
      </c>
      <c r="N45" s="3">
        <v>3.9128048217690199</v>
      </c>
    </row>
    <row r="46" spans="1:14" x14ac:dyDescent="0.35">
      <c r="A46" s="2">
        <v>43259</v>
      </c>
      <c r="B46" s="3">
        <v>4.0287613600188603</v>
      </c>
      <c r="C46" s="3">
        <v>4.7309522319428003</v>
      </c>
      <c r="D46" s="3">
        <v>3.0696468217045201</v>
      </c>
      <c r="E46" s="3">
        <v>3.1522869404634899</v>
      </c>
      <c r="F46" s="3">
        <v>2.23228407234798</v>
      </c>
      <c r="G46" s="3">
        <v>3.5836375954795998</v>
      </c>
      <c r="H46" s="3">
        <v>4.3409874175098802</v>
      </c>
      <c r="I46" s="3">
        <v>1.0579009426553201</v>
      </c>
      <c r="J46" s="3">
        <v>1.9922483879355799</v>
      </c>
      <c r="K46" s="3">
        <v>3.3756005802576898</v>
      </c>
      <c r="L46" s="3">
        <v>2.8702865480363098</v>
      </c>
      <c r="M46" s="3">
        <v>4.1112686665814202</v>
      </c>
      <c r="N46" s="3">
        <v>4.5232763086799501</v>
      </c>
    </row>
    <row r="47" spans="1:14" x14ac:dyDescent="0.35">
      <c r="A47" s="2">
        <v>43291</v>
      </c>
      <c r="B47" s="3">
        <v>4.0315073271080903</v>
      </c>
      <c r="C47" s="3">
        <v>4.5613374825943103</v>
      </c>
      <c r="D47" s="3">
        <v>3.0235762553237899</v>
      </c>
      <c r="E47" s="3">
        <v>3.19752621078419</v>
      </c>
      <c r="F47" s="3">
        <v>2.3188176780841201</v>
      </c>
      <c r="G47" s="3">
        <v>3.4926363994603</v>
      </c>
      <c r="H47" s="3">
        <v>4.37059045262182</v>
      </c>
      <c r="I47" s="3">
        <v>1.04319997506312</v>
      </c>
      <c r="J47" s="3">
        <v>2.00601993282709</v>
      </c>
      <c r="K47" s="3">
        <v>3.39307228810328</v>
      </c>
      <c r="L47" s="3">
        <v>2.9319449962663402</v>
      </c>
      <c r="M47" s="3">
        <v>4.1548480505810899</v>
      </c>
      <c r="N47" s="3">
        <v>4.4233106961628197</v>
      </c>
    </row>
    <row r="48" spans="1:14" x14ac:dyDescent="0.35">
      <c r="A48" s="2">
        <v>43322</v>
      </c>
      <c r="B48" s="3">
        <v>4.0650993842197902</v>
      </c>
      <c r="C48" s="3">
        <v>4.59308548319681</v>
      </c>
      <c r="D48" s="3">
        <v>3.0843743354381399</v>
      </c>
      <c r="E48" s="3">
        <v>3.2519524927080199</v>
      </c>
      <c r="F48" s="3">
        <v>2.3291754142151602</v>
      </c>
      <c r="G48" s="3">
        <v>3.42229033877822</v>
      </c>
      <c r="H48" s="3">
        <v>4.4552285263663203</v>
      </c>
      <c r="I48" s="3">
        <v>1.07776980813142</v>
      </c>
      <c r="J48" s="3">
        <v>1.9964466556320399</v>
      </c>
      <c r="K48" s="3">
        <v>3.4452181008822902</v>
      </c>
      <c r="L48" s="3">
        <v>2.9040084032989202</v>
      </c>
      <c r="M48" s="3">
        <v>4.1003084781985502</v>
      </c>
      <c r="N48" s="3">
        <v>4.5769263603455999</v>
      </c>
    </row>
    <row r="49" spans="1:14" x14ac:dyDescent="0.35">
      <c r="A49" s="2">
        <v>43353</v>
      </c>
      <c r="B49" s="3">
        <v>4.0480634020949999</v>
      </c>
      <c r="C49" s="3">
        <v>4.7958097912449498</v>
      </c>
      <c r="D49" s="3">
        <v>3.1696780489512602</v>
      </c>
      <c r="E49" s="3">
        <v>3.3655951159346502</v>
      </c>
      <c r="F49" s="3">
        <v>2.3858630824828899</v>
      </c>
      <c r="G49" s="3">
        <v>3.4380010206953702</v>
      </c>
      <c r="H49" s="3">
        <v>4.6569117595821803</v>
      </c>
      <c r="I49" s="3">
        <v>1.08325414081924</v>
      </c>
      <c r="J49" s="3">
        <v>1.9760244667333899</v>
      </c>
      <c r="K49" s="3">
        <v>3.5431454780201399</v>
      </c>
      <c r="L49" s="3">
        <v>3.0293832699679601</v>
      </c>
      <c r="M49" s="3">
        <v>4.1090917958936597</v>
      </c>
      <c r="N49" s="3">
        <v>4.6323339395975598</v>
      </c>
    </row>
    <row r="50" spans="1:14" x14ac:dyDescent="0.35">
      <c r="A50" s="2">
        <v>43383</v>
      </c>
      <c r="B50" s="3">
        <v>4.1334082191402501</v>
      </c>
      <c r="C50" s="3">
        <v>4.8995358526770296</v>
      </c>
      <c r="D50" s="3">
        <v>3.2965870404137498</v>
      </c>
      <c r="E50" s="3">
        <v>3.4870083247338601</v>
      </c>
      <c r="F50" s="3">
        <v>2.2878630354125802</v>
      </c>
      <c r="G50" s="3">
        <v>3.5431159762409501</v>
      </c>
      <c r="H50" s="3">
        <v>4.7161562099094896</v>
      </c>
      <c r="I50" s="3">
        <v>1.15284102560343</v>
      </c>
      <c r="J50" s="3">
        <v>2.0532057586049102</v>
      </c>
      <c r="K50" s="3">
        <v>3.63294686957116</v>
      </c>
      <c r="L50" s="3">
        <v>3.16112823293073</v>
      </c>
      <c r="M50" s="3">
        <v>4.1836630433091999</v>
      </c>
      <c r="N50" s="3">
        <v>4.9186479156196103</v>
      </c>
    </row>
    <row r="51" spans="1:14" x14ac:dyDescent="0.35">
      <c r="A51" s="2">
        <v>43413</v>
      </c>
      <c r="B51" s="3">
        <v>4.16232154472356</v>
      </c>
      <c r="C51" s="3">
        <v>5.0499308616618697</v>
      </c>
      <c r="D51" s="3">
        <v>3.3630114352463898</v>
      </c>
      <c r="E51" s="3">
        <v>3.5892581790342102</v>
      </c>
      <c r="F51" s="3">
        <v>2.4338955750887901</v>
      </c>
      <c r="G51" s="3">
        <v>3.4937729380199798</v>
      </c>
      <c r="H51" s="3">
        <v>4.8262063903137502</v>
      </c>
      <c r="I51" s="3">
        <v>1.1699223930601199</v>
      </c>
      <c r="J51" s="3">
        <v>2.0601000338608899</v>
      </c>
      <c r="K51" s="3">
        <v>3.70226286608094</v>
      </c>
      <c r="L51" s="3">
        <v>3.1656999123635998</v>
      </c>
      <c r="M51" s="3">
        <v>4.3832048548656699</v>
      </c>
      <c r="N51" s="3">
        <v>5.0771297402242697</v>
      </c>
    </row>
    <row r="52" spans="1:14" x14ac:dyDescent="0.35">
      <c r="A52" s="2">
        <v>43444</v>
      </c>
      <c r="B52" s="3">
        <v>4.21620884508493</v>
      </c>
      <c r="C52" s="3">
        <v>5.4338041435936999</v>
      </c>
      <c r="D52" s="3">
        <v>3.49765419473409</v>
      </c>
      <c r="E52" s="3">
        <v>3.90761449684245</v>
      </c>
      <c r="F52" s="3">
        <v>2.5736974083531199</v>
      </c>
      <c r="G52" s="3">
        <v>3.7052928135120999</v>
      </c>
      <c r="H52" s="3">
        <v>5.2249153403497699</v>
      </c>
      <c r="I52" s="3">
        <v>1.25022938341034</v>
      </c>
      <c r="J52" s="3">
        <v>2.1916351089992401</v>
      </c>
      <c r="K52" s="3">
        <v>3.9922303506049999</v>
      </c>
      <c r="L52" s="3">
        <v>3.4110619147704</v>
      </c>
      <c r="M52" s="3">
        <v>4.6874449332804904</v>
      </c>
      <c r="N52" s="3">
        <v>5.4184330635059998</v>
      </c>
    </row>
    <row r="53" spans="1:14" x14ac:dyDescent="0.35">
      <c r="A53" s="2">
        <v>43475</v>
      </c>
      <c r="B53" s="3">
        <v>4.1214658950138103</v>
      </c>
      <c r="C53" s="3">
        <v>5.1916800229212798</v>
      </c>
      <c r="D53" s="3">
        <v>3.4608950527609199</v>
      </c>
      <c r="E53" s="3">
        <v>3.8146562521220999</v>
      </c>
      <c r="F53" s="3">
        <v>2.7108391937342899</v>
      </c>
      <c r="G53" s="3">
        <v>3.5477012678900399</v>
      </c>
      <c r="H53" s="3">
        <v>5.1656020523854398</v>
      </c>
      <c r="I53" s="3">
        <v>1.26493093914656</v>
      </c>
      <c r="J53" s="3">
        <v>2.2434177070821799</v>
      </c>
      <c r="K53" s="3">
        <v>3.9356778276751498</v>
      </c>
      <c r="L53" s="3">
        <v>3.3981064881507699</v>
      </c>
      <c r="M53" s="3">
        <v>4.5320246550685903</v>
      </c>
      <c r="N53" s="3">
        <v>5.1602624486648203</v>
      </c>
    </row>
    <row r="54" spans="1:14" x14ac:dyDescent="0.35">
      <c r="A54" s="2">
        <v>43504</v>
      </c>
      <c r="B54" s="3">
        <v>4.0162978174638599</v>
      </c>
      <c r="C54" s="3">
        <v>4.9522014560446399</v>
      </c>
      <c r="D54" s="3">
        <v>3.3225466451620602</v>
      </c>
      <c r="E54" s="3">
        <v>3.8029245183153901</v>
      </c>
      <c r="F54" s="3">
        <v>2.68350858947802</v>
      </c>
      <c r="G54" s="3">
        <v>3.46786595566671</v>
      </c>
      <c r="H54" s="3">
        <v>5.0351069269837998</v>
      </c>
      <c r="I54" s="3">
        <v>1.22173269993305</v>
      </c>
      <c r="J54" s="3">
        <v>2.1646748803522402</v>
      </c>
      <c r="K54" s="3">
        <v>3.829945530741</v>
      </c>
      <c r="L54" s="3">
        <v>3.2212866003910698</v>
      </c>
      <c r="M54" s="3">
        <v>4.3092153139433398</v>
      </c>
      <c r="N54" s="3">
        <v>5.1215540130128003</v>
      </c>
    </row>
    <row r="55" spans="1:14" x14ac:dyDescent="0.35">
      <c r="A55" s="2">
        <v>43532</v>
      </c>
      <c r="B55" s="3">
        <v>3.8770097869750901</v>
      </c>
      <c r="C55" s="3">
        <v>4.93604532574986</v>
      </c>
      <c r="D55" s="3">
        <v>3.2928634674580799</v>
      </c>
      <c r="E55" s="3">
        <v>3.6340605458729698</v>
      </c>
      <c r="F55" s="3">
        <v>2.6196501560688601</v>
      </c>
      <c r="G55" s="3">
        <v>3.3976057915467499</v>
      </c>
      <c r="H55" s="3">
        <v>5.0286054655930599</v>
      </c>
      <c r="I55" s="3">
        <v>1.19387034799096</v>
      </c>
      <c r="J55" s="3">
        <v>2.1433192786237298</v>
      </c>
      <c r="K55" s="3">
        <v>3.6618103956282599</v>
      </c>
      <c r="L55" s="3">
        <v>3.1572484819498201</v>
      </c>
      <c r="M55" s="3">
        <v>4.21106658217359</v>
      </c>
      <c r="N55" s="3">
        <v>4.8307853496441302</v>
      </c>
    </row>
    <row r="56" spans="1:14" x14ac:dyDescent="0.35">
      <c r="A56" s="2">
        <v>43565</v>
      </c>
      <c r="B56" s="3">
        <v>3.8157690098048298</v>
      </c>
      <c r="C56" s="3">
        <v>4.9264351607121704</v>
      </c>
      <c r="D56" s="3">
        <v>3.2209951689515499</v>
      </c>
      <c r="E56" s="3">
        <v>3.51492198693213</v>
      </c>
      <c r="F56" s="3">
        <v>2.5793879199726502</v>
      </c>
      <c r="G56" s="3">
        <v>3.2588272723299601</v>
      </c>
      <c r="H56" s="3">
        <v>4.8248264580374398</v>
      </c>
      <c r="I56" s="3">
        <v>1.10667217226569</v>
      </c>
      <c r="J56" s="3">
        <v>2.0537783772063198</v>
      </c>
      <c r="K56" s="3">
        <v>3.5443159924964598</v>
      </c>
      <c r="L56" s="3">
        <v>3.0133250179712698</v>
      </c>
      <c r="M56" s="3">
        <v>4.05646838875903</v>
      </c>
      <c r="N56" s="3">
        <v>4.6339567679235101</v>
      </c>
    </row>
    <row r="57" spans="1:14" x14ac:dyDescent="0.35">
      <c r="A57" s="2">
        <v>43595</v>
      </c>
      <c r="B57" s="3">
        <v>3.6913386795783798</v>
      </c>
      <c r="C57" s="3">
        <v>4.8450417683979401</v>
      </c>
      <c r="D57" s="3">
        <v>3.27174218037938</v>
      </c>
      <c r="E57" s="3">
        <v>3.5093067866787901</v>
      </c>
      <c r="F57" s="3">
        <v>2.6736209541568798</v>
      </c>
      <c r="G57" s="3">
        <v>3.3447236971206502</v>
      </c>
      <c r="H57" s="3">
        <v>4.9873756788427803</v>
      </c>
      <c r="I57" s="3">
        <v>1.11979029855516</v>
      </c>
      <c r="J57" s="3">
        <v>2.0711479721314601</v>
      </c>
      <c r="K57" s="3">
        <v>3.6330443532710901</v>
      </c>
      <c r="L57" s="3">
        <v>3.05710668139763</v>
      </c>
      <c r="M57" s="3">
        <v>4.2065966612644496</v>
      </c>
      <c r="N57" s="3">
        <v>4.8655620489923299</v>
      </c>
    </row>
    <row r="58" spans="1:14" x14ac:dyDescent="0.35">
      <c r="A58" s="2">
        <v>43626</v>
      </c>
      <c r="B58" s="3">
        <v>3.7424923247758</v>
      </c>
      <c r="C58" s="3">
        <v>4.7585001796233399</v>
      </c>
      <c r="D58" s="3">
        <v>3.3471554212457901</v>
      </c>
      <c r="E58" s="3">
        <v>3.5873247056878799</v>
      </c>
      <c r="F58" s="3">
        <v>2.6846307136315701</v>
      </c>
      <c r="G58" s="3">
        <v>3.2657461785928299</v>
      </c>
      <c r="H58" s="3">
        <v>4.80568988888853</v>
      </c>
      <c r="I58" s="3">
        <v>1.1427582138524399</v>
      </c>
      <c r="J58" s="3">
        <v>2.0813250034448698</v>
      </c>
      <c r="K58" s="3">
        <v>3.6132286219355101</v>
      </c>
      <c r="L58" s="3">
        <v>3.0901108738655498</v>
      </c>
      <c r="M58" s="3">
        <v>4.26658045637335</v>
      </c>
      <c r="N58" s="3">
        <v>5.0033199624236797</v>
      </c>
    </row>
    <row r="59" spans="1:14" x14ac:dyDescent="0.35">
      <c r="A59" s="2">
        <v>43656</v>
      </c>
      <c r="B59" s="3">
        <v>3.4640335925540899</v>
      </c>
      <c r="C59" s="3">
        <v>4.6261717610835502</v>
      </c>
      <c r="D59" s="3">
        <v>3.2917819739967999</v>
      </c>
      <c r="E59" s="3">
        <v>3.49146832238947</v>
      </c>
      <c r="F59" s="3">
        <v>2.6542408331056802</v>
      </c>
      <c r="G59" s="3">
        <v>3.2290418395654998</v>
      </c>
      <c r="H59" s="3">
        <v>4.7837276761354204</v>
      </c>
      <c r="I59" s="3">
        <v>1.0834081562079401</v>
      </c>
      <c r="J59" s="3">
        <v>2.0191175965202302</v>
      </c>
      <c r="K59" s="3">
        <v>3.52319987804609</v>
      </c>
      <c r="L59" s="3">
        <v>2.99043056489699</v>
      </c>
      <c r="M59" s="3">
        <v>4.1561890592118997</v>
      </c>
      <c r="N59" s="3">
        <v>4.6566673274064696</v>
      </c>
    </row>
    <row r="60" spans="1:14" x14ac:dyDescent="0.35">
      <c r="A60" s="2">
        <v>43686</v>
      </c>
      <c r="B60" s="3">
        <v>3.3951655229526398</v>
      </c>
      <c r="C60" s="3">
        <v>4.6631395274054803</v>
      </c>
      <c r="D60" s="3">
        <v>3.3906077997891702</v>
      </c>
      <c r="E60" s="3">
        <v>3.6003553181979</v>
      </c>
      <c r="F60" s="3">
        <v>2.7722626840163498</v>
      </c>
      <c r="G60" s="3">
        <v>3.2659763032467102</v>
      </c>
      <c r="H60" s="3">
        <v>5.0755043655113203</v>
      </c>
      <c r="I60" s="3">
        <v>1.12608320729144</v>
      </c>
      <c r="J60" s="3">
        <v>2.0789180289082201</v>
      </c>
      <c r="K60" s="3">
        <v>3.6850737839903198</v>
      </c>
      <c r="L60" s="3">
        <v>3.0375478276863102</v>
      </c>
      <c r="M60" s="3">
        <v>4.2744558571031099</v>
      </c>
      <c r="N60" s="3">
        <v>5.0941292018989399</v>
      </c>
    </row>
    <row r="61" spans="1:14" x14ac:dyDescent="0.35">
      <c r="A61" s="2">
        <v>43718</v>
      </c>
      <c r="B61" s="3">
        <v>3.2542054864383299</v>
      </c>
      <c r="C61" s="3">
        <v>4.5220080203013699</v>
      </c>
      <c r="D61" s="3">
        <v>3.3541783819537101</v>
      </c>
      <c r="E61" s="3">
        <v>3.4140346842777598</v>
      </c>
      <c r="F61" s="3">
        <v>2.6645505161135099</v>
      </c>
      <c r="G61" s="3">
        <v>3.1956186107895799</v>
      </c>
      <c r="H61" s="3">
        <v>4.9936765460362098</v>
      </c>
      <c r="I61" s="3">
        <v>1.1021226205753001</v>
      </c>
      <c r="J61" s="3">
        <v>2.0475306864802598</v>
      </c>
      <c r="K61" s="3">
        <v>3.5343462120179501</v>
      </c>
      <c r="L61" s="3">
        <v>2.8865508383022398</v>
      </c>
      <c r="M61" s="3">
        <v>4.03717402276519</v>
      </c>
      <c r="N61" s="3">
        <v>4.7693254862114296</v>
      </c>
    </row>
    <row r="62" spans="1:14" x14ac:dyDescent="0.35">
      <c r="A62" s="2">
        <v>43748</v>
      </c>
      <c r="B62" s="3">
        <v>3.35361685793869</v>
      </c>
      <c r="C62" s="3">
        <v>4.5346837570448599</v>
      </c>
      <c r="D62" s="3">
        <v>3.3589893786423</v>
      </c>
      <c r="E62" s="3">
        <v>3.47247285471704</v>
      </c>
      <c r="F62" s="3">
        <v>2.6401710771293501</v>
      </c>
      <c r="G62" s="3">
        <v>3.25476926046509</v>
      </c>
      <c r="H62" s="3">
        <v>5.0381209758159997</v>
      </c>
      <c r="I62" s="3">
        <v>1.11922436167052</v>
      </c>
      <c r="J62" s="3">
        <v>2.08680681189318</v>
      </c>
      <c r="K62" s="3">
        <v>3.5646365652796299</v>
      </c>
      <c r="L62" s="3">
        <v>2.7972901300726098</v>
      </c>
      <c r="M62" s="3">
        <v>3.9531326860398699</v>
      </c>
      <c r="N62" s="3">
        <v>4.8131987086443999</v>
      </c>
    </row>
    <row r="63" spans="1:14" x14ac:dyDescent="0.35">
      <c r="A63" s="2">
        <v>43777</v>
      </c>
      <c r="B63" s="3">
        <v>3.3417044045978002</v>
      </c>
      <c r="C63" s="3">
        <v>4.3435925190334101</v>
      </c>
      <c r="D63" s="3">
        <v>3.2473087208911902</v>
      </c>
      <c r="E63" s="3">
        <v>3.1530453599083499</v>
      </c>
      <c r="F63" s="3">
        <v>2.4606935789789</v>
      </c>
      <c r="G63" s="3">
        <v>3.13649568964204</v>
      </c>
      <c r="H63" s="3">
        <v>4.7982115115123998</v>
      </c>
      <c r="I63" s="3">
        <v>1.06422596897747</v>
      </c>
      <c r="J63" s="3">
        <v>1.9954531401790301</v>
      </c>
      <c r="K63" s="3">
        <v>3.3782242468263699</v>
      </c>
      <c r="L63" s="3">
        <v>2.6555087734064702</v>
      </c>
      <c r="M63" s="3">
        <v>3.6584397870742702</v>
      </c>
      <c r="N63" s="3">
        <v>4.5245620632401398</v>
      </c>
    </row>
    <row r="64" spans="1:14" x14ac:dyDescent="0.35">
      <c r="A64" s="2">
        <v>43809</v>
      </c>
      <c r="B64" s="3">
        <v>3.2630618938731</v>
      </c>
      <c r="C64" s="3">
        <v>4.3350553560926199</v>
      </c>
      <c r="D64" s="3">
        <v>3.2590842428286901</v>
      </c>
      <c r="E64" s="3">
        <v>3.1386807898071298</v>
      </c>
      <c r="F64" s="3">
        <v>2.4450931736921602</v>
      </c>
      <c r="G64" s="3">
        <v>3.1193333248770698</v>
      </c>
      <c r="H64" s="3">
        <v>4.79378306655651</v>
      </c>
      <c r="I64" s="3">
        <v>1.0802080838558801</v>
      </c>
      <c r="J64" s="3">
        <v>1.9826727025353099</v>
      </c>
      <c r="K64" s="3">
        <v>3.4144752031193399</v>
      </c>
      <c r="L64" s="3">
        <v>2.6434956772813498</v>
      </c>
      <c r="M64" s="3">
        <v>3.7117302620219199</v>
      </c>
      <c r="N64" s="3">
        <v>4.5815494323944002</v>
      </c>
    </row>
    <row r="65" spans="1:14" x14ac:dyDescent="0.35">
      <c r="A65" s="2">
        <v>43840</v>
      </c>
      <c r="B65" s="3">
        <v>3.1611583695919601</v>
      </c>
      <c r="C65" s="3">
        <v>4.1857438454449296</v>
      </c>
      <c r="D65" s="3">
        <v>3.2240640326451699</v>
      </c>
      <c r="E65" s="3">
        <v>3.05129721228659</v>
      </c>
      <c r="F65" s="3">
        <v>2.42976303372641</v>
      </c>
      <c r="G65" s="3">
        <v>3.0373020959130801</v>
      </c>
      <c r="H65" s="3">
        <v>4.5756309797990697</v>
      </c>
      <c r="I65" s="3">
        <v>1.0223311576590499</v>
      </c>
      <c r="J65" s="3">
        <v>1.9179507243187499</v>
      </c>
      <c r="K65" s="3">
        <v>3.32799839455302</v>
      </c>
      <c r="L65" s="3">
        <v>2.57652895081943</v>
      </c>
      <c r="M65" s="3">
        <v>3.58278924176226</v>
      </c>
      <c r="N65" s="3">
        <v>4.4275219148350704</v>
      </c>
    </row>
    <row r="66" spans="1:14" x14ac:dyDescent="0.35">
      <c r="A66" s="2">
        <v>43871</v>
      </c>
      <c r="B66" s="3">
        <v>3.0948462985252099</v>
      </c>
      <c r="C66" s="3">
        <v>4.16528507173566</v>
      </c>
      <c r="D66" s="3">
        <v>3.1974573907624602</v>
      </c>
      <c r="E66" s="3">
        <v>3.0680656922366198</v>
      </c>
      <c r="F66" s="3">
        <v>2.44990246292569</v>
      </c>
      <c r="G66" s="3">
        <v>2.9505999855843799</v>
      </c>
      <c r="H66" s="3">
        <v>4.6943529818456904</v>
      </c>
      <c r="I66" s="3">
        <v>0.96967678093484599</v>
      </c>
      <c r="J66" s="3">
        <v>1.8837595070544</v>
      </c>
      <c r="K66" s="3">
        <v>3.3276402425659701</v>
      </c>
      <c r="L66" s="3">
        <v>2.5278588872559702</v>
      </c>
      <c r="M66" s="3">
        <v>3.46683167245765</v>
      </c>
      <c r="N66" s="3">
        <v>4.4537074888798802</v>
      </c>
    </row>
    <row r="67" spans="1:14" x14ac:dyDescent="0.35">
      <c r="A67" s="2">
        <v>43900</v>
      </c>
      <c r="B67" s="3">
        <v>3.2748175199031699</v>
      </c>
      <c r="C67" s="3">
        <v>4.85662245785484</v>
      </c>
      <c r="D67" s="3">
        <v>3.8818194689881298</v>
      </c>
      <c r="E67" s="3">
        <v>3.8898525120931899</v>
      </c>
      <c r="F67" s="3">
        <v>2.9585286993289599</v>
      </c>
      <c r="G67" s="3">
        <v>3.4806414894373798</v>
      </c>
      <c r="H67" s="3">
        <v>5.8707267998817896</v>
      </c>
      <c r="I67" s="3">
        <v>1.10816612742478</v>
      </c>
      <c r="J67" s="3">
        <v>2.20247613305754</v>
      </c>
      <c r="K67" s="3">
        <v>4.2061714901440004</v>
      </c>
      <c r="L67" s="3">
        <v>3.1617578810881799</v>
      </c>
      <c r="M67" s="3">
        <v>4.1950916790582502</v>
      </c>
      <c r="N67" s="3">
        <v>6.0949530062202699</v>
      </c>
    </row>
    <row r="68" spans="1:14" x14ac:dyDescent="0.35">
      <c r="A68" s="2">
        <v>43930</v>
      </c>
      <c r="B68" s="3">
        <v>2.99315351827277</v>
      </c>
      <c r="C68" s="3">
        <v>4.6223914824358197</v>
      </c>
      <c r="D68" s="3">
        <v>4.0426886770646897</v>
      </c>
      <c r="E68" s="3">
        <v>3.5860512701863501</v>
      </c>
      <c r="F68" s="3">
        <v>2.91891282587931</v>
      </c>
      <c r="G68" s="3">
        <v>3.40426873881295</v>
      </c>
      <c r="H68" s="3">
        <v>5.7701573072365804</v>
      </c>
      <c r="I68" s="3">
        <v>1.1267441186239699</v>
      </c>
      <c r="J68" s="3">
        <v>2.2238056344468502</v>
      </c>
      <c r="K68" s="3">
        <v>3.9512238552008498</v>
      </c>
      <c r="L68" s="3">
        <v>2.8833964806586998</v>
      </c>
      <c r="M68" s="3">
        <v>3.6166805394342099</v>
      </c>
      <c r="N68" s="3">
        <v>5.8767282508131702</v>
      </c>
    </row>
    <row r="69" spans="1:14" x14ac:dyDescent="0.35">
      <c r="A69" s="2">
        <v>43959</v>
      </c>
      <c r="B69" s="3">
        <v>2.6432540911742102</v>
      </c>
      <c r="C69" s="3">
        <v>3.87098455102447</v>
      </c>
      <c r="D69" s="3">
        <v>3.72830652633023</v>
      </c>
      <c r="E69" s="3">
        <v>3.31824950431472</v>
      </c>
      <c r="F69" s="3">
        <v>2.80723047507654</v>
      </c>
      <c r="G69" s="3">
        <v>3.2578500484900901</v>
      </c>
      <c r="H69" s="3">
        <v>4.6230929422977596</v>
      </c>
      <c r="I69" s="3">
        <v>0.98867904393070505</v>
      </c>
      <c r="J69" s="3">
        <v>2.0693612077992398</v>
      </c>
      <c r="K69" s="3">
        <v>3.49143199433732</v>
      </c>
      <c r="L69" s="3">
        <v>2.6493217536284899</v>
      </c>
      <c r="M69" s="3">
        <v>3.3055770443218502</v>
      </c>
      <c r="N69" s="3">
        <v>5.0497344876484602</v>
      </c>
    </row>
    <row r="70" spans="1:14" x14ac:dyDescent="0.35">
      <c r="A70" s="2">
        <v>43992</v>
      </c>
      <c r="B70" s="3">
        <v>2.5442065916729399</v>
      </c>
      <c r="C70" s="3">
        <v>3.2706749192319799</v>
      </c>
      <c r="D70" s="3">
        <v>3.48980812386288</v>
      </c>
      <c r="E70" s="3">
        <v>2.85555224805911</v>
      </c>
      <c r="F70" s="3">
        <v>2.43577067207266</v>
      </c>
      <c r="G70" s="3">
        <v>3.06056357570198</v>
      </c>
      <c r="H70" s="3">
        <v>3.9742551439357299</v>
      </c>
      <c r="I70" s="3">
        <v>0.90001757811679595</v>
      </c>
      <c r="J70" s="3">
        <v>1.8895684805906801</v>
      </c>
      <c r="K70" s="3">
        <v>3.0830936890212901</v>
      </c>
      <c r="L70" s="3">
        <v>2.4075875767078601</v>
      </c>
      <c r="M70" s="3">
        <v>2.9680113327045401</v>
      </c>
      <c r="N70" s="3">
        <v>4.1880330282804303</v>
      </c>
    </row>
    <row r="71" spans="1:14" x14ac:dyDescent="0.35">
      <c r="A71" s="2">
        <v>44022</v>
      </c>
      <c r="B71" s="3">
        <v>2.48601789967298</v>
      </c>
      <c r="C71" s="3">
        <v>3.4824551633595502</v>
      </c>
      <c r="D71" s="3">
        <v>3.4956179631901998</v>
      </c>
      <c r="E71" s="3">
        <v>2.8530827759517101</v>
      </c>
      <c r="F71" s="3">
        <v>2.54244675738332</v>
      </c>
      <c r="G71" s="3">
        <v>3.0151502831314998</v>
      </c>
      <c r="H71" s="3">
        <v>4.1473548649687597</v>
      </c>
      <c r="I71" s="3">
        <v>0.84060377638470296</v>
      </c>
      <c r="J71" s="3">
        <v>1.87128167249452</v>
      </c>
      <c r="K71" s="3">
        <v>3.1252747647727799</v>
      </c>
      <c r="L71" s="3">
        <v>2.3234543630800402</v>
      </c>
      <c r="M71" s="3">
        <v>2.9889025838514498</v>
      </c>
      <c r="N71" s="3">
        <v>4.3154285182551702</v>
      </c>
    </row>
    <row r="72" spans="1:14" x14ac:dyDescent="0.35">
      <c r="A72" s="2">
        <v>44053</v>
      </c>
      <c r="B72" s="3">
        <v>2.3678448627612698</v>
      </c>
      <c r="C72" s="3">
        <v>3.3544250337507102</v>
      </c>
      <c r="D72" s="3">
        <v>3.3140288943547</v>
      </c>
      <c r="E72" s="3">
        <v>2.8679594520056302</v>
      </c>
      <c r="F72" s="3">
        <v>2.5092519036686798</v>
      </c>
      <c r="G72" s="3">
        <v>2.9807607757198702</v>
      </c>
      <c r="H72" s="3">
        <v>4.0062174332468103</v>
      </c>
      <c r="I72" s="3">
        <v>0.82394552178659797</v>
      </c>
      <c r="J72" s="3">
        <v>1.77223883466253</v>
      </c>
      <c r="K72" s="3">
        <v>3.15891123450294</v>
      </c>
      <c r="L72" s="3">
        <v>2.3805395173958801</v>
      </c>
      <c r="M72" s="3">
        <v>3.0213040210033801</v>
      </c>
      <c r="N72" s="3">
        <v>3.9916598006674402</v>
      </c>
    </row>
    <row r="73" spans="1:14" x14ac:dyDescent="0.35">
      <c r="A73" s="2">
        <v>44084</v>
      </c>
      <c r="B73" s="3">
        <v>2.40844548440481</v>
      </c>
      <c r="C73" s="3">
        <v>3.5621317283212002</v>
      </c>
      <c r="D73" s="3">
        <v>3.4065248795679302</v>
      </c>
      <c r="E73" s="3">
        <v>2.78303208423916</v>
      </c>
      <c r="F73" s="3">
        <v>2.37738464203635</v>
      </c>
      <c r="G73" s="3">
        <v>2.910326944126</v>
      </c>
      <c r="H73" s="3">
        <v>4.1108641061443603</v>
      </c>
      <c r="I73" s="3">
        <v>0.82014373514954697</v>
      </c>
      <c r="J73" s="3">
        <v>1.7876520863316701</v>
      </c>
      <c r="K73" s="3">
        <v>3.11697882179062</v>
      </c>
      <c r="L73" s="3">
        <v>2.32938336202576</v>
      </c>
      <c r="M73" s="3">
        <v>2.98389143727819</v>
      </c>
      <c r="N73" s="3">
        <v>4.0237453672423102</v>
      </c>
    </row>
    <row r="74" spans="1:14" x14ac:dyDescent="0.35">
      <c r="A74" s="2">
        <v>44113</v>
      </c>
      <c r="B74" s="3">
        <v>2.3574516602454798</v>
      </c>
      <c r="C74" s="3">
        <v>3.5508982666605502</v>
      </c>
      <c r="D74" s="3">
        <v>3.3446373843356301</v>
      </c>
      <c r="E74" s="3">
        <v>2.81433848698402</v>
      </c>
      <c r="F74" s="3">
        <v>2.3656225355955902</v>
      </c>
      <c r="G74" s="3">
        <v>2.9282021754262599</v>
      </c>
      <c r="H74" s="3">
        <v>4.1828573816613304</v>
      </c>
      <c r="I74" s="3">
        <v>0.78390557005588002</v>
      </c>
      <c r="J74" s="3">
        <v>1.71950351777053</v>
      </c>
      <c r="K74" s="3">
        <v>3.1853083987911099</v>
      </c>
      <c r="L74" s="3">
        <v>2.2754463195611598</v>
      </c>
      <c r="M74" s="3">
        <v>2.9827723327350002</v>
      </c>
      <c r="N74" s="3">
        <v>4.1172181913705499</v>
      </c>
    </row>
    <row r="75" spans="1:14" x14ac:dyDescent="0.35">
      <c r="A75" s="2">
        <v>44145</v>
      </c>
      <c r="B75" s="3">
        <v>2.3714791302669802</v>
      </c>
      <c r="C75" s="3">
        <v>3.5311179047067598</v>
      </c>
      <c r="D75" s="3">
        <v>3.31524182372516</v>
      </c>
      <c r="E75" s="3">
        <v>2.8659982618983202</v>
      </c>
      <c r="F75" s="3">
        <v>2.2910164660395802</v>
      </c>
      <c r="G75" s="3">
        <v>2.9199990021777098</v>
      </c>
      <c r="H75" s="3">
        <v>4.05065383579581</v>
      </c>
      <c r="I75" s="3">
        <v>0.79729347594784095</v>
      </c>
      <c r="J75" s="3">
        <v>1.6912574980073101</v>
      </c>
      <c r="K75" s="3">
        <v>2.94226949134756</v>
      </c>
      <c r="L75" s="3">
        <v>2.2117233057121299</v>
      </c>
      <c r="M75" s="3">
        <v>3.0533827251324599</v>
      </c>
      <c r="N75" s="3">
        <v>4.0036245071988299</v>
      </c>
    </row>
    <row r="76" spans="1:14" x14ac:dyDescent="0.35">
      <c r="A76" s="2">
        <v>44175</v>
      </c>
      <c r="B76" s="3">
        <v>2.3856624404093898</v>
      </c>
      <c r="C76" s="3">
        <v>3.4830800967428002</v>
      </c>
      <c r="D76" s="3">
        <v>3.0910503507162002</v>
      </c>
      <c r="E76" s="3">
        <v>2.7818558053392901</v>
      </c>
      <c r="F76" s="3">
        <v>2.1656540700993201</v>
      </c>
      <c r="G76" s="3">
        <v>2.9058624624574398</v>
      </c>
      <c r="H76" s="3">
        <v>3.86218989415688</v>
      </c>
      <c r="I76" s="3">
        <v>0.75019658758563601</v>
      </c>
      <c r="J76" s="3">
        <v>1.6380590755673501</v>
      </c>
      <c r="K76" s="3">
        <v>2.9092175057457199</v>
      </c>
      <c r="L76" s="3">
        <v>2.0626752239420898</v>
      </c>
      <c r="M76" s="3">
        <v>3.0423574189546798</v>
      </c>
      <c r="N76" s="3">
        <v>3.9538709414977702</v>
      </c>
    </row>
    <row r="77" spans="1:14" x14ac:dyDescent="0.35">
      <c r="A77" s="2">
        <v>44204</v>
      </c>
      <c r="B77" s="3">
        <v>2.3370941434848298</v>
      </c>
      <c r="C77" s="3">
        <v>3.4864560973943899</v>
      </c>
      <c r="D77" s="3">
        <v>3.0007717391144899</v>
      </c>
      <c r="E77" s="3">
        <v>2.6900125049038</v>
      </c>
      <c r="F77" s="3">
        <v>2.0859678580213701</v>
      </c>
      <c r="G77" s="3">
        <v>2.8103422913768799</v>
      </c>
      <c r="H77" s="3">
        <v>3.7627296546160398</v>
      </c>
      <c r="I77" s="3">
        <v>0.75111955803364805</v>
      </c>
      <c r="J77" s="3">
        <v>1.5518686653443301</v>
      </c>
      <c r="K77" s="3">
        <v>2.87822690543195</v>
      </c>
      <c r="L77" s="3">
        <v>1.92727039383469</v>
      </c>
      <c r="M77" s="3">
        <v>2.9946680577473002</v>
      </c>
      <c r="N77" s="3">
        <v>3.8740387365484001</v>
      </c>
    </row>
    <row r="78" spans="1:14" x14ac:dyDescent="0.35">
      <c r="A78" s="2">
        <v>44237</v>
      </c>
      <c r="B78" s="3">
        <v>2.5447642637263299</v>
      </c>
      <c r="C78" s="3">
        <v>3.5921496317936401</v>
      </c>
      <c r="D78" s="3">
        <v>2.9289408517384299</v>
      </c>
      <c r="E78" s="3">
        <v>2.7556579342519298</v>
      </c>
      <c r="F78" s="3">
        <v>2.0290175747097301</v>
      </c>
      <c r="G78" s="3">
        <v>2.8181475523754602</v>
      </c>
      <c r="H78" s="3">
        <v>4.0195488084319404</v>
      </c>
      <c r="I78" s="3">
        <v>0.73018383499244099</v>
      </c>
      <c r="J78" s="3">
        <v>1.5353165359769301</v>
      </c>
      <c r="K78" s="3">
        <v>2.9248808205277501</v>
      </c>
      <c r="L78" s="3">
        <v>1.9251184570628399</v>
      </c>
      <c r="M78" s="3">
        <v>3.0174183037525899</v>
      </c>
      <c r="N78" s="3">
        <v>3.9212187949862698</v>
      </c>
    </row>
    <row r="79" spans="1:14" x14ac:dyDescent="0.35">
      <c r="A79" s="2">
        <v>44265</v>
      </c>
      <c r="B79" s="3">
        <v>2.60991159570341</v>
      </c>
      <c r="C79" s="3">
        <v>3.9174944545105501</v>
      </c>
      <c r="D79" s="3">
        <v>2.8571402575568201</v>
      </c>
      <c r="E79" s="3">
        <v>2.7409516412086199</v>
      </c>
      <c r="F79" s="3">
        <v>2.0877187384047202</v>
      </c>
      <c r="G79" s="3">
        <v>2.8386184111491901</v>
      </c>
      <c r="H79" s="3">
        <v>3.94980068581618</v>
      </c>
      <c r="I79" s="3">
        <v>0.78631733153902095</v>
      </c>
      <c r="J79" s="3">
        <v>1.54683368243085</v>
      </c>
      <c r="K79" s="3">
        <v>2.7604158918912698</v>
      </c>
      <c r="L79" s="3">
        <v>2.02969939822245</v>
      </c>
      <c r="M79" s="3">
        <v>2.8246960222738702</v>
      </c>
      <c r="N79" s="3">
        <v>4.1005594574132997</v>
      </c>
    </row>
    <row r="80" spans="1:14" x14ac:dyDescent="0.35">
      <c r="A80" s="2">
        <v>44295</v>
      </c>
      <c r="B80" s="3">
        <v>2.5805308571782501</v>
      </c>
      <c r="C80" s="3">
        <v>3.8799538284389401</v>
      </c>
      <c r="D80" s="3">
        <v>2.7500115786663502</v>
      </c>
      <c r="E80" s="3">
        <v>2.6852374958264398</v>
      </c>
      <c r="F80" s="3">
        <v>2.0661804574771598</v>
      </c>
      <c r="G80" s="3">
        <v>2.7398261962533099</v>
      </c>
      <c r="H80" s="3">
        <v>3.9550148238487801</v>
      </c>
      <c r="I80" s="3">
        <v>0.72669913566785804</v>
      </c>
      <c r="J80" s="3">
        <v>1.46924650885387</v>
      </c>
      <c r="K80" s="3">
        <v>2.7175570411051599</v>
      </c>
      <c r="L80" s="3">
        <v>1.9047206493658799</v>
      </c>
      <c r="M80" s="3">
        <v>2.7014630184670398</v>
      </c>
      <c r="N80" s="3">
        <v>4.0619168525482703</v>
      </c>
    </row>
    <row r="81" spans="1:14" x14ac:dyDescent="0.35">
      <c r="A81" s="2">
        <v>44326</v>
      </c>
      <c r="B81" s="3">
        <v>2.6087835709324101</v>
      </c>
      <c r="C81" s="3">
        <v>3.83002528969166</v>
      </c>
      <c r="D81" s="3">
        <v>2.72300715966256</v>
      </c>
      <c r="E81" s="3">
        <v>2.79536901001492</v>
      </c>
      <c r="F81" s="3">
        <v>2.1164554327291398</v>
      </c>
      <c r="G81" s="3">
        <v>2.7572251708217999</v>
      </c>
      <c r="H81" s="3">
        <v>3.8411760287026899</v>
      </c>
      <c r="I81" s="3">
        <v>0.75724130348334695</v>
      </c>
      <c r="J81" s="3">
        <v>1.45853030948102</v>
      </c>
      <c r="K81" s="3">
        <v>2.6856018553956802</v>
      </c>
      <c r="L81" s="3">
        <v>1.96103095109799</v>
      </c>
      <c r="M81" s="3">
        <v>2.7908222197980099</v>
      </c>
      <c r="N81" s="3">
        <v>4.1567077775060302</v>
      </c>
    </row>
    <row r="82" spans="1:14" x14ac:dyDescent="0.35">
      <c r="A82" s="2">
        <v>44357</v>
      </c>
      <c r="B82" s="3">
        <v>2.6885009104796702</v>
      </c>
      <c r="C82" s="3">
        <v>3.8748093714801302</v>
      </c>
      <c r="D82" s="3">
        <v>2.57279361178683</v>
      </c>
      <c r="E82" s="3">
        <v>2.8001933157458798</v>
      </c>
      <c r="F82" s="3">
        <v>2.1594904328845401</v>
      </c>
      <c r="G82" s="3">
        <v>2.62852719524279</v>
      </c>
      <c r="H82" s="3">
        <v>3.9080831489643502</v>
      </c>
      <c r="I82" s="3">
        <v>0.730726514783542</v>
      </c>
      <c r="J82" s="3">
        <v>1.4527784317652499</v>
      </c>
      <c r="K82" s="3">
        <v>2.66247056571643</v>
      </c>
      <c r="L82" s="3">
        <v>1.99471632744488</v>
      </c>
      <c r="M82" s="3">
        <v>2.6798123261545599</v>
      </c>
      <c r="N82" s="3">
        <v>4.0507232457959104</v>
      </c>
    </row>
    <row r="83" spans="1:14" x14ac:dyDescent="0.35">
      <c r="A83" s="2">
        <v>44386</v>
      </c>
      <c r="B83" s="3">
        <v>2.6137734499534702</v>
      </c>
      <c r="C83" s="3">
        <v>4.1266036242025601</v>
      </c>
      <c r="D83" s="3">
        <v>2.69186035272091</v>
      </c>
      <c r="E83" s="3">
        <v>2.7988502482314099</v>
      </c>
      <c r="F83" s="3">
        <v>2.2358896942550399</v>
      </c>
      <c r="G83" s="3">
        <v>2.6218129698825701</v>
      </c>
      <c r="H83" s="3">
        <v>4.0076186816526604</v>
      </c>
      <c r="I83" s="3">
        <v>0.69248892962565101</v>
      </c>
      <c r="J83" s="3">
        <v>1.4271959558676299</v>
      </c>
      <c r="K83" s="3">
        <v>2.7036567012601802</v>
      </c>
      <c r="L83" s="3">
        <v>2.0257428399659201</v>
      </c>
      <c r="M83" s="3">
        <v>2.6720922371443301</v>
      </c>
      <c r="N83" s="3">
        <v>4.1960215560401402</v>
      </c>
    </row>
    <row r="84" spans="1:14" x14ac:dyDescent="0.35">
      <c r="A84" s="2">
        <v>44418</v>
      </c>
      <c r="B84" s="3">
        <v>2.6593511741274098</v>
      </c>
      <c r="C84" s="3">
        <v>4.0384021288244298</v>
      </c>
      <c r="D84" s="3">
        <v>2.6636275796170001</v>
      </c>
      <c r="E84" s="3">
        <v>2.8461221603436702</v>
      </c>
      <c r="F84" s="3">
        <v>2.2415855951349402</v>
      </c>
      <c r="G84" s="3">
        <v>2.5721331842226598</v>
      </c>
      <c r="H84" s="3">
        <v>4.1385408114239199</v>
      </c>
      <c r="I84" s="3">
        <v>0.70223933482524004</v>
      </c>
      <c r="J84" s="3">
        <v>1.41903082903887</v>
      </c>
      <c r="K84" s="3">
        <v>2.6922652235066602</v>
      </c>
      <c r="L84" s="3">
        <v>1.89752047246591</v>
      </c>
      <c r="M84" s="3">
        <v>2.7226984958696101</v>
      </c>
      <c r="N84" s="3">
        <v>4.3001736777634703</v>
      </c>
    </row>
    <row r="85" spans="1:14" x14ac:dyDescent="0.35">
      <c r="A85" s="2">
        <v>44449</v>
      </c>
      <c r="B85" s="3">
        <v>2.6029570858475402</v>
      </c>
      <c r="C85" s="3">
        <v>4.0861298011021496</v>
      </c>
      <c r="D85" s="3">
        <v>2.7326077534236002</v>
      </c>
      <c r="E85" s="3">
        <v>2.8735465022232498</v>
      </c>
      <c r="F85" s="3">
        <v>2.12996403110456</v>
      </c>
      <c r="G85" s="3">
        <v>2.63048266198272</v>
      </c>
      <c r="H85" s="3">
        <v>4.2258726185888698</v>
      </c>
      <c r="I85" s="3">
        <v>0.68763819372102897</v>
      </c>
      <c r="J85" s="3">
        <v>1.42267114743918</v>
      </c>
      <c r="K85" s="3">
        <v>2.7770121887933299</v>
      </c>
      <c r="L85" s="3">
        <v>1.8519866089264201</v>
      </c>
      <c r="M85" s="3">
        <v>2.75867244469713</v>
      </c>
      <c r="N85" s="3">
        <v>4.5017763605208199</v>
      </c>
    </row>
    <row r="86" spans="1:14" x14ac:dyDescent="0.35">
      <c r="A86" s="2">
        <v>44477</v>
      </c>
      <c r="B86" s="3">
        <v>2.6633814232911299</v>
      </c>
      <c r="C86" s="3">
        <v>4.0496127316013899</v>
      </c>
      <c r="D86" s="3">
        <v>2.76926503884436</v>
      </c>
      <c r="E86" s="3">
        <v>2.9939610768084601</v>
      </c>
      <c r="F86" s="3">
        <v>2.2880204207270101</v>
      </c>
      <c r="G86" s="3">
        <v>2.7425103230367802</v>
      </c>
      <c r="H86" s="3">
        <v>4.1443385502389702</v>
      </c>
      <c r="I86" s="3">
        <v>0.71843571368103898</v>
      </c>
      <c r="J86" s="3">
        <v>1.4512169083604001</v>
      </c>
      <c r="K86" s="3">
        <v>2.8719329353748302</v>
      </c>
      <c r="L86" s="3">
        <v>1.9842497175398</v>
      </c>
      <c r="M86" s="3">
        <v>2.93146243874012</v>
      </c>
      <c r="N86" s="3">
        <v>4.4367338065942903</v>
      </c>
    </row>
    <row r="87" spans="1:14" x14ac:dyDescent="0.35">
      <c r="A87" s="2">
        <v>44510</v>
      </c>
      <c r="B87" s="3">
        <v>2.6802790746416498</v>
      </c>
      <c r="C87" s="3">
        <v>3.96119065137849</v>
      </c>
      <c r="D87" s="3">
        <v>2.6821408963225202</v>
      </c>
      <c r="E87" s="3">
        <v>2.9303401335936301</v>
      </c>
      <c r="F87" s="3">
        <v>2.2540926889562201</v>
      </c>
      <c r="G87" s="3">
        <v>2.58649583781304</v>
      </c>
      <c r="H87" s="3">
        <v>4.0115306305505003</v>
      </c>
      <c r="I87" s="3">
        <v>0.67399977989356397</v>
      </c>
      <c r="J87" s="3">
        <v>1.3840264988181901</v>
      </c>
      <c r="K87" s="3">
        <v>2.7377714194263798</v>
      </c>
      <c r="L87" s="3">
        <v>1.8582559584267999</v>
      </c>
      <c r="M87" s="3">
        <v>2.9908150824222202</v>
      </c>
      <c r="N87" s="3">
        <v>4.3264691487803004</v>
      </c>
    </row>
    <row r="88" spans="1:14" x14ac:dyDescent="0.35">
      <c r="A88" s="2">
        <v>44540</v>
      </c>
      <c r="B88" s="3">
        <v>2.7818211738351701</v>
      </c>
      <c r="C88" s="3">
        <v>3.96358462700685</v>
      </c>
      <c r="D88" s="3">
        <v>2.82636659525537</v>
      </c>
      <c r="E88" s="3">
        <v>3.0588148115026401</v>
      </c>
      <c r="F88" s="3">
        <v>2.3194622562891798</v>
      </c>
      <c r="G88" s="3">
        <v>2.5803777112861801</v>
      </c>
      <c r="H88" s="3">
        <v>4.0218753627370099</v>
      </c>
      <c r="I88" s="3">
        <v>0.665819303542866</v>
      </c>
      <c r="J88" s="3">
        <v>1.37014221573707</v>
      </c>
      <c r="K88" s="3">
        <v>2.78956507322071</v>
      </c>
      <c r="L88" s="3">
        <v>1.9770197803366001</v>
      </c>
      <c r="M88" s="3">
        <v>2.92537469820634</v>
      </c>
      <c r="N88" s="3">
        <v>4.6461787413315996</v>
      </c>
    </row>
    <row r="89" spans="1:14" x14ac:dyDescent="0.35">
      <c r="A89" s="2">
        <v>44571</v>
      </c>
      <c r="B89" s="3">
        <v>2.80642564176586</v>
      </c>
      <c r="C89" s="3">
        <v>3.8795000701245401</v>
      </c>
      <c r="D89" s="3">
        <v>2.78940372518184</v>
      </c>
      <c r="E89" s="3">
        <v>3.0923975310157399</v>
      </c>
      <c r="F89" s="3">
        <v>2.3162761126243798</v>
      </c>
      <c r="G89" s="3">
        <v>2.6235066798225901</v>
      </c>
      <c r="H89" s="3">
        <v>3.8792939546152101</v>
      </c>
      <c r="I89" s="3">
        <v>0.70162911800067396</v>
      </c>
      <c r="J89" s="3">
        <v>1.38501752494538</v>
      </c>
      <c r="K89" s="3">
        <v>2.75995359519924</v>
      </c>
      <c r="L89" s="3">
        <v>2.0269227178132199</v>
      </c>
      <c r="M89" s="3">
        <v>2.9516804201346698</v>
      </c>
      <c r="N89" s="3">
        <v>4.6216265531955703</v>
      </c>
    </row>
    <row r="90" spans="1:14" x14ac:dyDescent="0.35">
      <c r="A90" s="2">
        <v>44602</v>
      </c>
      <c r="B90" s="3">
        <v>2.91782021728626</v>
      </c>
      <c r="C90" s="3">
        <v>4.2158652791148903</v>
      </c>
      <c r="D90" s="3">
        <v>2.75260374402992</v>
      </c>
      <c r="E90" s="3">
        <v>3.1890790675156602</v>
      </c>
      <c r="F90" s="3">
        <v>2.4116353230617902</v>
      </c>
      <c r="G90" s="3">
        <v>2.7342933934795899</v>
      </c>
      <c r="H90" s="3">
        <v>3.7476310651688598</v>
      </c>
      <c r="I90" s="3">
        <v>0.75460222663483101</v>
      </c>
      <c r="J90" s="3">
        <v>1.4593826329317401</v>
      </c>
      <c r="K90" s="3">
        <v>2.8500713301068701</v>
      </c>
      <c r="L90" s="3">
        <v>2.18074420490119</v>
      </c>
      <c r="M90" s="3">
        <v>2.8879192089173098</v>
      </c>
      <c r="N90" s="3">
        <v>4.7546230708651596</v>
      </c>
    </row>
    <row r="91" spans="1:14" x14ac:dyDescent="0.35">
      <c r="A91" s="2">
        <v>44630</v>
      </c>
      <c r="B91" s="3">
        <v>3.0645747195856901</v>
      </c>
      <c r="C91" s="3">
        <v>4.3070171292681199</v>
      </c>
      <c r="D91" s="3">
        <v>2.8199304145436499</v>
      </c>
      <c r="E91" s="3">
        <v>3.74888867691234</v>
      </c>
      <c r="F91" s="3">
        <v>2.65408362434568</v>
      </c>
      <c r="G91" s="3">
        <v>2.9556627990450601</v>
      </c>
      <c r="H91" s="3">
        <v>4.14429859210553</v>
      </c>
      <c r="I91" s="3">
        <v>0.82729229866048004</v>
      </c>
      <c r="J91" s="3">
        <v>1.5551906214505</v>
      </c>
      <c r="K91" s="3">
        <v>3.3158797200726302</v>
      </c>
      <c r="L91" s="3">
        <v>2.45972648534006</v>
      </c>
      <c r="M91" s="3">
        <v>3.2667379976001798</v>
      </c>
      <c r="N91" s="3">
        <v>5.5653131784034198</v>
      </c>
    </row>
    <row r="92" spans="1:14" x14ac:dyDescent="0.35">
      <c r="A92" s="2">
        <v>44659</v>
      </c>
      <c r="B92" s="3">
        <v>3.0895179967397901</v>
      </c>
      <c r="C92" s="3">
        <v>4.3414896104653602</v>
      </c>
      <c r="D92" s="3">
        <v>2.8333539020160998</v>
      </c>
      <c r="E92" s="3">
        <v>3.56860471719382</v>
      </c>
      <c r="F92" s="3">
        <v>2.5832161231222202</v>
      </c>
      <c r="G92" s="3">
        <v>2.7336590795222402</v>
      </c>
      <c r="H92" s="3">
        <v>3.91396158283254</v>
      </c>
      <c r="I92" s="3">
        <v>0.787046742194073</v>
      </c>
      <c r="J92" s="3">
        <v>1.4703595864682499</v>
      </c>
      <c r="K92" s="3">
        <v>3.1447078293802702</v>
      </c>
      <c r="L92" s="3">
        <v>2.29944399687645</v>
      </c>
      <c r="M92" s="3">
        <v>3.1034137730536702</v>
      </c>
      <c r="N92" s="3">
        <v>5.0343682645575596</v>
      </c>
    </row>
    <row r="93" spans="1:14" x14ac:dyDescent="0.35">
      <c r="A93" s="2">
        <v>44691</v>
      </c>
      <c r="B93" s="3">
        <v>3.2203571026945998</v>
      </c>
      <c r="C93" s="3">
        <v>4.7777701653242604</v>
      </c>
      <c r="D93" s="3">
        <v>3.2112045336132602</v>
      </c>
      <c r="E93" s="3">
        <v>3.9478283234004801</v>
      </c>
      <c r="F93" s="3">
        <v>2.65716348512509</v>
      </c>
      <c r="G93" s="3">
        <v>3.01409661216463</v>
      </c>
      <c r="H93" s="3">
        <v>4.2689599346304297</v>
      </c>
      <c r="I93" s="3">
        <v>0.91750424757414595</v>
      </c>
      <c r="J93" s="3">
        <v>1.65515184149661</v>
      </c>
      <c r="K93" s="3">
        <v>3.3895588351655501</v>
      </c>
      <c r="L93" s="3">
        <v>2.6621174209412599</v>
      </c>
      <c r="M93" s="3">
        <v>3.5606600023145201</v>
      </c>
      <c r="N93" s="3">
        <v>5.3580247412400004</v>
      </c>
    </row>
    <row r="94" spans="1:14" x14ac:dyDescent="0.35">
      <c r="A94" s="2">
        <v>44722</v>
      </c>
      <c r="B94" s="3">
        <v>3.2704017939411001</v>
      </c>
      <c r="C94" s="3">
        <v>4.9321770342924598</v>
      </c>
      <c r="D94" s="3">
        <v>3.1729184136870701</v>
      </c>
      <c r="E94" s="3">
        <v>3.9161984245565198</v>
      </c>
      <c r="F94" s="3">
        <v>2.5865547001231799</v>
      </c>
      <c r="G94" s="3">
        <v>3.12948282029368</v>
      </c>
      <c r="H94" s="3">
        <v>4.2195819939496904</v>
      </c>
      <c r="I94" s="3">
        <v>0.96508785642539596</v>
      </c>
      <c r="J94" s="3">
        <v>1.7122890897893199</v>
      </c>
      <c r="K94" s="3">
        <v>3.37047968869736</v>
      </c>
      <c r="L94" s="3">
        <v>2.6446972027644802</v>
      </c>
      <c r="M94" s="3">
        <v>3.3929252975751001</v>
      </c>
      <c r="N94" s="3">
        <v>5.6457491433044398</v>
      </c>
    </row>
    <row r="95" spans="1:14" x14ac:dyDescent="0.35">
      <c r="A95" s="2">
        <v>44750</v>
      </c>
      <c r="B95" s="3">
        <v>3.2889393418027701</v>
      </c>
      <c r="C95" s="3">
        <v>5.1743275981290102</v>
      </c>
      <c r="D95" s="3">
        <v>3.3905391485185601</v>
      </c>
      <c r="E95" s="3">
        <v>4.1203016990035604</v>
      </c>
      <c r="F95" s="3">
        <v>2.6812782886283899</v>
      </c>
      <c r="G95" s="3">
        <v>3.1405276654957501</v>
      </c>
      <c r="H95" s="3">
        <v>4.3020844354944003</v>
      </c>
      <c r="I95" s="3">
        <v>0.94987464363130603</v>
      </c>
      <c r="J95" s="3">
        <v>1.7244304901646801</v>
      </c>
      <c r="K95" s="3">
        <v>3.4830836526584501</v>
      </c>
      <c r="L95" s="3">
        <v>3.35687439105119</v>
      </c>
      <c r="M95" s="3">
        <v>3.6277070140977998</v>
      </c>
      <c r="N95" s="3">
        <v>5.8266097635307998</v>
      </c>
    </row>
    <row r="96" spans="1:14" x14ac:dyDescent="0.35">
      <c r="A96" s="2">
        <v>44783</v>
      </c>
      <c r="B96" s="3">
        <v>3.1948006394349102</v>
      </c>
      <c r="C96" s="3">
        <v>4.7674238896949301</v>
      </c>
      <c r="D96" s="3">
        <v>3.2772390495141002</v>
      </c>
      <c r="E96" s="3">
        <v>3.94049608029492</v>
      </c>
      <c r="F96" s="3">
        <v>2.6222886216255201</v>
      </c>
      <c r="G96" s="3">
        <v>3.05472565305302</v>
      </c>
      <c r="H96" s="3">
        <v>4.1456842497212598</v>
      </c>
      <c r="I96" s="3">
        <v>0.86489064455266695</v>
      </c>
      <c r="J96" s="3">
        <v>1.6120162474267099</v>
      </c>
      <c r="K96" s="3">
        <v>3.26062104610036</v>
      </c>
      <c r="L96" s="3">
        <v>3.0861103366012399</v>
      </c>
      <c r="M96" s="3">
        <v>3.4728794771824001</v>
      </c>
      <c r="N96" s="3">
        <v>5.7513741435988104</v>
      </c>
    </row>
    <row r="97" spans="1:14" x14ac:dyDescent="0.35">
      <c r="A97" s="2">
        <v>44813</v>
      </c>
      <c r="B97" s="3">
        <v>3.18309614436295</v>
      </c>
      <c r="C97" s="3">
        <v>4.8405899105427199</v>
      </c>
      <c r="D97" s="3">
        <v>3.3640538435093399</v>
      </c>
      <c r="E97" s="3">
        <v>4.1130352079400696</v>
      </c>
      <c r="F97" s="3">
        <v>2.59604918893741</v>
      </c>
      <c r="G97" s="3">
        <v>3.17956822285297</v>
      </c>
      <c r="H97" s="3">
        <v>4.3974596731337199</v>
      </c>
      <c r="I97" s="3">
        <v>0.92639144078443103</v>
      </c>
      <c r="J97" s="3">
        <v>1.6823462988946301</v>
      </c>
      <c r="K97" s="3">
        <v>3.46855720561615</v>
      </c>
      <c r="L97" s="3">
        <v>3.67773049128445</v>
      </c>
      <c r="M97" s="3">
        <v>3.6601165652056902</v>
      </c>
      <c r="N97" s="3">
        <v>5.6470088399328802</v>
      </c>
    </row>
    <row r="98" spans="1:14" x14ac:dyDescent="0.35">
      <c r="A98" s="2">
        <v>44844</v>
      </c>
      <c r="B98" s="3">
        <v>3.4615128331189999</v>
      </c>
      <c r="C98" s="3">
        <v>5.1006445022062996</v>
      </c>
      <c r="D98" s="3">
        <v>3.5986566547000498</v>
      </c>
      <c r="E98" s="3">
        <v>4.4242221128694696</v>
      </c>
      <c r="F98" s="3">
        <v>2.7153794258873098</v>
      </c>
      <c r="G98" s="3">
        <v>3.4433930097693102</v>
      </c>
      <c r="H98" s="3">
        <v>4.6740979480756799</v>
      </c>
      <c r="I98" s="3">
        <v>1.0768808235862</v>
      </c>
      <c r="J98" s="3">
        <v>1.8981810487142301</v>
      </c>
      <c r="K98" s="3">
        <v>3.7314487818973499</v>
      </c>
      <c r="L98" s="3">
        <v>3.0785042792985799</v>
      </c>
      <c r="M98" s="3">
        <v>3.8093863606810401</v>
      </c>
      <c r="N98" s="3">
        <v>6.16150211895647</v>
      </c>
    </row>
    <row r="99" spans="1:14" x14ac:dyDescent="0.35">
      <c r="A99" s="2">
        <v>44875</v>
      </c>
      <c r="B99" s="3">
        <v>3.43946487997118</v>
      </c>
      <c r="C99" s="3">
        <v>4.7771888129794</v>
      </c>
      <c r="D99" s="3">
        <v>3.3669601472319499</v>
      </c>
      <c r="E99" s="3">
        <v>3.8452930187588001</v>
      </c>
      <c r="F99" s="3">
        <v>2.6587772124795901</v>
      </c>
      <c r="G99" s="3">
        <v>3.1328068729129401</v>
      </c>
      <c r="H99" s="3">
        <v>4.3546218018310103</v>
      </c>
      <c r="I99" s="3">
        <v>1.0218097029028701</v>
      </c>
      <c r="J99" s="3">
        <v>1.7470997122963901</v>
      </c>
      <c r="K99" s="3">
        <v>3.3462021069444901</v>
      </c>
      <c r="L99" s="3">
        <v>2.74486090298105</v>
      </c>
      <c r="M99" s="3">
        <v>3.5602628766086899</v>
      </c>
      <c r="N99" s="3">
        <v>5.4147399053987399</v>
      </c>
    </row>
    <row r="100" spans="1:14" x14ac:dyDescent="0.35">
      <c r="A100" s="2">
        <v>44904</v>
      </c>
      <c r="B100" s="3">
        <v>3.4240491068495502</v>
      </c>
      <c r="C100" s="3">
        <v>4.4680186705936</v>
      </c>
      <c r="D100" s="3">
        <v>3.3536931647025199</v>
      </c>
      <c r="E100" s="3">
        <v>3.7434995978366499</v>
      </c>
      <c r="F100" s="3">
        <v>2.6460413924700199</v>
      </c>
      <c r="G100" s="3">
        <v>3.12580928770435</v>
      </c>
      <c r="H100" s="3">
        <v>4.2198371933127303</v>
      </c>
      <c r="I100" s="3">
        <v>1.02385475162122</v>
      </c>
      <c r="J100" s="3">
        <v>1.7627742378175</v>
      </c>
      <c r="K100" s="3">
        <v>3.2854729287914402</v>
      </c>
      <c r="L100" s="3">
        <v>2.6460751456140899</v>
      </c>
      <c r="M100" s="3">
        <v>3.59551094918579</v>
      </c>
      <c r="N100" s="3">
        <v>5.7830098287023102</v>
      </c>
    </row>
    <row r="101" spans="1:14" x14ac:dyDescent="0.35">
      <c r="A101" s="2">
        <v>44936</v>
      </c>
      <c r="B101" s="3">
        <v>3.3962086186962801</v>
      </c>
      <c r="C101" s="3">
        <v>4.5740688113383303</v>
      </c>
      <c r="D101" s="3">
        <v>3.3625658320512</v>
      </c>
      <c r="E101" s="3">
        <v>3.6112425330023399</v>
      </c>
      <c r="F101" s="3">
        <v>2.7625939661321501</v>
      </c>
      <c r="G101" s="3">
        <v>3.0984716523400602</v>
      </c>
      <c r="H101" s="3">
        <v>4.1452450558982701</v>
      </c>
      <c r="I101" s="3">
        <v>1.0163398935996499</v>
      </c>
      <c r="J101" s="3">
        <v>1.7741998558707499</v>
      </c>
      <c r="K101" s="3">
        <v>3.2045157233227499</v>
      </c>
      <c r="L101" s="3">
        <v>2.6155793129884701</v>
      </c>
      <c r="M101" s="3">
        <v>3.5462856664953901</v>
      </c>
      <c r="N101" s="3">
        <v>5.5130838212758002</v>
      </c>
    </row>
    <row r="102" spans="1:14" x14ac:dyDescent="0.35">
      <c r="A102" s="2">
        <v>44967</v>
      </c>
      <c r="B102" s="3">
        <v>3.27312817338828</v>
      </c>
      <c r="C102" s="3">
        <v>4.3343706361190497</v>
      </c>
      <c r="D102" s="3">
        <v>3.2530459579119899</v>
      </c>
      <c r="E102" s="3">
        <v>3.4820816772245902</v>
      </c>
      <c r="F102" s="3">
        <v>2.60908509372626</v>
      </c>
      <c r="G102" s="3">
        <v>3.0934739041190298</v>
      </c>
      <c r="H102" s="3">
        <v>4.0958266807652102</v>
      </c>
      <c r="I102" s="3">
        <v>0.93708673376682705</v>
      </c>
      <c r="J102" s="3">
        <v>1.71166533403682</v>
      </c>
      <c r="K102" s="3">
        <v>3.1661604944770501</v>
      </c>
      <c r="L102" s="3">
        <v>2.5851945027868499</v>
      </c>
      <c r="M102" s="3">
        <v>3.56694476812716</v>
      </c>
      <c r="N102" s="3">
        <v>5.4330938681987799</v>
      </c>
    </row>
    <row r="103" spans="1:14" x14ac:dyDescent="0.35">
      <c r="A103" s="2">
        <v>44995</v>
      </c>
      <c r="B103" s="3">
        <v>3.4369400544951398</v>
      </c>
      <c r="C103" s="3">
        <v>4.5871971177049602</v>
      </c>
      <c r="D103" s="3">
        <v>3.4023782022384399</v>
      </c>
      <c r="E103" s="3">
        <v>3.5377235685063599</v>
      </c>
      <c r="F103" s="3">
        <v>2.5755541269326701</v>
      </c>
      <c r="G103" s="3">
        <v>3.24720786632931</v>
      </c>
      <c r="H103" s="3">
        <v>4.2153305091140103</v>
      </c>
      <c r="I103" s="3">
        <v>0.98080138196504696</v>
      </c>
      <c r="J103" s="3">
        <v>1.8222343149258899</v>
      </c>
      <c r="K103" s="3">
        <v>3.2016113595196698</v>
      </c>
      <c r="L103" s="3">
        <v>2.7254375907008099</v>
      </c>
      <c r="M103" s="3">
        <v>3.6482233350986801</v>
      </c>
      <c r="N103" s="3">
        <v>5.3621054088311899</v>
      </c>
    </row>
    <row r="104" spans="1:14" x14ac:dyDescent="0.35">
      <c r="A104" s="2">
        <v>45026</v>
      </c>
      <c r="B104" s="3">
        <v>3.4009118778120202</v>
      </c>
      <c r="C104" s="3">
        <v>4.5180215051802497</v>
      </c>
      <c r="D104" s="3">
        <v>3.2946197563760302</v>
      </c>
      <c r="E104" s="3">
        <v>3.55141960549415</v>
      </c>
      <c r="F104" s="3">
        <v>2.6658309643562501</v>
      </c>
      <c r="G104" s="3">
        <v>3.1432328266024099</v>
      </c>
      <c r="H104" s="3">
        <v>4.17134274959548</v>
      </c>
      <c r="I104" s="3">
        <v>0.89314777881118002</v>
      </c>
      <c r="J104" s="3">
        <v>1.7174936132376899</v>
      </c>
      <c r="K104" s="3">
        <v>3.18133216120285</v>
      </c>
      <c r="L104" s="3">
        <v>2.67776125237901</v>
      </c>
      <c r="M104" s="3">
        <v>3.7384807320240698</v>
      </c>
      <c r="N104" s="3">
        <v>5.4108736319975801</v>
      </c>
    </row>
    <row r="105" spans="1:14" x14ac:dyDescent="0.35">
      <c r="A105" s="2">
        <v>45056</v>
      </c>
      <c r="B105" s="3">
        <v>3.401555364285</v>
      </c>
      <c r="C105" s="3">
        <v>4.4058773457349796</v>
      </c>
      <c r="D105" s="3">
        <v>3.2347226242263001</v>
      </c>
      <c r="E105" s="3">
        <v>3.56448513396766</v>
      </c>
      <c r="F105" s="3">
        <v>2.53422718225135</v>
      </c>
      <c r="G105" s="3">
        <v>3.0762728419555101</v>
      </c>
      <c r="H105" s="3">
        <v>4.2486313152412096</v>
      </c>
      <c r="I105" s="3">
        <v>0.858842116564423</v>
      </c>
      <c r="J105" s="3">
        <v>1.70441118995623</v>
      </c>
      <c r="K105" s="3">
        <v>3.2015271357758901</v>
      </c>
      <c r="L105" s="3">
        <v>2.6955115058666199</v>
      </c>
      <c r="M105" s="3">
        <v>3.7611525096973701</v>
      </c>
      <c r="N105" s="3">
        <v>5.5289297598019296</v>
      </c>
    </row>
    <row r="106" spans="1:14" x14ac:dyDescent="0.35">
      <c r="A106" s="2">
        <v>45086</v>
      </c>
      <c r="B106" s="3">
        <v>3.4959824490546998</v>
      </c>
      <c r="C106" s="3">
        <v>4.4227210244008699</v>
      </c>
      <c r="D106" s="3">
        <v>3.3050971751378402</v>
      </c>
      <c r="E106" s="3">
        <v>3.6475134129310098</v>
      </c>
      <c r="F106" s="3">
        <v>2.3776777722440001</v>
      </c>
      <c r="G106" s="3">
        <v>3.1770242433712399</v>
      </c>
      <c r="H106" s="3">
        <v>4.3424844055174496</v>
      </c>
      <c r="I106" s="3">
        <v>0.79589726847846898</v>
      </c>
      <c r="J106" s="3">
        <v>1.6513660506874701</v>
      </c>
      <c r="K106" s="3">
        <v>3.2892201401257299</v>
      </c>
      <c r="L106" s="3">
        <v>2.6816749498207999</v>
      </c>
      <c r="M106" s="3">
        <v>3.7027030680988999</v>
      </c>
      <c r="N106" s="3">
        <v>5.4435250791849796</v>
      </c>
    </row>
    <row r="107" spans="1:14" x14ac:dyDescent="0.35">
      <c r="A107" s="2">
        <v>45117</v>
      </c>
      <c r="B107" s="3">
        <v>3.43528506665211</v>
      </c>
      <c r="C107" s="3">
        <v>4.4166621164067701</v>
      </c>
      <c r="D107" s="3">
        <v>3.28136468958823</v>
      </c>
      <c r="E107" s="3">
        <v>3.7550830454208399</v>
      </c>
      <c r="F107" s="3">
        <v>2.39019872561737</v>
      </c>
      <c r="G107" s="3">
        <v>3.2597509230672501</v>
      </c>
      <c r="H107" s="3">
        <v>4.5072382689351702</v>
      </c>
      <c r="I107" s="3">
        <v>0.77183164271169202</v>
      </c>
      <c r="J107" s="3">
        <v>1.6132285587516799</v>
      </c>
      <c r="K107" s="3">
        <v>3.3550203738543098</v>
      </c>
      <c r="L107" s="3">
        <v>2.7402987825312</v>
      </c>
      <c r="M107" s="3">
        <v>3.8299253559501101</v>
      </c>
      <c r="N107" s="3">
        <v>5.3753285887459903</v>
      </c>
    </row>
    <row r="108" spans="1:14" x14ac:dyDescent="0.35">
      <c r="A108" s="2">
        <v>45148</v>
      </c>
      <c r="B108" s="3">
        <v>3.4586186877774301</v>
      </c>
      <c r="C108" s="3">
        <v>4.15550392284326</v>
      </c>
      <c r="D108" s="3">
        <v>3.4158677096530998</v>
      </c>
      <c r="E108" s="3">
        <v>3.67862713532638</v>
      </c>
      <c r="F108" s="3">
        <v>2.36410916640558</v>
      </c>
      <c r="G108" s="3">
        <v>3.1921944527014499</v>
      </c>
      <c r="H108" s="3">
        <v>4.37005434305894</v>
      </c>
      <c r="I108" s="3">
        <v>0.89225535994733596</v>
      </c>
      <c r="J108" s="3">
        <v>1.60414699626462</v>
      </c>
      <c r="K108" s="3">
        <v>3.2571991963668401</v>
      </c>
      <c r="L108" s="3">
        <v>2.72533044578919</v>
      </c>
      <c r="M108" s="3">
        <v>3.83775590440611</v>
      </c>
      <c r="N108" s="3">
        <v>5.4762235678340199</v>
      </c>
    </row>
    <row r="109" spans="1:14" x14ac:dyDescent="0.35">
      <c r="A109" s="2">
        <v>45177</v>
      </c>
      <c r="B109" s="3">
        <v>3.38417184156553</v>
      </c>
      <c r="C109" s="3">
        <v>4.2303640037769599</v>
      </c>
      <c r="D109" s="3">
        <v>3.51368153478019</v>
      </c>
      <c r="E109" s="3">
        <v>3.7585527236485698</v>
      </c>
      <c r="F109" s="3">
        <v>2.3307497729750701</v>
      </c>
      <c r="G109" s="3">
        <v>3.30147702000454</v>
      </c>
      <c r="H109" s="3">
        <v>4.4956080077712199</v>
      </c>
      <c r="I109" s="3">
        <v>0.88711539724305799</v>
      </c>
      <c r="J109" s="3">
        <v>1.6148172018384199</v>
      </c>
      <c r="K109" s="3">
        <v>3.3594151519299298</v>
      </c>
      <c r="L109" s="3">
        <v>2.9576971000335202</v>
      </c>
      <c r="M109" s="3">
        <v>3.9692775813223702</v>
      </c>
      <c r="N109" s="3">
        <v>5.4653158190982403</v>
      </c>
    </row>
    <row r="110" spans="1:14" x14ac:dyDescent="0.35">
      <c r="A110" s="2">
        <v>45209</v>
      </c>
      <c r="B110" s="3">
        <v>3.42429086493373</v>
      </c>
      <c r="C110" s="3">
        <v>4.3489173083676098</v>
      </c>
      <c r="D110" s="3">
        <v>3.6349156612789</v>
      </c>
      <c r="E110" s="3">
        <v>3.8477240851786201</v>
      </c>
      <c r="F110" s="3">
        <v>2.3993342717119099</v>
      </c>
      <c r="G110" s="3">
        <v>3.3423965708605698</v>
      </c>
      <c r="H110" s="3">
        <v>4.4410839034850298</v>
      </c>
      <c r="I110" s="3">
        <v>0.921509819960739</v>
      </c>
      <c r="J110" s="3">
        <v>1.66428279052136</v>
      </c>
      <c r="K110" s="3">
        <v>3.4154589046456598</v>
      </c>
      <c r="L110" s="3">
        <v>2.9859165193941899</v>
      </c>
      <c r="M110" s="3">
        <v>3.7518092667885998</v>
      </c>
      <c r="N110" s="3">
        <v>5.5361988867424001</v>
      </c>
    </row>
    <row r="111" spans="1:14" x14ac:dyDescent="0.35">
      <c r="A111" s="2">
        <v>45240</v>
      </c>
      <c r="B111" s="3">
        <v>3.4644684605010299</v>
      </c>
      <c r="C111" s="3">
        <v>4.4061762729435401</v>
      </c>
      <c r="D111" s="3">
        <v>3.5837329088089902</v>
      </c>
      <c r="E111" s="3">
        <v>3.8835213795585601</v>
      </c>
      <c r="F111" s="3">
        <v>2.40106171583008</v>
      </c>
      <c r="G111" s="3">
        <v>3.4929496942717302</v>
      </c>
      <c r="H111" s="3">
        <v>4.61686811429285</v>
      </c>
      <c r="I111" s="3">
        <v>0.904436821819121</v>
      </c>
      <c r="J111" s="3">
        <v>1.6475070710322599</v>
      </c>
      <c r="K111" s="3">
        <v>3.4607917936866301</v>
      </c>
      <c r="L111" s="3">
        <v>2.9125742079231198</v>
      </c>
      <c r="M111" s="3">
        <v>3.8732411034994501</v>
      </c>
      <c r="N111" s="3">
        <v>5.6564366985410199</v>
      </c>
    </row>
    <row r="112" spans="1:14" x14ac:dyDescent="0.35">
      <c r="A112" s="2">
        <v>45268</v>
      </c>
      <c r="B112" s="3">
        <v>3.08733886672348</v>
      </c>
      <c r="C112" s="3">
        <v>4.2382459348641897</v>
      </c>
      <c r="D112" s="3">
        <v>3.4530775259862998</v>
      </c>
      <c r="E112" s="3">
        <v>3.5422793392957801</v>
      </c>
      <c r="F112" s="3">
        <v>2.45849601114841</v>
      </c>
      <c r="G112" s="3">
        <v>3.3332970206922599</v>
      </c>
      <c r="H112" s="3">
        <v>4.3981730309922504</v>
      </c>
      <c r="I112" s="3">
        <v>0.88619024150520598</v>
      </c>
      <c r="J112" s="3">
        <v>1.58719571738998</v>
      </c>
      <c r="K112" s="3">
        <v>3.2483143750409198</v>
      </c>
      <c r="L112" s="3">
        <v>2.72909087771923</v>
      </c>
      <c r="M112" s="3">
        <v>3.0445485837949899</v>
      </c>
      <c r="N112" s="3">
        <v>5.36980689362065</v>
      </c>
    </row>
    <row r="113" spans="1:25" x14ac:dyDescent="0.35">
      <c r="A113" s="2">
        <v>45301</v>
      </c>
      <c r="B113" s="3">
        <v>2.9903478740202898</v>
      </c>
      <c r="C113" s="3">
        <v>4.0791134216970697</v>
      </c>
      <c r="D113" s="3">
        <v>3.33238914256146</v>
      </c>
      <c r="E113" s="3">
        <v>3.5919342497079798</v>
      </c>
      <c r="F113" s="3">
        <v>2.35299554522663</v>
      </c>
      <c r="G113" s="3">
        <v>3.2729559559339498</v>
      </c>
      <c r="H113" s="3">
        <v>4.30198219214238</v>
      </c>
      <c r="I113" s="3">
        <v>0.91768436157345501</v>
      </c>
      <c r="J113" s="3">
        <v>1.53996077080565</v>
      </c>
      <c r="K113" s="3">
        <v>3.2807992857998198</v>
      </c>
      <c r="L113" s="3">
        <v>2.7297106159948301</v>
      </c>
      <c r="M113" s="3">
        <v>3.0108094606491398</v>
      </c>
      <c r="N113" s="3">
        <v>5.4432618617699404</v>
      </c>
    </row>
    <row r="114" spans="1:25" x14ac:dyDescent="0.35">
      <c r="A114" s="2">
        <v>45331</v>
      </c>
      <c r="B114" s="3">
        <v>2.9897573064454099</v>
      </c>
      <c r="C114" s="3">
        <v>3.9866398997333898</v>
      </c>
      <c r="D114" s="3">
        <v>3.3109520899090001</v>
      </c>
      <c r="E114" s="3">
        <v>3.53877334220308</v>
      </c>
      <c r="F114" s="3">
        <v>2.2735323953889299</v>
      </c>
      <c r="G114" s="3">
        <v>3.3999577758372399</v>
      </c>
      <c r="H114" s="3">
        <v>4.3156590436491697</v>
      </c>
      <c r="I114" s="3">
        <v>0.88032677720882702</v>
      </c>
      <c r="J114" s="3">
        <v>1.4882022206287699</v>
      </c>
      <c r="K114" s="3">
        <v>3.2011671942221902</v>
      </c>
      <c r="L114" s="3">
        <v>2.4722903447890401</v>
      </c>
      <c r="M114" s="3">
        <v>3.37988393501869</v>
      </c>
      <c r="N114" s="3">
        <v>5.5137826135196804</v>
      </c>
    </row>
    <row r="115" spans="1:25" x14ac:dyDescent="0.35">
      <c r="A115" s="2">
        <v>45359</v>
      </c>
      <c r="B115" s="3">
        <v>2.7437424440976601</v>
      </c>
      <c r="C115" s="3">
        <v>3.8871686638012002</v>
      </c>
      <c r="D115" s="3">
        <v>3.1820302144610202</v>
      </c>
      <c r="E115" s="3">
        <v>3.32734915148276</v>
      </c>
      <c r="F115" s="3">
        <v>2.1614653310274901</v>
      </c>
      <c r="G115" s="3">
        <v>3.24294977013595</v>
      </c>
      <c r="H115" s="3">
        <v>4.1445051334180301</v>
      </c>
      <c r="I115" s="3">
        <v>0.88705413420528401</v>
      </c>
      <c r="J115" s="3">
        <v>1.46758391279619</v>
      </c>
      <c r="K115" s="3">
        <v>3.0991617473580901</v>
      </c>
      <c r="L115" s="3">
        <v>2.5682721712552099</v>
      </c>
      <c r="M115" s="3">
        <v>3.22854014829869</v>
      </c>
      <c r="N115" s="3">
        <v>5.2135132673614697</v>
      </c>
    </row>
    <row r="116" spans="1:25" x14ac:dyDescent="0.35">
      <c r="A116" s="2">
        <v>45392</v>
      </c>
      <c r="B116" s="3">
        <v>2.7600211411771398</v>
      </c>
      <c r="C116" s="3">
        <v>3.9195216808242201</v>
      </c>
      <c r="D116" s="3">
        <v>3.07421746527063</v>
      </c>
      <c r="E116" s="3">
        <v>3.3191413919373902</v>
      </c>
      <c r="F116" s="3">
        <v>2.1841057755956901</v>
      </c>
      <c r="G116" s="3">
        <v>3.3307522920983201</v>
      </c>
      <c r="H116" s="3">
        <v>4.0219976321436102</v>
      </c>
      <c r="I116" s="3">
        <v>0.89836327211691103</v>
      </c>
      <c r="J116" s="3">
        <v>1.4596604829673701</v>
      </c>
      <c r="K116" s="3">
        <v>3.1200700985105301</v>
      </c>
      <c r="L116" s="3">
        <v>2.5173495769291101</v>
      </c>
      <c r="M116" s="3">
        <v>3.2587331059309701</v>
      </c>
      <c r="N116" s="3">
        <v>5.2404272459177301</v>
      </c>
    </row>
    <row r="117" spans="1:25" x14ac:dyDescent="0.35">
      <c r="A117" s="2">
        <v>45422</v>
      </c>
      <c r="B117" s="3">
        <v>2.7733518130699002</v>
      </c>
      <c r="C117" s="3">
        <v>3.9816384878914501</v>
      </c>
      <c r="D117" s="3">
        <v>3.05828426730743</v>
      </c>
      <c r="E117" s="3">
        <v>3.2845618954008202</v>
      </c>
      <c r="F117" s="3">
        <v>2.2312120823352601</v>
      </c>
      <c r="G117" s="3">
        <v>3.2727674109579299</v>
      </c>
      <c r="H117" s="3">
        <v>3.8185203007209401</v>
      </c>
      <c r="I117" s="3">
        <v>0.91249197307556096</v>
      </c>
      <c r="J117" s="3">
        <v>1.4626085758906699</v>
      </c>
      <c r="K117" s="3">
        <v>3.0545986314750202</v>
      </c>
      <c r="L117" s="3">
        <v>2.46556235600193</v>
      </c>
      <c r="M117" s="3">
        <v>3.16917448826822</v>
      </c>
      <c r="N117" s="3">
        <v>5.1861422301231404</v>
      </c>
    </row>
    <row r="118" spans="1:25" x14ac:dyDescent="0.35">
      <c r="A118" s="2">
        <v>45453</v>
      </c>
      <c r="B118" s="3">
        <v>2.74341579374842</v>
      </c>
      <c r="C118" s="3">
        <v>3.8999727247503602</v>
      </c>
      <c r="D118" s="3">
        <v>3.3086218088168802</v>
      </c>
      <c r="E118" s="3">
        <v>3.3705009158563399</v>
      </c>
      <c r="F118" s="3">
        <v>2.2227363718051101</v>
      </c>
      <c r="G118" s="3">
        <v>3.1895975880381799</v>
      </c>
      <c r="H118" s="3">
        <v>3.9233990115821999</v>
      </c>
      <c r="I118" s="3">
        <v>0.87237480871663498</v>
      </c>
      <c r="J118" s="3">
        <v>1.4349170535078399</v>
      </c>
      <c r="K118" s="3">
        <v>3.21386010263894</v>
      </c>
      <c r="L118" s="3">
        <v>2.4194368959656098</v>
      </c>
      <c r="M118" s="3">
        <v>3.20413999234199</v>
      </c>
      <c r="N118" s="3">
        <v>5.2641916706993497</v>
      </c>
    </row>
    <row r="119" spans="1:25" x14ac:dyDescent="0.35">
      <c r="A119" s="2">
        <v>45483</v>
      </c>
      <c r="B119" s="3">
        <v>2.7166747715152701</v>
      </c>
      <c r="C119" s="3">
        <v>3.9057975621916201</v>
      </c>
      <c r="D119" s="3">
        <v>3.28373366560053</v>
      </c>
      <c r="E119" s="3">
        <v>3.3990204736918499</v>
      </c>
      <c r="F119" s="3">
        <v>2.15086375207173</v>
      </c>
      <c r="G119" s="3">
        <v>3.1962432495531301</v>
      </c>
      <c r="H119" s="3">
        <v>3.9344784370774799</v>
      </c>
      <c r="I119" s="3">
        <v>0.804206734186383</v>
      </c>
      <c r="J119" s="3">
        <v>1.3678688553267599</v>
      </c>
      <c r="K119" s="3">
        <v>3.3515078249105299</v>
      </c>
      <c r="L119" s="3">
        <v>2.4415996280233498</v>
      </c>
      <c r="M119" s="3">
        <v>3.2371956741547798</v>
      </c>
      <c r="N119" s="3">
        <v>5.3260376269954302</v>
      </c>
    </row>
    <row r="120" spans="1:25" x14ac:dyDescent="0.35">
      <c r="A120" s="2">
        <v>45513</v>
      </c>
      <c r="B120" s="3">
        <v>2.6038599336295398</v>
      </c>
      <c r="C120" s="3">
        <v>3.8919128605654301</v>
      </c>
      <c r="D120" s="3">
        <v>3.2946198514432701</v>
      </c>
      <c r="E120" s="3">
        <v>3.5535878091417099</v>
      </c>
      <c r="F120" s="3">
        <v>2.5820755503634598</v>
      </c>
      <c r="G120" s="3">
        <v>3.23326409372822</v>
      </c>
      <c r="H120" s="3">
        <v>3.9580594455073599</v>
      </c>
      <c r="I120" s="3">
        <v>0.88156833189112704</v>
      </c>
      <c r="J120" s="3">
        <v>1.44822037565643</v>
      </c>
      <c r="K120" s="3">
        <v>3.4918832177853099</v>
      </c>
      <c r="L120" s="3">
        <v>2.6727041575877801</v>
      </c>
      <c r="M120" s="3">
        <v>3.3876597233526602</v>
      </c>
      <c r="N120" s="3">
        <v>5.6711701480014103</v>
      </c>
    </row>
    <row r="121" spans="1:25" x14ac:dyDescent="0.35">
      <c r="A121" s="2">
        <v>45545</v>
      </c>
      <c r="B121" s="3">
        <v>3.03249168173727</v>
      </c>
      <c r="C121" s="3">
        <v>3.73300096634873</v>
      </c>
      <c r="D121" s="3">
        <v>3.1857543483086301</v>
      </c>
      <c r="E121" s="3">
        <v>3.4076724178812099</v>
      </c>
      <c r="F121" s="3">
        <v>2.5192383952690398</v>
      </c>
      <c r="G121" s="3">
        <v>3.2001806254141201</v>
      </c>
      <c r="H121" s="3">
        <v>3.93899413338562</v>
      </c>
      <c r="I121" s="3">
        <v>0.86855006636681997</v>
      </c>
      <c r="J121" s="3">
        <v>1.4140399831259101</v>
      </c>
      <c r="K121" s="3">
        <v>3.4415863175588699</v>
      </c>
      <c r="L121" s="3">
        <v>2.7513522699211799</v>
      </c>
      <c r="M121" s="3">
        <v>3.3251344371663798</v>
      </c>
      <c r="N121" s="3">
        <v>5.4351992696603499</v>
      </c>
    </row>
    <row r="122" spans="1:25" x14ac:dyDescent="0.35">
      <c r="A122" s="2">
        <v>45573</v>
      </c>
      <c r="B122" s="3">
        <v>3.0529753351085098</v>
      </c>
      <c r="C122" s="3">
        <v>3.6317765818154699</v>
      </c>
      <c r="D122" s="3">
        <v>3.0417855641417502</v>
      </c>
      <c r="E122" s="3">
        <v>3.1461274375107902</v>
      </c>
      <c r="F122" s="3">
        <v>2.37309157570138</v>
      </c>
      <c r="G122" s="3">
        <v>3.1962665523831699</v>
      </c>
      <c r="H122" s="3">
        <v>3.8880917218878701</v>
      </c>
      <c r="I122" s="3">
        <v>0.81673415226449997</v>
      </c>
      <c r="J122" s="3">
        <v>1.3498947288896499</v>
      </c>
      <c r="K122" s="3">
        <v>3.38267475871349</v>
      </c>
      <c r="L122" s="3">
        <v>2.6090144350829498</v>
      </c>
      <c r="M122" s="3">
        <v>3.1699919607917799</v>
      </c>
      <c r="N122" s="3">
        <v>5.24581391440221</v>
      </c>
    </row>
    <row r="125" spans="1:25" x14ac:dyDescent="0.35">
      <c r="A125" s="2" t="s">
        <v>91</v>
      </c>
      <c r="B125" s="3" cm="1">
        <f t="array" ref="B125">MIN(_xlfn._xlws.FILTER(B1:B122, ISNUMBER(B1:B122)))</f>
        <v>2.3370941434848298</v>
      </c>
      <c r="C125" s="3" cm="1">
        <f t="array" ref="C125">MIN(_xlfn._xlws.FILTER(C1:C122, ISNUMBER(C1:C122)))</f>
        <v>3.2706749192319799</v>
      </c>
      <c r="D125" s="3" cm="1">
        <f t="array" ref="D125">MIN(_xlfn._xlws.FILTER(D1:D122, ISNUMBER(D1:D122)))</f>
        <v>2.57279361178683</v>
      </c>
      <c r="E125" s="3" cm="1">
        <f t="array" ref="E125">MIN(_xlfn._xlws.FILTER(E1:E122, ISNUMBER(E1:E122)))</f>
        <v>2.6063371978410701</v>
      </c>
      <c r="F125" s="3" cm="1">
        <f t="array" ref="F125">MIN(_xlfn._xlws.FILTER(F1:F122, ISNUMBER(F1:F122)))</f>
        <v>1.84121609437922</v>
      </c>
      <c r="G125" s="3" cm="1">
        <f t="array" ref="G125">MIN(_xlfn._xlws.FILTER(G1:G122, ISNUMBER(G1:G122)))</f>
        <v>2.5721331842226598</v>
      </c>
      <c r="H125" s="3" cm="1">
        <f t="array" ref="H125">MIN(_xlfn._xlws.FILTER(H1:H122, ISNUMBER(H1:H122)))</f>
        <v>3.7476310651688598</v>
      </c>
      <c r="I125" s="3" cm="1">
        <f t="array" ref="I125">MIN(_xlfn._xlws.FILTER(I1:I122, ISNUMBER(I1:I122)))</f>
        <v>0.665819303542866</v>
      </c>
      <c r="J125" s="3" cm="1">
        <f t="array" ref="J125">MIN(_xlfn._xlws.FILTER(J1:J122, ISNUMBER(J1:J122)))</f>
        <v>1.3498947288896499</v>
      </c>
      <c r="K125" s="3" cm="1">
        <f t="array" ref="K125">MIN(_xlfn._xlws.FILTER(K1:K122, ISNUMBER(K1:K122)))</f>
        <v>2.66247056571643</v>
      </c>
      <c r="L125" s="3" cm="1">
        <f t="array" ref="L125">MIN(_xlfn._xlws.FILTER(L1:L122, ISNUMBER(L1:L122)))</f>
        <v>1.8519866089264201</v>
      </c>
      <c r="M125" s="3" cm="1">
        <f t="array" ref="M125">MIN(_xlfn._xlws.FILTER(M1:M122, ISNUMBER(M1:M122)))</f>
        <v>2.6720922371443301</v>
      </c>
      <c r="N125" s="3" cm="1">
        <f t="array" ref="N125">MIN(_xlfn._xlws.FILTER(N1:N122, ISNUMBER(N1:N122)))</f>
        <v>3.0675456666621899</v>
      </c>
    </row>
    <row r="126" spans="1:25" x14ac:dyDescent="0.35">
      <c r="A126" s="2" t="s">
        <v>92</v>
      </c>
      <c r="B126" s="3" cm="1">
        <f t="array" ref="B126">MAX(_xlfn._xlws.FILTER(B1:B122, ISNUMBER(B1:B122)))</f>
        <v>5.25610306562709</v>
      </c>
      <c r="C126" s="3" cm="1">
        <f t="array" ref="C126">MAX(_xlfn._xlws.FILTER(C1:C122, ISNUMBER(C1:C122)))</f>
        <v>5.4611894413866304</v>
      </c>
      <c r="D126" s="3" cm="1">
        <f t="array" ref="D126">MAX(_xlfn._xlws.FILTER(D1:D122, ISNUMBER(D1:D122)))</f>
        <v>4.0426886770646897</v>
      </c>
      <c r="E126" s="3" cm="1">
        <f t="array" ref="E126">MAX(_xlfn._xlws.FILTER(E1:E122, ISNUMBER(E1:E122)))</f>
        <v>4.4242221128694696</v>
      </c>
      <c r="F126" s="3" cm="1">
        <f t="array" ref="F126">MAX(_xlfn._xlws.FILTER(F1:F122, ISNUMBER(F1:F122)))</f>
        <v>2.9585286993289599</v>
      </c>
      <c r="G126" s="3" cm="1">
        <f t="array" ref="G126">MAX(_xlfn._xlws.FILTER(G1:G122, ISNUMBER(G1:G122)))</f>
        <v>3.7052928135120999</v>
      </c>
      <c r="H126" s="3" cm="1">
        <f t="array" ref="H126">MAX(_xlfn._xlws.FILTER(H1:H122, ISNUMBER(H1:H122)))</f>
        <v>5.8707267998817896</v>
      </c>
      <c r="I126" s="3" cm="1">
        <f t="array" ref="I126">MAX(_xlfn._xlws.FILTER(I1:I122, ISNUMBER(I1:I122)))</f>
        <v>1.4836689426312699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4.2061714901440004</v>
      </c>
      <c r="L126" s="3" cm="1">
        <f t="array" ref="L126">MAX(_xlfn._xlws.FILTER(L1:L122, ISNUMBER(L1:L122)))</f>
        <v>3.67773049128445</v>
      </c>
      <c r="M126" s="3" cm="1">
        <f t="array" ref="M126">MAX(_xlfn._xlws.FILTER(M1:M122, ISNUMBER(M1:M122)))</f>
        <v>4.6874449332804904</v>
      </c>
      <c r="N126" s="3" cm="1">
        <f t="array" ref="N126">MAX(_xlfn._xlws.FILTER(N1:N122, ISNUMBER(N1:N122)))</f>
        <v>6.16150211895647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0.27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0.33600000000000002</v>
      </c>
      <c r="E128" s="9" cm="1">
        <f t="array" ref="E128">_xlfn.PERCENTRANK.EXC(_xlfn._xlws.FILTER(E1:E122, ISNUMBER(E1:E122)),E122)</f>
        <v>0.40100000000000002</v>
      </c>
      <c r="F128" s="9" cm="1">
        <f t="array" ref="F128">_xlfn.PERCENTRANK.EXC(_xlfn._xlws.FILTER(F1:F122, ISNUMBER(F1:F122)),F122)</f>
        <v>0.54900000000000004</v>
      </c>
      <c r="G128" s="9" cm="1">
        <f t="array" ref="G128">_xlfn.PERCENTRANK.EXC(_xlfn._xlws.FILTER(G1:G122, ISNUMBER(G1:G122)),G122)</f>
        <v>0.40899999999999997</v>
      </c>
      <c r="H128" s="9" cm="1">
        <f t="array" ref="H128">_xlfn.PERCENTRANK.EXC(_xlfn._xlws.FILTER(H1:H122, ISNUMBER(H1:H122)),H122)</f>
        <v>6.5000000000000002E-2</v>
      </c>
      <c r="I128" s="9" cm="1">
        <f t="array" ref="I128">_xlfn.PERCENTRANK.EXC(_xlfn._xlws.FILTER(I1:I122, ISNUMBER(I1:I122)),I122)</f>
        <v>0.18</v>
      </c>
      <c r="J128" s="9" cm="1">
        <f t="array" ref="J128">_xlfn.PERCENTRANK.EXC(_xlfn._xlws.FILTER(J1:J122, ISNUMBER(J1:J122)),J122)</f>
        <v>8.0000000000000002E-3</v>
      </c>
      <c r="K128" s="9" cm="1">
        <f t="array" ref="K128">_xlfn.PERCENTRANK.EXC(_xlfn._xlws.FILTER(K1:K122, ISNUMBER(K1:K122)),K122)</f>
        <v>0.53200000000000003</v>
      </c>
      <c r="L128" s="9" cm="1">
        <f t="array" ref="L128">_xlfn.PERCENTRANK.EXC(_xlfn._xlws.FILTER(L1:L122, ISNUMBER(L1:L122)),L122)</f>
        <v>0.27800000000000002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0.745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41922</v>
      </c>
      <c r="B2" s="24" cm="1">
        <f t="array" ref="B2:B122">_xll.FDS(B1,"FG_TOTAL_RETURNC(-10AY,0,AM)")/100</f>
        <v>-5.6720552E-2</v>
      </c>
      <c r="C2" s="24" cm="1">
        <f t="array" ref="C2:C122">_xll.FDS(C1,"FG_TOTAL_RETURNC(-10AY,0,AM)")/100</f>
        <v>-0.12922615000000001</v>
      </c>
      <c r="D2" s="24" cm="1">
        <f t="array" ref="D2:D122">_xll.FDS(D1,"FG_TOTAL_RETURNC(-10AY,0,AM)")/100</f>
        <v>-0.10110969</v>
      </c>
      <c r="E2" s="24" cm="1">
        <f t="array" ref="E2:E122">_xll.FDS(E1,"FG_TOTAL_RETURNC(-10AY,0,AM)")/100</f>
        <v>-0.11706143000000001</v>
      </c>
      <c r="F2" s="24" cm="1">
        <f t="array" ref="F2:F122">_xll.FDS(F1,"FG_TOTAL_RETURNC(-10AY,0,AM)")/100</f>
        <v>-7.0826235000000001E-2</v>
      </c>
      <c r="G2" s="24" cm="1">
        <f t="array" ref="G2:G122">_xll.FDS(G1,"FG_TOTAL_RETURNC(-10AY,0,AM)")/100</f>
        <v>-8.3532919999999997E-2</v>
      </c>
      <c r="H2" s="24" cm="1">
        <f t="array" ref="H2:H122">_xll.FDS(H1,"FG_TOTAL_RETURNC(-10AY,0,AM)")/100</f>
        <v>-8.8337420000000014E-2</v>
      </c>
      <c r="I2" s="24" cm="1">
        <f t="array" ref="I2:I122">_xll.FDS(I1,"FG_TOTAL_RETURNC(-10AY,0,AM)")/100</f>
        <v>-5.4015930000000004E-2</v>
      </c>
      <c r="J2" s="24" cm="1">
        <f t="array" ref="J2:J122">_xll.FDS(J1,"FG_TOTAL_RETURNC(-10AY,0,AM)")/100</f>
        <v>-4.3176769999999996E-2</v>
      </c>
      <c r="K2" s="24" cm="1">
        <f t="array" ref="K2:K122">_xll.FDS(K1,"FG_TOTAL_RETURNC(-10AY,0,AM)")/100</f>
        <v>-0.11119156999999999</v>
      </c>
      <c r="L2" s="24" cm="1">
        <f t="array" ref="L2:L122">_xll.FDS(L1,"FG_TOTAL_RETURNC(-10AY,0,AM)")/100</f>
        <v>-7.6954184000000009E-2</v>
      </c>
      <c r="M2" s="24" cm="1">
        <f t="array" ref="M2:M122">_xll.FDS(M1,"FG_TOTAL_RETURNC(-10AY,0,AM)")/100</f>
        <v>-8.8305530000000007E-2</v>
      </c>
      <c r="N2" s="24" cm="1">
        <f t="array" ref="N2:N122">_xll.FDS(N1,"FG_TOTAL_RETURNC(-10AY,0,AM)")/100</f>
        <v>-0.1133005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41953</v>
      </c>
      <c r="B3" s="24">
        <v>5.4330706999999999E-2</v>
      </c>
      <c r="C3" s="24">
        <v>7.7653169999999994E-2</v>
      </c>
      <c r="D3" s="24">
        <v>2.194786E-2</v>
      </c>
      <c r="E3" s="24">
        <v>4.9766779999999997E-2</v>
      </c>
      <c r="F3" s="24">
        <v>5.8076142999999997E-2</v>
      </c>
      <c r="G3" s="24">
        <v>5.4884076000000004E-2</v>
      </c>
      <c r="H3" s="24">
        <v>3.5928130000000003E-2</v>
      </c>
      <c r="I3" s="24">
        <v>7.9627274999999997E-2</v>
      </c>
      <c r="J3" s="24">
        <v>7.0536374999999998E-2</v>
      </c>
      <c r="K3" s="24">
        <v>2.9747366999999997E-2</v>
      </c>
      <c r="L3" s="24">
        <v>4.8705459999999999E-2</v>
      </c>
      <c r="M3" s="24">
        <v>7.2316766000000005E-2</v>
      </c>
      <c r="N3" s="24">
        <v>-4.1666029999999996E-3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41983</v>
      </c>
      <c r="B4" s="24">
        <v>8.9619160000000003E-3</v>
      </c>
      <c r="C4" s="24">
        <v>-9.5276169999999993E-2</v>
      </c>
      <c r="D4" s="24">
        <v>-6.3758372999999993E-2</v>
      </c>
      <c r="E4" s="24">
        <v>4.1481495E-2</v>
      </c>
      <c r="F4" s="24">
        <v>-1.8867970000000001E-2</v>
      </c>
      <c r="G4" s="24">
        <v>4.9550533000000006E-3</v>
      </c>
      <c r="H4" s="24">
        <v>-2.8901815000000001E-2</v>
      </c>
      <c r="I4" s="24">
        <v>1.3240457000000001E-2</v>
      </c>
      <c r="J4" s="24">
        <v>-4.0194988000000001E-3</v>
      </c>
      <c r="K4" s="24">
        <v>1.5828610000000001E-3</v>
      </c>
      <c r="L4" s="24">
        <v>2.3430943000000003E-2</v>
      </c>
      <c r="M4" s="24">
        <v>3.3566951999999999E-3</v>
      </c>
      <c r="N4" s="24">
        <v>-9.7629429999999996E-3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42013</v>
      </c>
      <c r="B5" s="24">
        <v>2.1203876E-2</v>
      </c>
      <c r="C5" s="24">
        <v>2.7925849999999999E-2</v>
      </c>
      <c r="D5" s="24">
        <v>4.3615102999999995E-3</v>
      </c>
      <c r="E5" s="24">
        <v>-4.8719826000000001E-2</v>
      </c>
      <c r="F5" s="24">
        <v>-2.1372557E-2</v>
      </c>
      <c r="G5" s="24">
        <v>-2.6502311000000001E-2</v>
      </c>
      <c r="H5" s="24">
        <v>-2.9373109999999997E-2</v>
      </c>
      <c r="I5" s="24">
        <v>-2.9956697999999997E-3</v>
      </c>
      <c r="J5" s="24">
        <v>1.0889769000000001E-2</v>
      </c>
      <c r="K5" s="24">
        <v>-4.9314080000000003E-2</v>
      </c>
      <c r="L5" s="24">
        <v>-5.4421480000000001E-2</v>
      </c>
      <c r="M5" s="24">
        <v>-5.8526277999999994E-2</v>
      </c>
      <c r="N5" s="24">
        <v>-8.8072189999999995E-2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42045</v>
      </c>
      <c r="B6" s="24">
        <v>-1.3164400999999999E-2</v>
      </c>
      <c r="C6" s="24">
        <v>1.9999981E-2</v>
      </c>
      <c r="D6" s="24">
        <v>-1.4471411999999999E-3</v>
      </c>
      <c r="E6" s="24">
        <v>6.3551425999999994E-2</v>
      </c>
      <c r="F6" s="24">
        <v>5.0314426000000002E-2</v>
      </c>
      <c r="G6" s="24">
        <v>3.7670135E-2</v>
      </c>
      <c r="H6" s="24">
        <v>5.6281923999999997E-2</v>
      </c>
      <c r="I6" s="24">
        <v>1.7345547999999999E-2</v>
      </c>
      <c r="J6" s="24">
        <v>1.2533665000000001E-2</v>
      </c>
      <c r="K6" s="24">
        <v>7.589101999999999E-2</v>
      </c>
      <c r="L6" s="24">
        <v>4.5119404999999994E-2</v>
      </c>
      <c r="M6" s="24">
        <v>7.7448725999999996E-2</v>
      </c>
      <c r="N6" s="24">
        <v>8.6314200000000008E-2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42073</v>
      </c>
      <c r="B7" s="24">
        <v>-1.3088345999999999E-2</v>
      </c>
      <c r="C7" s="24">
        <v>-1.8736421999999999E-2</v>
      </c>
      <c r="D7" s="24">
        <v>-3.6594212000000001E-2</v>
      </c>
      <c r="E7" s="24">
        <v>7.3813200000000002E-3</v>
      </c>
      <c r="F7" s="24">
        <v>3.4217358000000003E-2</v>
      </c>
      <c r="G7" s="24">
        <v>-2.0439208E-2</v>
      </c>
      <c r="H7" s="24">
        <v>-2.4757742999999999E-2</v>
      </c>
      <c r="I7" s="24">
        <v>1.2643695E-2</v>
      </c>
      <c r="J7" s="24">
        <v>-8.8487269999999989E-3</v>
      </c>
      <c r="K7" s="24">
        <v>-1.9095838E-2</v>
      </c>
      <c r="L7" s="24">
        <v>3.0303001E-2</v>
      </c>
      <c r="M7" s="24">
        <v>-8.4566473999999996E-3</v>
      </c>
      <c r="N7" s="24">
        <v>1.5748023999999999E-2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42104</v>
      </c>
      <c r="B8" s="24">
        <v>3.6304474000000003E-2</v>
      </c>
      <c r="C8" s="24">
        <v>4.5737029999999998E-2</v>
      </c>
      <c r="D8" s="24">
        <v>6.2429430000000001E-2</v>
      </c>
      <c r="E8" s="24">
        <v>6.5945506000000001E-2</v>
      </c>
      <c r="F8" s="24">
        <v>7.0305942999999996E-2</v>
      </c>
      <c r="G8" s="24">
        <v>7.1628810000000001E-2</v>
      </c>
      <c r="H8" s="24">
        <v>2.8145552000000001E-2</v>
      </c>
      <c r="I8" s="24">
        <v>2.1531224000000002E-2</v>
      </c>
      <c r="J8" s="24">
        <v>2.9218316000000001E-2</v>
      </c>
      <c r="K8" s="24">
        <v>6.2773110000000007E-2</v>
      </c>
      <c r="L8" s="24">
        <v>4.8750996999999997E-2</v>
      </c>
      <c r="M8" s="24">
        <v>2.3149489999999998E-2</v>
      </c>
      <c r="N8" s="24">
        <v>6.3424944999999996E-2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42132</v>
      </c>
      <c r="B9" s="24">
        <v>-2.2678256000000001E-2</v>
      </c>
      <c r="C9" s="24">
        <v>-2.5902270999999998E-2</v>
      </c>
      <c r="D9" s="24">
        <v>2.4070859999999999E-2</v>
      </c>
      <c r="E9" s="24">
        <v>-5.5646300000000001E-3</v>
      </c>
      <c r="F9" s="24">
        <v>1.5455961000000001E-2</v>
      </c>
      <c r="G9" s="24">
        <v>2.0924209999999999E-2</v>
      </c>
      <c r="H9" s="24">
        <v>5.4750443000000003E-2</v>
      </c>
      <c r="I9" s="24">
        <v>8.7239740000000007E-3</v>
      </c>
      <c r="J9" s="24">
        <v>7.5223446000000005E-3</v>
      </c>
      <c r="K9" s="24">
        <v>2.9532790000000003E-2</v>
      </c>
      <c r="L9" s="24">
        <v>1.8824457999999999E-2</v>
      </c>
      <c r="M9" s="24">
        <v>2.4709702E-2</v>
      </c>
      <c r="N9" s="24">
        <v>3.5785317000000004E-2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42165</v>
      </c>
      <c r="B10" s="24">
        <v>-2.3469030000000002E-2</v>
      </c>
      <c r="C10" s="24">
        <v>-4.2284249999999995E-2</v>
      </c>
      <c r="D10" s="24">
        <v>-3.4566224E-2</v>
      </c>
      <c r="E10" s="24">
        <v>-2.6991426999999998E-2</v>
      </c>
      <c r="F10" s="24">
        <v>-1.2937605000000001E-2</v>
      </c>
      <c r="G10" s="24">
        <v>5.6934356999999993E-4</v>
      </c>
      <c r="H10" s="24">
        <v>-2.29007E-2</v>
      </c>
      <c r="I10" s="24">
        <v>7.3603390000000005E-3</v>
      </c>
      <c r="J10" s="24">
        <v>-3.1660199999999999E-3</v>
      </c>
      <c r="K10" s="24">
        <v>-1.0167061999999999E-2</v>
      </c>
      <c r="L10" s="24">
        <v>5.279064E-3</v>
      </c>
      <c r="M10" s="24">
        <v>8.7165829999999998E-4</v>
      </c>
      <c r="N10" s="24">
        <v>8.3173512999999994E-3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42195</v>
      </c>
      <c r="B11" s="24">
        <v>-8.7876849999999992E-2</v>
      </c>
      <c r="C11" s="24">
        <v>-3.4972905999999998E-2</v>
      </c>
      <c r="D11" s="24">
        <v>-6.0491799999999998E-2</v>
      </c>
      <c r="E11" s="24">
        <v>-5.7045220000000001E-3</v>
      </c>
      <c r="F11" s="24">
        <v>-1.8976687999999999E-2</v>
      </c>
      <c r="G11" s="24">
        <v>-9.6145270000000012E-3</v>
      </c>
      <c r="H11" s="24">
        <v>-2.3140252E-2</v>
      </c>
      <c r="I11" s="24">
        <v>-1.4531194999999998E-2</v>
      </c>
      <c r="J11" s="24">
        <v>-1.1643529E-2</v>
      </c>
      <c r="K11" s="24">
        <v>-1.4790415999999999E-2</v>
      </c>
      <c r="L11" s="24">
        <v>-3.0215382999999999E-3</v>
      </c>
      <c r="M11" s="24">
        <v>-2.8519331999999998E-2</v>
      </c>
      <c r="N11" s="24">
        <v>-1.2084305E-2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42226</v>
      </c>
      <c r="B12" s="24">
        <v>7.5407029999999993E-3</v>
      </c>
      <c r="C12" s="24">
        <v>-2.4155378E-3</v>
      </c>
      <c r="D12" s="24">
        <v>-1.3824879999999999E-2</v>
      </c>
      <c r="E12" s="24">
        <v>8.6535215000000006E-3</v>
      </c>
      <c r="F12" s="24">
        <v>3.7124872000000003E-2</v>
      </c>
      <c r="G12" s="24">
        <v>-4.4118166E-3</v>
      </c>
      <c r="H12" s="24">
        <v>1.4115094999999999E-2</v>
      </c>
      <c r="I12" s="24">
        <v>3.6414266000000001E-2</v>
      </c>
      <c r="J12" s="24">
        <v>1.4893054999999999E-2</v>
      </c>
      <c r="K12" s="24">
        <v>3.9000392000000002E-2</v>
      </c>
      <c r="L12" s="24">
        <v>2.3601054999999999E-2</v>
      </c>
      <c r="M12" s="24">
        <v>-4.6396852000000002E-3</v>
      </c>
      <c r="N12" s="24">
        <v>3.7908434999999997E-2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42257</v>
      </c>
      <c r="B13" s="24">
        <v>-8.0949960000000001E-2</v>
      </c>
      <c r="C13" s="24">
        <v>-0.11089581499999999</v>
      </c>
      <c r="D13" s="24">
        <v>-7.8271030000000005E-2</v>
      </c>
      <c r="E13" s="24">
        <v>-9.1283440000000007E-2</v>
      </c>
      <c r="F13" s="24">
        <v>-0.10662608999999999</v>
      </c>
      <c r="G13" s="24">
        <v>-6.4697145999999997E-2</v>
      </c>
      <c r="H13" s="24">
        <v>-8.9935779999999993E-2</v>
      </c>
      <c r="I13" s="24">
        <v>-5.8976470000000003E-2</v>
      </c>
      <c r="J13" s="24">
        <v>-6.9905519999999999E-2</v>
      </c>
      <c r="K13" s="24">
        <v>-8.782798E-2</v>
      </c>
      <c r="L13" s="24">
        <v>-9.6690180000000001E-2</v>
      </c>
      <c r="M13" s="24">
        <v>-4.6923579999999993E-2</v>
      </c>
      <c r="N13" s="24">
        <v>-6.1712860000000001E-2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42286</v>
      </c>
      <c r="B14" s="24">
        <v>5.8012129999999995E-2</v>
      </c>
      <c r="C14" s="24">
        <v>6.9716689999999998E-2</v>
      </c>
      <c r="D14" s="24">
        <v>5.2809476999999994E-2</v>
      </c>
      <c r="E14" s="24">
        <v>-8.3081126000000005E-3</v>
      </c>
      <c r="F14" s="24">
        <v>3.1543135999999999E-2</v>
      </c>
      <c r="G14" s="24">
        <v>7.264614E-3</v>
      </c>
      <c r="H14" s="24">
        <v>3.4117699000000001E-2</v>
      </c>
      <c r="I14" s="24">
        <v>1.7172455999999999E-2</v>
      </c>
      <c r="J14" s="24">
        <v>3.3416032999999998E-2</v>
      </c>
      <c r="K14" s="24">
        <v>2.7167319999999998E-2</v>
      </c>
      <c r="L14" s="24">
        <v>7.4104069999999999E-3</v>
      </c>
      <c r="M14" s="24">
        <v>1.4020204999999999E-2</v>
      </c>
      <c r="N14" s="24">
        <v>2.2147654999999999E-2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42318</v>
      </c>
      <c r="B15" s="24">
        <v>4.0556669999999996E-2</v>
      </c>
      <c r="C15" s="24">
        <v>-7.6374769999999995E-2</v>
      </c>
      <c r="D15" s="24">
        <v>-6.4205465000000003E-2</v>
      </c>
      <c r="E15" s="24">
        <v>5.7121515000000001E-3</v>
      </c>
      <c r="F15" s="24">
        <v>3.1404852999999996E-2</v>
      </c>
      <c r="G15" s="24">
        <v>-2.4145484000000002E-2</v>
      </c>
      <c r="H15" s="24">
        <v>-3.2423198E-2</v>
      </c>
      <c r="I15" s="24">
        <v>6.3362479999999999E-2</v>
      </c>
      <c r="J15" s="24">
        <v>3.5911202000000003E-2</v>
      </c>
      <c r="K15" s="24">
        <v>-1.4002264E-2</v>
      </c>
      <c r="L15" s="24">
        <v>1.0625242999999999E-2</v>
      </c>
      <c r="M15" s="24">
        <v>-4.4051466000000004E-2</v>
      </c>
      <c r="N15" s="24">
        <v>-5.1214694999999998E-2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42348</v>
      </c>
      <c r="B16" s="24">
        <v>3.7268757999999999E-2</v>
      </c>
      <c r="C16" s="24">
        <v>2.5909662E-2</v>
      </c>
      <c r="D16" s="24">
        <v>-5.3173246E-2</v>
      </c>
      <c r="E16" s="24">
        <v>0</v>
      </c>
      <c r="F16" s="24">
        <v>-2.2435904E-2</v>
      </c>
      <c r="G16" s="24">
        <v>-7.3907970000000002E-3</v>
      </c>
      <c r="H16" s="24">
        <v>-3.1158209999999999E-2</v>
      </c>
      <c r="I16" s="24">
        <v>1.05929375E-3</v>
      </c>
      <c r="J16" s="24">
        <v>-1.2897967999999999E-2</v>
      </c>
      <c r="K16" s="24">
        <v>-3.4319579999999995E-2</v>
      </c>
      <c r="L16" s="24">
        <v>-3.0731915999999998E-2</v>
      </c>
      <c r="M16" s="24">
        <v>-2.5227070000000001E-2</v>
      </c>
      <c r="N16" s="24">
        <v>-3.1833886999999998E-2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42377</v>
      </c>
      <c r="B17" s="24">
        <v>-2.4763763000000001E-2</v>
      </c>
      <c r="C17" s="24">
        <v>-6.7630709999999997E-2</v>
      </c>
      <c r="D17" s="24">
        <v>-7.9605636999999993E-2</v>
      </c>
      <c r="E17" s="24">
        <v>-8.0272559999999993E-2</v>
      </c>
      <c r="F17" s="24">
        <v>-5.5468615999999998E-2</v>
      </c>
      <c r="G17" s="24">
        <v>-5.373907E-2</v>
      </c>
      <c r="H17" s="24">
        <v>-7.0393266999999995E-2</v>
      </c>
      <c r="I17" s="24">
        <v>-7.9945445000000004E-2</v>
      </c>
      <c r="J17" s="24">
        <v>-6.2099875999999998E-2</v>
      </c>
      <c r="K17" s="24">
        <v>-6.8934200000000001E-2</v>
      </c>
      <c r="L17" s="24">
        <v>-6.0171127000000005E-2</v>
      </c>
      <c r="M17" s="24">
        <v>-6.3697041999999995E-2</v>
      </c>
      <c r="N17" s="24">
        <v>-7.5126529999999997E-2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42410</v>
      </c>
      <c r="B18" s="24">
        <v>6.8788530000000007E-3</v>
      </c>
      <c r="C18" s="24">
        <v>-5.9241056E-3</v>
      </c>
      <c r="D18" s="24">
        <v>-2.9925108000000001E-3</v>
      </c>
      <c r="E18" s="24">
        <v>-5.1461514999999999E-2</v>
      </c>
      <c r="F18" s="24">
        <v>-7.9545440000000009E-2</v>
      </c>
      <c r="G18" s="24">
        <v>-3.6948322999999998E-2</v>
      </c>
      <c r="H18" s="24">
        <v>-4.1944084000000006E-2</v>
      </c>
      <c r="I18" s="24">
        <v>-7.0377827000000004E-2</v>
      </c>
      <c r="J18" s="24">
        <v>-3.4664929999999997E-2</v>
      </c>
      <c r="K18" s="24">
        <v>-2.7741075E-2</v>
      </c>
      <c r="L18" s="24">
        <v>-2.6797593000000001E-2</v>
      </c>
      <c r="M18" s="24">
        <v>-2.9878318000000001E-2</v>
      </c>
      <c r="N18" s="24">
        <v>-0.14031004999999999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42439</v>
      </c>
      <c r="B19" s="24">
        <v>8.1981179999999987E-2</v>
      </c>
      <c r="C19" s="24">
        <v>0.14839088</v>
      </c>
      <c r="D19" s="24">
        <v>0.14657330500000001</v>
      </c>
      <c r="E19" s="24">
        <v>5.2517294999999999E-2</v>
      </c>
      <c r="F19" s="24">
        <v>6.6476702999999998E-2</v>
      </c>
      <c r="G19" s="24">
        <v>3.9431689999999998E-2</v>
      </c>
      <c r="H19" s="24">
        <v>6.8102836999999999E-2</v>
      </c>
      <c r="I19" s="24">
        <v>8.2428340000000003E-2</v>
      </c>
      <c r="J19" s="24">
        <v>7.7022670000000001E-2</v>
      </c>
      <c r="K19" s="24">
        <v>6.8387746999999999E-2</v>
      </c>
      <c r="L19" s="24">
        <v>8.8572620000000005E-2</v>
      </c>
      <c r="M19" s="24">
        <v>8.326995999999999E-2</v>
      </c>
      <c r="N19" s="24">
        <v>8.7466240000000001E-2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42468</v>
      </c>
      <c r="B20" s="24">
        <v>6.3401699999999991E-2</v>
      </c>
      <c r="C20" s="24">
        <v>-3.4810661999999999E-2</v>
      </c>
      <c r="D20" s="24">
        <v>2.5305390000000001E-2</v>
      </c>
      <c r="E20" s="24">
        <v>3.1752585999999999E-2</v>
      </c>
      <c r="F20" s="24">
        <v>8.9046955000000004E-3</v>
      </c>
      <c r="G20" s="24">
        <v>2.6999235E-2</v>
      </c>
      <c r="H20" s="24">
        <v>1.0409832000000001E-2</v>
      </c>
      <c r="I20" s="24">
        <v>4.4550060000000002E-2</v>
      </c>
      <c r="J20" s="24">
        <v>3.0116440000000001E-2</v>
      </c>
      <c r="K20" s="24">
        <v>6.782532E-3</v>
      </c>
      <c r="L20" s="24">
        <v>2.445197E-2</v>
      </c>
      <c r="M20" s="24">
        <v>3.6855102000000001E-2</v>
      </c>
      <c r="N20" s="24">
        <v>-2.4875639999999997E-2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42500</v>
      </c>
      <c r="B21" s="24">
        <v>2.3010969999999999E-2</v>
      </c>
      <c r="C21" s="24">
        <v>6.4561963E-2</v>
      </c>
      <c r="D21" s="24">
        <v>3.1489372000000002E-2</v>
      </c>
      <c r="E21" s="24">
        <v>4.2765736999999998E-2</v>
      </c>
      <c r="F21" s="24">
        <v>4.3247939999999999E-2</v>
      </c>
      <c r="G21" s="24">
        <v>6.655574E-3</v>
      </c>
      <c r="H21" s="24">
        <v>2.1249174999999999E-2</v>
      </c>
      <c r="I21" s="24">
        <v>-1.5321075999999999E-2</v>
      </c>
      <c r="J21" s="24">
        <v>1.9319296E-2</v>
      </c>
      <c r="K21" s="24">
        <v>3.0315756999999999E-2</v>
      </c>
      <c r="L21" s="24">
        <v>1.3168812E-2</v>
      </c>
      <c r="M21" s="24">
        <v>-4.7394037000000003E-3</v>
      </c>
      <c r="N21" s="24">
        <v>3.4013629999999996E-2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42531</v>
      </c>
      <c r="B22" s="24">
        <v>4.5223712999999999E-2</v>
      </c>
      <c r="C22" s="24">
        <v>-1.8686831000000001E-2</v>
      </c>
      <c r="D22" s="24">
        <v>3.3415793999999999E-2</v>
      </c>
      <c r="E22" s="24">
        <v>-3.6029159999999998E-2</v>
      </c>
      <c r="F22" s="24">
        <v>-1.4382421999999999E-2</v>
      </c>
      <c r="G22" s="24">
        <v>-9.9176169999999988E-4</v>
      </c>
      <c r="H22" s="24">
        <v>-1.4501869999999998E-2</v>
      </c>
      <c r="I22" s="24">
        <v>1.5000462999999999E-2</v>
      </c>
      <c r="J22" s="24">
        <v>7.7717303999999994E-3</v>
      </c>
      <c r="K22" s="24">
        <v>-2.2067784999999999E-2</v>
      </c>
      <c r="L22" s="24">
        <v>-2.0308673000000003E-2</v>
      </c>
      <c r="M22" s="24">
        <v>-3.0952394000000001E-2</v>
      </c>
      <c r="N22" s="24">
        <v>-4.1940809999999995E-2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42559</v>
      </c>
      <c r="B23" s="24">
        <v>5.3876160000000006E-2</v>
      </c>
      <c r="C23" s="24">
        <v>2.8793454E-2</v>
      </c>
      <c r="D23" s="24">
        <v>-8.556068E-3</v>
      </c>
      <c r="E23" s="24">
        <v>-3.6791741999999995E-2</v>
      </c>
      <c r="F23" s="24">
        <v>1.0136366E-3</v>
      </c>
      <c r="G23" s="24">
        <v>-4.6325922000000005E-3</v>
      </c>
      <c r="H23" s="24">
        <v>-1.8592298E-2</v>
      </c>
      <c r="I23" s="24">
        <v>1.5209317E-2</v>
      </c>
      <c r="J23" s="24">
        <v>1.7567634999999998E-2</v>
      </c>
      <c r="K23" s="24">
        <v>-4.1945219999999998E-2</v>
      </c>
      <c r="L23" s="24">
        <v>-4.1899977000000005E-2</v>
      </c>
      <c r="M23" s="24">
        <v>-2.3171425000000002E-2</v>
      </c>
      <c r="N23" s="24">
        <v>-6.8619013000000006E-2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42592</v>
      </c>
      <c r="B24" s="24">
        <v>2.9683232E-2</v>
      </c>
      <c r="C24" s="24">
        <v>6.7478537999999991E-2</v>
      </c>
      <c r="D24" s="24">
        <v>3.6120176000000004E-2</v>
      </c>
      <c r="E24" s="24">
        <v>0.11543333</v>
      </c>
      <c r="F24" s="24">
        <v>6.3094259999999999E-2</v>
      </c>
      <c r="G24" s="24">
        <v>3.6177516E-2</v>
      </c>
      <c r="H24" s="24">
        <v>4.4756174000000003E-2</v>
      </c>
      <c r="I24" s="24">
        <v>5.7298302999999995E-2</v>
      </c>
      <c r="J24" s="24">
        <v>2.3465872000000002E-2</v>
      </c>
      <c r="K24" s="24">
        <v>7.2930573999999998E-2</v>
      </c>
      <c r="L24" s="24">
        <v>7.5724243999999996E-2</v>
      </c>
      <c r="M24" s="24">
        <v>7.2469115000000001E-2</v>
      </c>
      <c r="N24" s="24">
        <v>5.9715629999999999E-2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42622</v>
      </c>
      <c r="B25" s="24">
        <v>2.8719425E-2</v>
      </c>
      <c r="C25" s="24">
        <v>-6.0361203999999995E-2</v>
      </c>
      <c r="D25" s="24">
        <v>-7.0505139999999999E-3</v>
      </c>
      <c r="E25" s="24">
        <v>-1.1751294000000001E-2</v>
      </c>
      <c r="F25" s="24">
        <v>2.4390220000000003E-3</v>
      </c>
      <c r="G25" s="24">
        <v>2.3056268999999997E-3</v>
      </c>
      <c r="H25" s="24">
        <v>1.0869622000000001E-2</v>
      </c>
      <c r="I25" s="24">
        <v>-2.0065187999999998E-2</v>
      </c>
      <c r="J25" s="24">
        <v>-2.0033062000000001E-2</v>
      </c>
      <c r="K25" s="24">
        <v>7.0892569999999999E-3</v>
      </c>
      <c r="L25" s="24">
        <v>1.4283657E-3</v>
      </c>
      <c r="M25" s="24">
        <v>4.179716E-3</v>
      </c>
      <c r="N25" s="24">
        <v>2.0572423999999999E-2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42653</v>
      </c>
      <c r="B26" s="24">
        <v>-7.2837949999999999E-2</v>
      </c>
      <c r="C26" s="24">
        <v>6.1709642000000002E-2</v>
      </c>
      <c r="D26" s="24">
        <v>2.3669004E-3</v>
      </c>
      <c r="E26" s="24">
        <v>6.9044830000000003E-3</v>
      </c>
      <c r="F26" s="24">
        <v>1.2976527E-2</v>
      </c>
      <c r="G26" s="24">
        <v>-8.2156060000000003E-3</v>
      </c>
      <c r="H26" s="24">
        <v>-1.7710328000000001E-2</v>
      </c>
      <c r="I26" s="24">
        <v>4.5840980000000003E-2</v>
      </c>
      <c r="J26" s="24">
        <v>1.8643259999999998E-2</v>
      </c>
      <c r="K26" s="24">
        <v>-4.1407346999999996E-4</v>
      </c>
      <c r="L26" s="24">
        <v>1.4669894999999999E-2</v>
      </c>
      <c r="M26" s="24">
        <v>1.6302466000000002E-2</v>
      </c>
      <c r="N26" s="24">
        <v>-2.9798447999999998E-2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42684</v>
      </c>
      <c r="B27" s="24">
        <v>-5.3656282E-2</v>
      </c>
      <c r="C27" s="24">
        <v>-2.3820877000000001E-2</v>
      </c>
      <c r="D27" s="24">
        <v>-4.3290257E-3</v>
      </c>
      <c r="E27" s="24">
        <v>-2.5904775000000001E-2</v>
      </c>
      <c r="F27" s="24">
        <v>-1.0608435000000001E-2</v>
      </c>
      <c r="G27" s="24">
        <v>-2.6838958000000003E-2</v>
      </c>
      <c r="H27" s="24">
        <v>-2.1571159999999999E-2</v>
      </c>
      <c r="I27" s="24">
        <v>-2.9105842000000003E-2</v>
      </c>
      <c r="J27" s="24">
        <v>3.5158395999999995E-3</v>
      </c>
      <c r="K27" s="24">
        <v>-9.9419950000000003E-3</v>
      </c>
      <c r="L27" s="24">
        <v>-3.5742939000000001E-2</v>
      </c>
      <c r="M27" s="24">
        <v>-4.9146710000000003E-2</v>
      </c>
      <c r="N27" s="24">
        <v>1.3550519999999998E-3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42713</v>
      </c>
      <c r="B28" s="24">
        <v>1.9019246E-2</v>
      </c>
      <c r="C28" s="24">
        <v>3.2210827000000004E-2</v>
      </c>
      <c r="D28" s="24">
        <v>6.4822196999999998E-2</v>
      </c>
      <c r="E28" s="24">
        <v>2.0336389999999999E-2</v>
      </c>
      <c r="F28" s="24">
        <v>3.6819695999999999E-2</v>
      </c>
      <c r="G28" s="24">
        <v>-8.1716775999999998E-3</v>
      </c>
      <c r="H28" s="24">
        <v>2.5995374000000002E-2</v>
      </c>
      <c r="I28" s="24">
        <v>3.2397389999999998E-2</v>
      </c>
      <c r="J28" s="24">
        <v>4.420984E-2</v>
      </c>
      <c r="K28" s="24">
        <v>2.2594213000000002E-2</v>
      </c>
      <c r="L28" s="24">
        <v>8.3303450000000003E-4</v>
      </c>
      <c r="M28" s="24">
        <v>3.3022284999999998E-2</v>
      </c>
      <c r="N28" s="24">
        <v>5.9539913999999999E-2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42745</v>
      </c>
      <c r="B29" s="24">
        <v>4.2188167999999997E-4</v>
      </c>
      <c r="C29" s="24">
        <v>2.9651759999999999E-2</v>
      </c>
      <c r="D29" s="24">
        <v>2.4936199000000002E-3</v>
      </c>
      <c r="E29" s="24">
        <v>2.8333305999999999E-2</v>
      </c>
      <c r="F29" s="24">
        <v>-6.6304799999999994E-3</v>
      </c>
      <c r="G29" s="24">
        <v>3.9096354999999999E-2</v>
      </c>
      <c r="H29" s="24">
        <v>7.0192814000000006E-3</v>
      </c>
      <c r="I29" s="24">
        <v>2.8986215999999999E-2</v>
      </c>
      <c r="J29" s="24">
        <v>5.6833029999999998E-3</v>
      </c>
      <c r="K29" s="24">
        <v>2.2893905999999999E-2</v>
      </c>
      <c r="L29" s="24">
        <v>2.5952340000000001E-2</v>
      </c>
      <c r="M29" s="24">
        <v>-1.21968985E-3</v>
      </c>
      <c r="N29" s="24">
        <v>5.0472735999999997E-2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42776</v>
      </c>
      <c r="B30" s="24">
        <v>4.2000529999999994E-2</v>
      </c>
      <c r="C30" s="24">
        <v>3.0174494E-2</v>
      </c>
      <c r="D30" s="24">
        <v>3.1787633999999995E-2</v>
      </c>
      <c r="E30" s="24">
        <v>1.8269897E-2</v>
      </c>
      <c r="F30" s="24">
        <v>2.1065235000000002E-2</v>
      </c>
      <c r="G30" s="24">
        <v>1.9173503000000001E-2</v>
      </c>
      <c r="H30" s="24">
        <v>2.7768850000000001E-2</v>
      </c>
      <c r="I30" s="24">
        <v>3.8988589999999997E-2</v>
      </c>
      <c r="J30" s="24">
        <v>2.2299646999999999E-2</v>
      </c>
      <c r="K30" s="24">
        <v>8.0287460000000007E-4</v>
      </c>
      <c r="L30" s="24">
        <v>2.7937531000000002E-2</v>
      </c>
      <c r="M30" s="24">
        <v>6.1586619999999995E-2</v>
      </c>
      <c r="N30" s="24">
        <v>-3.1901895999999999E-2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42804</v>
      </c>
      <c r="B31" s="24">
        <v>-3.4715712000000003E-2</v>
      </c>
      <c r="C31" s="24">
        <v>9.1532469999999998E-3</v>
      </c>
      <c r="D31" s="24">
        <v>-3.8419724000000002E-2</v>
      </c>
      <c r="E31" s="24">
        <v>2.7096271999999998E-2</v>
      </c>
      <c r="F31" s="24">
        <v>-7.7855589999999998E-4</v>
      </c>
      <c r="G31" s="24">
        <v>2.2380830000000001E-2</v>
      </c>
      <c r="H31" s="24">
        <v>-5.3408739999999998E-3</v>
      </c>
      <c r="I31" s="24">
        <v>3.1480670000000002E-2</v>
      </c>
      <c r="J31" s="24">
        <v>2.6694298000000002E-2</v>
      </c>
      <c r="K31" s="24">
        <v>3.4897684999999998E-2</v>
      </c>
      <c r="L31" s="24">
        <v>6.5547585000000005E-2</v>
      </c>
      <c r="M31" s="24">
        <v>8.5217950000000004E-3</v>
      </c>
      <c r="N31" s="24">
        <v>4.2670009999999994E-2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42835</v>
      </c>
      <c r="B32" s="24">
        <v>1.9551038999999999E-2</v>
      </c>
      <c r="C32" s="24">
        <v>1.5419483000000001E-2</v>
      </c>
      <c r="D32" s="24">
        <v>2.1485089999999998E-2</v>
      </c>
      <c r="E32" s="24">
        <v>9.9822279999999992E-3</v>
      </c>
      <c r="F32" s="24">
        <v>-7.5964330000000005E-3</v>
      </c>
      <c r="G32" s="24">
        <v>7.9314710000000007E-3</v>
      </c>
      <c r="H32" s="24">
        <v>2.2109985000000002E-2</v>
      </c>
      <c r="I32" s="24">
        <v>6.8867206999999996E-3</v>
      </c>
      <c r="J32" s="24">
        <v>-5.5713654000000001E-3</v>
      </c>
      <c r="K32" s="24">
        <v>1.8604755000000001E-2</v>
      </c>
      <c r="L32" s="24">
        <v>3.5634040000000001E-3</v>
      </c>
      <c r="M32" s="24">
        <v>8.1248282999999994E-3</v>
      </c>
      <c r="N32" s="24">
        <v>1.9043684000000002E-2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42865</v>
      </c>
      <c r="B33" s="24">
        <v>2.9592752E-2</v>
      </c>
      <c r="C33" s="24">
        <v>-2.2778033999999999E-2</v>
      </c>
      <c r="D33" s="24">
        <v>-2.6937245999999998E-2</v>
      </c>
      <c r="E33" s="24">
        <v>7.0596576000000008E-2</v>
      </c>
      <c r="F33" s="24">
        <v>2.8066753999999999E-2</v>
      </c>
      <c r="G33" s="24">
        <v>6.8932889999999997E-2</v>
      </c>
      <c r="H33" s="24">
        <v>4.9443720000000004E-2</v>
      </c>
      <c r="I33" s="24">
        <v>4.8325896000000007E-2</v>
      </c>
      <c r="J33" s="24">
        <v>1.9248723999999998E-2</v>
      </c>
      <c r="K33" s="24">
        <v>9.4368339999999995E-2</v>
      </c>
      <c r="L33" s="24">
        <v>7.7555656000000001E-2</v>
      </c>
      <c r="M33" s="24">
        <v>8.123791000000001E-2</v>
      </c>
      <c r="N33" s="24">
        <v>9.9403619999999998E-2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42895</v>
      </c>
      <c r="B34" s="24">
        <v>3.8399576999999997E-2</v>
      </c>
      <c r="C34" s="24">
        <v>-1.4168142999999999E-2</v>
      </c>
      <c r="D34" s="24">
        <v>5.3089859999999999E-3</v>
      </c>
      <c r="E34" s="24">
        <v>3.1322122000000001E-2</v>
      </c>
      <c r="F34" s="24">
        <v>3.2646060000000005E-2</v>
      </c>
      <c r="G34" s="24">
        <v>1.3545275000000001E-2</v>
      </c>
      <c r="H34" s="24">
        <v>6.7726373999999999E-3</v>
      </c>
      <c r="I34" s="24">
        <v>1.1416196999999999E-2</v>
      </c>
      <c r="J34" s="24">
        <v>1.4757991E-2</v>
      </c>
      <c r="K34" s="24">
        <v>2.1557689000000001E-2</v>
      </c>
      <c r="L34" s="24">
        <v>2.4280309999999999E-2</v>
      </c>
      <c r="M34" s="24">
        <v>2.265942E-2</v>
      </c>
      <c r="N34" s="24">
        <v>2.0976543E-2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42926</v>
      </c>
      <c r="B35" s="24">
        <v>3.0630945999999999E-2</v>
      </c>
      <c r="C35" s="24">
        <v>2.009213E-2</v>
      </c>
      <c r="D35" s="24">
        <v>2.308023E-2</v>
      </c>
      <c r="E35" s="24">
        <v>-9.5318555999999999E-3</v>
      </c>
      <c r="F35" s="24">
        <v>-1.6816497E-2</v>
      </c>
      <c r="G35" s="24">
        <v>1.2478708999999999E-2</v>
      </c>
      <c r="H35" s="24">
        <v>-8.0721379999999995E-3</v>
      </c>
      <c r="I35" s="24">
        <v>-6.7165494000000006E-3</v>
      </c>
      <c r="J35" s="24">
        <v>5.8245659999999996E-4</v>
      </c>
      <c r="K35" s="24">
        <v>-2.7934910000000004E-3</v>
      </c>
      <c r="L35" s="24">
        <v>-1.1090636E-3</v>
      </c>
      <c r="M35" s="24">
        <v>2.3009895999999998E-2</v>
      </c>
      <c r="N35" s="24">
        <v>2.0725489E-2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42957</v>
      </c>
      <c r="B36" s="24">
        <v>1.7947078000000002E-2</v>
      </c>
      <c r="C36" s="24">
        <v>3.0190467999999998E-2</v>
      </c>
      <c r="D36" s="24">
        <v>1.0037183999999999E-2</v>
      </c>
      <c r="E36" s="24">
        <v>-6.2519910000000001E-3</v>
      </c>
      <c r="F36" s="24">
        <v>2.4791837000000001E-2</v>
      </c>
      <c r="G36" s="24">
        <v>-8.7922810000000005E-4</v>
      </c>
      <c r="H36" s="24">
        <v>1.3566494E-2</v>
      </c>
      <c r="I36" s="24">
        <v>1.7092109000000001E-2</v>
      </c>
      <c r="J36" s="24">
        <v>5.7350400000000003E-3</v>
      </c>
      <c r="K36" s="24">
        <v>1.8402814999999999E-2</v>
      </c>
      <c r="L36" s="24">
        <v>4.392588E-2</v>
      </c>
      <c r="M36" s="24">
        <v>-1.1367023E-2</v>
      </c>
      <c r="N36" s="24">
        <v>5.0530076E-2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42986</v>
      </c>
      <c r="B37" s="24">
        <v>1.1610389E-2</v>
      </c>
      <c r="C37" s="24">
        <v>2.8403877999999997E-2</v>
      </c>
      <c r="D37" s="24">
        <v>4.0853859999999999E-2</v>
      </c>
      <c r="E37" s="24">
        <v>4.602647E-2</v>
      </c>
      <c r="F37" s="24">
        <v>1.5143156E-2</v>
      </c>
      <c r="G37" s="24">
        <v>1.7013788000000002E-2</v>
      </c>
      <c r="H37" s="24">
        <v>1.8441439E-2</v>
      </c>
      <c r="I37" s="24">
        <v>2.2548436999999998E-2</v>
      </c>
      <c r="J37" s="24">
        <v>1.1568785E-2</v>
      </c>
      <c r="K37" s="24">
        <v>2.8298616000000002E-2</v>
      </c>
      <c r="L37" s="24">
        <v>1.8080235E-2</v>
      </c>
      <c r="M37" s="24">
        <v>2.9481172999999999E-2</v>
      </c>
      <c r="N37" s="24">
        <v>3.0945182000000002E-2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43018</v>
      </c>
      <c r="B38" s="24">
        <v>-7.0137979999999999E-3</v>
      </c>
      <c r="C38" s="24">
        <v>-1.7536163E-2</v>
      </c>
      <c r="D38" s="24">
        <v>2.9349327000000001E-2</v>
      </c>
      <c r="E38" s="24">
        <v>3.4821153000000001E-2</v>
      </c>
      <c r="F38" s="24">
        <v>2.7105690000000002E-2</v>
      </c>
      <c r="G38" s="24">
        <v>1.7594456999999997E-2</v>
      </c>
      <c r="H38" s="24">
        <v>2.6869059000000001E-2</v>
      </c>
      <c r="I38" s="24">
        <v>2.5753379999999999E-2</v>
      </c>
      <c r="J38" s="24">
        <v>3.7721992000000003E-2</v>
      </c>
      <c r="K38" s="24">
        <v>3.2824873999999997E-2</v>
      </c>
      <c r="L38" s="24">
        <v>2.2602557999999998E-2</v>
      </c>
      <c r="M38" s="24">
        <v>4.1523457E-2</v>
      </c>
      <c r="N38" s="24">
        <v>1.3376832E-2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43049</v>
      </c>
      <c r="B39" s="24">
        <v>-3.6065936E-2</v>
      </c>
      <c r="C39" s="24">
        <v>3.3913492999999996E-2</v>
      </c>
      <c r="D39" s="24">
        <v>7.2139500000000002E-3</v>
      </c>
      <c r="E39" s="24">
        <v>1.5295744E-3</v>
      </c>
      <c r="F39" s="24">
        <v>4.6404599999999997E-2</v>
      </c>
      <c r="G39" s="24">
        <v>-3.2029390000000005E-2</v>
      </c>
      <c r="H39" s="24">
        <v>-1.4789521999999999E-2</v>
      </c>
      <c r="I39" s="24">
        <v>4.1192292999999998E-2</v>
      </c>
      <c r="J39" s="24">
        <v>1.3628125E-2</v>
      </c>
      <c r="K39" s="24">
        <v>-1.2841104999999998E-2</v>
      </c>
      <c r="L39" s="24">
        <v>-1.2630224000000001E-2</v>
      </c>
      <c r="M39" s="24">
        <v>-3.9593039999999996E-2</v>
      </c>
      <c r="N39" s="24">
        <v>-9.0147849999999991E-3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43077</v>
      </c>
      <c r="B40" s="24">
        <v>2.2093892E-2</v>
      </c>
      <c r="C40" s="24">
        <v>-2.2011219999999998E-2</v>
      </c>
      <c r="D40" s="24">
        <v>-6.1391589999999999E-3</v>
      </c>
      <c r="E40" s="24">
        <v>1.2217401999999999E-2</v>
      </c>
      <c r="F40" s="24">
        <v>8.8015795000000001E-3</v>
      </c>
      <c r="G40" s="24">
        <v>2.0204901999999997E-2</v>
      </c>
      <c r="H40" s="24">
        <v>1.1836052E-2</v>
      </c>
      <c r="I40" s="24">
        <v>6.6372156000000003E-3</v>
      </c>
      <c r="J40" s="24">
        <v>2.8749704000000001E-2</v>
      </c>
      <c r="K40" s="24">
        <v>1.6910552999999998E-2</v>
      </c>
      <c r="L40" s="24">
        <v>9.2740059999999996E-3</v>
      </c>
      <c r="M40" s="24">
        <v>-2.8056084999999998E-2</v>
      </c>
      <c r="N40" s="24">
        <v>1.8518567E-2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43110</v>
      </c>
      <c r="B41" s="24">
        <v>5.9950950000000003E-2</v>
      </c>
      <c r="C41" s="24">
        <v>5.8083652999999999E-2</v>
      </c>
      <c r="D41" s="24">
        <v>3.783214E-2</v>
      </c>
      <c r="E41" s="24">
        <v>2.6119946999999998E-2</v>
      </c>
      <c r="F41" s="24">
        <v>6.1427116000000004E-2</v>
      </c>
      <c r="G41" s="24">
        <v>3.5591364E-2</v>
      </c>
      <c r="H41" s="24">
        <v>5.6395289999999994E-2</v>
      </c>
      <c r="I41" s="24">
        <v>5.0528525999999997E-2</v>
      </c>
      <c r="J41" s="24">
        <v>3.7662982999999997E-2</v>
      </c>
      <c r="K41" s="24">
        <v>3.0625699999999999E-2</v>
      </c>
      <c r="L41" s="24">
        <v>2.9558181999999999E-2</v>
      </c>
      <c r="M41" s="24">
        <v>4.7792315000000002E-2</v>
      </c>
      <c r="N41" s="24">
        <v>2.9251814000000001E-2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43140</v>
      </c>
      <c r="B42" s="24">
        <v>-2.4441182999999998E-2</v>
      </c>
      <c r="C42" s="24">
        <v>-5.4700794000000004E-2</v>
      </c>
      <c r="D42" s="24">
        <v>-8.0040220000000009E-2</v>
      </c>
      <c r="E42" s="24">
        <v>-5.4245175999999999E-2</v>
      </c>
      <c r="F42" s="24">
        <v>-5.9993625000000002E-2</v>
      </c>
      <c r="G42" s="24">
        <v>-3.9911389999999998E-2</v>
      </c>
      <c r="H42" s="24">
        <v>-5.6686880000000002E-2</v>
      </c>
      <c r="I42" s="24">
        <v>-3.7489116000000003E-2</v>
      </c>
      <c r="J42" s="24">
        <v>-4.6038209999999996E-2</v>
      </c>
      <c r="K42" s="24">
        <v>-4.4817923999999995E-2</v>
      </c>
      <c r="L42" s="24">
        <v>-3.5592735E-2</v>
      </c>
      <c r="M42" s="24">
        <v>-5.1675199999999998E-2</v>
      </c>
      <c r="N42" s="24">
        <v>-1.2153327E-2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43168</v>
      </c>
      <c r="B43" s="24">
        <v>6.1670303000000003E-2</v>
      </c>
      <c r="C43" s="24">
        <v>5.3797363999999993E-2</v>
      </c>
      <c r="D43" s="24">
        <v>2.0021914999999998E-2</v>
      </c>
      <c r="E43" s="24">
        <v>2.2132157999999999E-2</v>
      </c>
      <c r="F43" s="24">
        <v>2.6239990000000001E-2</v>
      </c>
      <c r="G43" s="24">
        <v>1.2702107000000001E-2</v>
      </c>
      <c r="H43" s="24">
        <v>2.304554E-2</v>
      </c>
      <c r="I43" s="24">
        <v>0.10928893000000001</v>
      </c>
      <c r="J43" s="24">
        <v>6.6424490000000003E-2</v>
      </c>
      <c r="K43" s="24">
        <v>4.2033195000000002E-2</v>
      </c>
      <c r="L43" s="24">
        <v>4.5892240000000001E-2</v>
      </c>
      <c r="M43" s="24">
        <v>3.1736493000000005E-2</v>
      </c>
      <c r="N43" s="24">
        <v>2.7129411999999999E-2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43200</v>
      </c>
      <c r="B44" s="24">
        <v>1.9160866999999998E-2</v>
      </c>
      <c r="C44" s="24">
        <v>-3.6465048999999999E-2</v>
      </c>
      <c r="D44" s="24">
        <v>-1.7845035000000002E-3</v>
      </c>
      <c r="E44" s="24">
        <v>-9.1499090000000006E-4</v>
      </c>
      <c r="F44" s="24">
        <v>-2.3094416E-3</v>
      </c>
      <c r="G44" s="24">
        <v>-1.7103851E-2</v>
      </c>
      <c r="H44" s="24">
        <v>2.8229356000000001E-2</v>
      </c>
      <c r="I44" s="24">
        <v>-6.7470492999999993E-2</v>
      </c>
      <c r="J44" s="24">
        <v>-4.5395430000000001E-2</v>
      </c>
      <c r="K44" s="24">
        <v>9.3808173999999998E-3</v>
      </c>
      <c r="L44" s="24">
        <v>6.1368942E-4</v>
      </c>
      <c r="M44" s="24">
        <v>-3.1050502999999997E-2</v>
      </c>
      <c r="N44" s="24">
        <v>2.3341417E-2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43230</v>
      </c>
      <c r="B45" s="24">
        <v>-4.136157E-2</v>
      </c>
      <c r="C45" s="24">
        <v>1.8699884E-2</v>
      </c>
      <c r="D45" s="24">
        <v>3.8255334000000002E-2</v>
      </c>
      <c r="E45" s="24">
        <v>1.3431071999999999E-2</v>
      </c>
      <c r="F45" s="24">
        <v>5.6216717000000006E-3</v>
      </c>
      <c r="G45" s="24">
        <v>-3.4802556E-3</v>
      </c>
      <c r="H45" s="24">
        <v>1.8302797999999999E-2</v>
      </c>
      <c r="I45" s="24">
        <v>5.2167892E-2</v>
      </c>
      <c r="J45" s="24">
        <v>2.59099E-2</v>
      </c>
      <c r="K45" s="24">
        <v>1.6109109E-2</v>
      </c>
      <c r="L45" s="24">
        <v>-1.4106095000000001E-2</v>
      </c>
      <c r="M45" s="24">
        <v>3.1746030000000001E-2</v>
      </c>
      <c r="N45" s="24">
        <v>2.7010440000000001E-3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43259</v>
      </c>
      <c r="B46" s="24">
        <v>4.6862124999999998E-2</v>
      </c>
      <c r="C46" s="24">
        <v>4.3702125999999999E-4</v>
      </c>
      <c r="D46" s="24">
        <v>3.4427642999999998E-4</v>
      </c>
      <c r="E46" s="24">
        <v>-3.0120491999999999E-2</v>
      </c>
      <c r="F46" s="24">
        <v>3.2889843000000001E-4</v>
      </c>
      <c r="G46" s="24">
        <v>-2.2700787E-2</v>
      </c>
      <c r="H46" s="24">
        <v>-7.8976154000000003E-3</v>
      </c>
      <c r="I46" s="24">
        <v>2.8416514E-2</v>
      </c>
      <c r="J46" s="24">
        <v>2.2682190000000001E-2</v>
      </c>
      <c r="K46" s="24">
        <v>-1.6768277000000002E-2</v>
      </c>
      <c r="L46" s="24">
        <v>3.1101704000000002E-4</v>
      </c>
      <c r="M46" s="24">
        <v>-4.1509447000000005E-2</v>
      </c>
      <c r="N46" s="24">
        <v>-0.11433702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43291</v>
      </c>
      <c r="B47" s="24">
        <v>-1.8859385999999999E-2</v>
      </c>
      <c r="C47" s="24">
        <v>2.6240705999999999E-2</v>
      </c>
      <c r="D47" s="24">
        <v>1.0368466E-2</v>
      </c>
      <c r="E47" s="24">
        <v>-1.6248762999999999E-2</v>
      </c>
      <c r="F47" s="24">
        <v>-4.3023825000000002E-2</v>
      </c>
      <c r="G47" s="24">
        <v>1.7750024999999999E-2</v>
      </c>
      <c r="H47" s="24">
        <v>-7.9703329999999996E-3</v>
      </c>
      <c r="I47" s="24">
        <v>1.8689155999999998E-2</v>
      </c>
      <c r="J47" s="24">
        <v>7.0581435999999996E-3</v>
      </c>
      <c r="K47" s="24">
        <v>-3.4846066999999997E-3</v>
      </c>
      <c r="L47" s="24">
        <v>-1.3441086E-2</v>
      </c>
      <c r="M47" s="24">
        <v>-6.9686769999999995E-3</v>
      </c>
      <c r="N47" s="24">
        <v>3.1496047999999999E-2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43322</v>
      </c>
      <c r="B48" s="24">
        <v>-4.1283489999999999E-2</v>
      </c>
      <c r="C48" s="24">
        <v>-2.4305642000000002E-2</v>
      </c>
      <c r="D48" s="24">
        <v>-1.1675835000000001E-2</v>
      </c>
      <c r="E48" s="24">
        <v>-3.9120614999999997E-2</v>
      </c>
      <c r="F48" s="24">
        <v>-4.6737193999999999E-3</v>
      </c>
      <c r="G48" s="24">
        <v>2.0695806000000001E-2</v>
      </c>
      <c r="H48" s="24">
        <v>-3.767699E-2</v>
      </c>
      <c r="I48" s="24">
        <v>1.8046498000000001E-2</v>
      </c>
      <c r="J48" s="24">
        <v>1.5274286E-2</v>
      </c>
      <c r="K48" s="24">
        <v>-3.3672154000000003E-2</v>
      </c>
      <c r="L48" s="24">
        <v>-1.6655922E-2</v>
      </c>
      <c r="M48" s="24">
        <v>-6.0644746000000005E-3</v>
      </c>
      <c r="N48" s="24">
        <v>-6.5005064000000001E-2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43353</v>
      </c>
      <c r="B49" s="24">
        <v>6.6084860000000002E-3</v>
      </c>
      <c r="C49" s="24">
        <v>-3.8700998E-2</v>
      </c>
      <c r="D49" s="24">
        <v>-2.2585154E-2</v>
      </c>
      <c r="E49" s="24">
        <v>-1.2113035000000001E-2</v>
      </c>
      <c r="F49" s="24">
        <v>-1.2173951000000001E-2</v>
      </c>
      <c r="G49" s="24">
        <v>9.6974369999999997E-3</v>
      </c>
      <c r="H49" s="24">
        <v>-2.7965903E-2</v>
      </c>
      <c r="I49" s="24">
        <v>6.6474676E-3</v>
      </c>
      <c r="J49" s="24">
        <v>1.7445921999999999E-2</v>
      </c>
      <c r="K49" s="24">
        <v>-3.2873154E-3</v>
      </c>
      <c r="L49" s="24">
        <v>-1.7589628999999999E-2</v>
      </c>
      <c r="M49" s="24">
        <v>1.1560678E-2</v>
      </c>
      <c r="N49" s="24">
        <v>7.9250335999999991E-3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43383</v>
      </c>
      <c r="B50" s="24">
        <v>-3.3883990000000003E-2</v>
      </c>
      <c r="C50" s="24">
        <v>-3.7019968E-2</v>
      </c>
      <c r="D50" s="24">
        <v>-2.2395968000000002E-2</v>
      </c>
      <c r="E50" s="24">
        <v>-4.3596744999999999E-2</v>
      </c>
      <c r="F50" s="24">
        <v>1.4788747E-2</v>
      </c>
      <c r="G50" s="24">
        <v>-3.987193E-2</v>
      </c>
      <c r="H50" s="24">
        <v>-7.8740715999999992E-3</v>
      </c>
      <c r="I50" s="24">
        <v>-5.3280114999999996E-2</v>
      </c>
      <c r="J50" s="24">
        <v>-2.9640436000000003E-2</v>
      </c>
      <c r="K50" s="24">
        <v>-3.1662226000000002E-2</v>
      </c>
      <c r="L50" s="24">
        <v>-5.5371339999999998E-2</v>
      </c>
      <c r="M50" s="24">
        <v>-3.2698451999999996E-2</v>
      </c>
      <c r="N50" s="24">
        <v>-6.3259480000000007E-2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43413</v>
      </c>
      <c r="B51" s="24">
        <v>4.1210054999999995E-2</v>
      </c>
      <c r="C51" s="24">
        <v>1.8741011999999998E-2</v>
      </c>
      <c r="D51" s="24">
        <v>-2.6181817E-2</v>
      </c>
      <c r="E51" s="24">
        <v>-2.1367549999999999E-2</v>
      </c>
      <c r="F51" s="24">
        <v>-4.4066609999999999E-2</v>
      </c>
      <c r="G51" s="24">
        <v>1.2124777E-2</v>
      </c>
      <c r="H51" s="24">
        <v>-1.1599422E-2</v>
      </c>
      <c r="I51" s="24">
        <v>-1.2227892999999998E-3</v>
      </c>
      <c r="J51" s="24">
        <v>-1.9402504000000001E-3</v>
      </c>
      <c r="K51" s="24">
        <v>-2.2820174999999998E-2</v>
      </c>
      <c r="L51" s="24">
        <v>1.1934042000000001E-2</v>
      </c>
      <c r="M51" s="24">
        <v>-2.5927126000000002E-2</v>
      </c>
      <c r="N51" s="24">
        <v>-2.8996526999999998E-2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43444</v>
      </c>
      <c r="B52" s="24">
        <v>5.2632093000000001E-3</v>
      </c>
      <c r="C52" s="24">
        <v>-5.4716944999999996E-2</v>
      </c>
      <c r="D52" s="24">
        <v>-4.6303215000000002E-2</v>
      </c>
      <c r="E52" s="24">
        <v>-7.2416306E-2</v>
      </c>
      <c r="F52" s="24">
        <v>-3.5753130000000001E-2</v>
      </c>
      <c r="G52" s="24">
        <v>-3.9532780000000003E-2</v>
      </c>
      <c r="H52" s="24">
        <v>-7.5355169999999999E-2</v>
      </c>
      <c r="I52" s="24">
        <v>-4.9265385000000002E-2</v>
      </c>
      <c r="J52" s="24">
        <v>-4.928714E-2</v>
      </c>
      <c r="K52" s="24">
        <v>-6.4482392999999999E-2</v>
      </c>
      <c r="L52" s="24">
        <v>-5.931318E-2</v>
      </c>
      <c r="M52" s="24">
        <v>-5.5256069999999997E-2</v>
      </c>
      <c r="N52" s="24">
        <v>-2.9469550000000001E-2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43475</v>
      </c>
      <c r="B53" s="24">
        <v>1.0524511E-2</v>
      </c>
      <c r="C53" s="24">
        <v>4.7404289999999995E-2</v>
      </c>
      <c r="D53" s="24">
        <v>2.5899887E-2</v>
      </c>
      <c r="E53" s="24">
        <v>3.5308003000000004E-2</v>
      </c>
      <c r="F53" s="24">
        <v>1.4015079E-2</v>
      </c>
      <c r="G53" s="24">
        <v>2.4633645999999999E-2</v>
      </c>
      <c r="H53" s="24">
        <v>4.302168E-2</v>
      </c>
      <c r="I53" s="24">
        <v>-8.077978999999999E-3</v>
      </c>
      <c r="J53" s="24">
        <v>-1.3807594999999999E-2</v>
      </c>
      <c r="K53" s="24">
        <v>2.2939086000000001E-2</v>
      </c>
      <c r="L53" s="24">
        <v>9.2619659999999999E-3</v>
      </c>
      <c r="M53" s="24">
        <v>5.0555824999999999E-2</v>
      </c>
      <c r="N53" s="24">
        <v>5.5011629999999999E-2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43504</v>
      </c>
      <c r="B54" s="24">
        <v>2.2362828000000001E-2</v>
      </c>
      <c r="C54" s="24">
        <v>2.8203963999999998E-2</v>
      </c>
      <c r="D54" s="24">
        <v>4.5789720000000006E-2</v>
      </c>
      <c r="E54" s="24">
        <v>-1.8188715000000001E-2</v>
      </c>
      <c r="F54" s="24">
        <v>-1.3655066E-2</v>
      </c>
      <c r="G54" s="24">
        <v>1.0955572E-2</v>
      </c>
      <c r="H54" s="24">
        <v>3.6976456999999997E-2</v>
      </c>
      <c r="I54" s="24">
        <v>4.5138835999999995E-2</v>
      </c>
      <c r="J54" s="24">
        <v>4.4769763999999997E-2</v>
      </c>
      <c r="K54" s="24">
        <v>1.57336E-2</v>
      </c>
      <c r="L54" s="24">
        <v>4.6989799999999998E-2</v>
      </c>
      <c r="M54" s="24">
        <v>-1.0190606E-3</v>
      </c>
      <c r="N54" s="24">
        <v>-5.4410696E-3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43532</v>
      </c>
      <c r="B55" s="24">
        <v>3.3429741999999998E-2</v>
      </c>
      <c r="C55" s="24">
        <v>2.3099064999999998E-2</v>
      </c>
      <c r="D55" s="24">
        <v>1.3729095E-2</v>
      </c>
      <c r="E55" s="24">
        <v>3.7823200000000001E-2</v>
      </c>
      <c r="F55" s="24">
        <v>1.175797E-2</v>
      </c>
      <c r="G55" s="24">
        <v>3.1607389999999999E-2</v>
      </c>
      <c r="H55" s="24">
        <v>1.8933414999999999E-2</v>
      </c>
      <c r="I55" s="24">
        <v>1.5484095E-2</v>
      </c>
      <c r="J55" s="24">
        <v>1.4752030000000001E-2</v>
      </c>
      <c r="K55" s="24">
        <v>4.5389055999999997E-2</v>
      </c>
      <c r="L55" s="24">
        <v>1.6129017000000002E-2</v>
      </c>
      <c r="M55" s="24">
        <v>0</v>
      </c>
      <c r="N55" s="24">
        <v>4.7284006999999996E-2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43565</v>
      </c>
      <c r="B56" s="24">
        <v>1.6573429000000001E-2</v>
      </c>
      <c r="C56" s="24">
        <v>2.1166444000000003E-2</v>
      </c>
      <c r="D56" s="24">
        <v>3.6237240000000004E-2</v>
      </c>
      <c r="E56" s="24">
        <v>3.5701035999999998E-2</v>
      </c>
      <c r="F56" s="24">
        <v>2.9990673000000002E-2</v>
      </c>
      <c r="G56" s="24">
        <v>3.9976596999999996E-2</v>
      </c>
      <c r="H56" s="24">
        <v>4.6144246999999999E-2</v>
      </c>
      <c r="I56" s="24">
        <v>8.5511320000000002E-2</v>
      </c>
      <c r="J56" s="24">
        <v>5.4994344999999993E-2</v>
      </c>
      <c r="K56" s="24">
        <v>3.9972424999999999E-2</v>
      </c>
      <c r="L56" s="24">
        <v>5.7971000000000002E-2</v>
      </c>
      <c r="M56" s="24">
        <v>8.5685140000000007E-2</v>
      </c>
      <c r="N56" s="24">
        <v>4.9253819999999997E-2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43595</v>
      </c>
      <c r="B57" s="24">
        <v>2.0428180000000001E-2</v>
      </c>
      <c r="C57" s="24">
        <v>0</v>
      </c>
      <c r="D57" s="24">
        <v>-1.1656642E-2</v>
      </c>
      <c r="E57" s="24">
        <v>1.7594217999999998E-2</v>
      </c>
      <c r="F57" s="24">
        <v>-1.6014575999999999E-2</v>
      </c>
      <c r="G57" s="24">
        <v>2.8059483000000001E-3</v>
      </c>
      <c r="H57" s="24">
        <v>-2.3090540999999999E-2</v>
      </c>
      <c r="I57" s="24">
        <v>-2.5340915000000002E-3</v>
      </c>
      <c r="J57" s="24">
        <v>-6.5904856000000001E-4</v>
      </c>
      <c r="K57" s="24">
        <v>-7.6209307000000004E-3</v>
      </c>
      <c r="L57" s="24">
        <v>6.5231322999999997E-3</v>
      </c>
      <c r="M57" s="24">
        <v>-3.8834930000000004E-2</v>
      </c>
      <c r="N57" s="24">
        <v>-2.7382672E-2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43626</v>
      </c>
      <c r="B58" s="24">
        <v>-1.4629483E-2</v>
      </c>
      <c r="C58" s="24">
        <v>2.9479623E-2</v>
      </c>
      <c r="D58" s="24">
        <v>7.8628063000000005E-3</v>
      </c>
      <c r="E58" s="24">
        <v>-1.5172899E-2</v>
      </c>
      <c r="F58" s="24">
        <v>1.0357022E-2</v>
      </c>
      <c r="G58" s="24">
        <v>4.6446560000000005E-2</v>
      </c>
      <c r="H58" s="24">
        <v>-6.0606000000000002E-3</v>
      </c>
      <c r="I58" s="24">
        <v>-1.000005E-2</v>
      </c>
      <c r="J58" s="24">
        <v>3.0198097000000003E-3</v>
      </c>
      <c r="K58" s="24">
        <v>1.4357208999999999E-2</v>
      </c>
      <c r="L58" s="24">
        <v>9.7215175999999998E-4</v>
      </c>
      <c r="M58" s="24">
        <v>-3.5842656999999999E-3</v>
      </c>
      <c r="N58" s="24">
        <v>-2.5594234E-3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43656</v>
      </c>
      <c r="B59" s="24">
        <v>7.381654E-2</v>
      </c>
      <c r="C59" s="24">
        <v>2.7276754E-2</v>
      </c>
      <c r="D59" s="24">
        <v>3.6638974999999997E-2</v>
      </c>
      <c r="E59" s="24">
        <v>2.078116E-2</v>
      </c>
      <c r="F59" s="24">
        <v>1.5359640000000001E-2</v>
      </c>
      <c r="G59" s="24">
        <v>1.4819384E-2</v>
      </c>
      <c r="H59" s="24">
        <v>8.7766649999999995E-3</v>
      </c>
      <c r="I59" s="24">
        <v>5.3700805000000004E-2</v>
      </c>
      <c r="J59" s="24">
        <v>3.8391829000000002E-2</v>
      </c>
      <c r="K59" s="24">
        <v>3.2554270000000003E-2</v>
      </c>
      <c r="L59" s="24">
        <v>2.0960808000000001E-2</v>
      </c>
      <c r="M59" s="24">
        <v>3.2015562000000004E-2</v>
      </c>
      <c r="N59" s="24">
        <v>7.8421474000000005E-2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43686</v>
      </c>
      <c r="B60" s="24">
        <v>-1.1080384E-2</v>
      </c>
      <c r="C60" s="24">
        <v>-4.4888915999999994E-2</v>
      </c>
      <c r="D60" s="24">
        <v>-2.7614771999999999E-2</v>
      </c>
      <c r="E60" s="24">
        <v>-5.2650509999999998E-2</v>
      </c>
      <c r="F60" s="24">
        <v>-2.5468468999999997E-2</v>
      </c>
      <c r="G60" s="24">
        <v>5.6467056000000003E-3</v>
      </c>
      <c r="H60" s="24">
        <v>-6.7265930000000002E-2</v>
      </c>
      <c r="I60" s="24">
        <v>-3.1522571999999999E-2</v>
      </c>
      <c r="J60" s="24">
        <v>-2.3408413000000003E-2</v>
      </c>
      <c r="K60" s="24">
        <v>-4.3123126000000005E-2</v>
      </c>
      <c r="L60" s="24">
        <v>-1.8843412E-2</v>
      </c>
      <c r="M60" s="24">
        <v>-7.1615457999999993E-2</v>
      </c>
      <c r="N60" s="24">
        <v>-8.7935269999999996E-2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43718</v>
      </c>
      <c r="B61" s="24">
        <v>2.2408961999999998E-2</v>
      </c>
      <c r="C61" s="24">
        <v>3.7691950000000002E-2</v>
      </c>
      <c r="D61" s="24">
        <v>2.0944238E-2</v>
      </c>
      <c r="E61" s="24">
        <v>3.3878921999999999E-2</v>
      </c>
      <c r="F61" s="24">
        <v>3.3227563000000002E-2</v>
      </c>
      <c r="G61" s="24">
        <v>8.5561274999999999E-3</v>
      </c>
      <c r="H61" s="24">
        <v>3.3233643E-2</v>
      </c>
      <c r="I61" s="24">
        <v>2.2253156E-2</v>
      </c>
      <c r="J61" s="24">
        <v>2.2323607999999998E-2</v>
      </c>
      <c r="K61" s="24">
        <v>2.6288748000000001E-2</v>
      </c>
      <c r="L61" s="24">
        <v>3.8410543999999998E-2</v>
      </c>
      <c r="M61" s="24">
        <v>4.0507317000000001E-2</v>
      </c>
      <c r="N61" s="24">
        <v>6.6718100000000002E-2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43748</v>
      </c>
      <c r="B62" s="24">
        <v>-4.3287634999999998E-2</v>
      </c>
      <c r="C62" s="24">
        <v>-1.8834113999999999E-2</v>
      </c>
      <c r="D62" s="24">
        <v>-1.5646755999999998E-2</v>
      </c>
      <c r="E62" s="24">
        <v>-2.1723151E-2</v>
      </c>
      <c r="F62" s="24">
        <v>1.9873618999999999E-2</v>
      </c>
      <c r="G62" s="24">
        <v>-1.6171813E-2</v>
      </c>
      <c r="H62" s="24">
        <v>-1.1579335E-2</v>
      </c>
      <c r="I62" s="24">
        <v>-8.2854030000000002E-3</v>
      </c>
      <c r="J62" s="24">
        <v>-1.1839747000000001E-2</v>
      </c>
      <c r="K62" s="24">
        <v>-7.9840420000000002E-3</v>
      </c>
      <c r="L62" s="24">
        <v>-8.6097120000000003E-3</v>
      </c>
      <c r="M62" s="24">
        <v>-1.8618882E-2</v>
      </c>
      <c r="N62" s="24">
        <v>-1.1207521E-2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43777</v>
      </c>
      <c r="B63" s="24">
        <v>3.4364462000000002E-3</v>
      </c>
      <c r="C63" s="24">
        <v>4.0676474999999997E-2</v>
      </c>
      <c r="D63" s="24">
        <v>4.0621640000000001E-2</v>
      </c>
      <c r="E63" s="24">
        <v>9.2209340000000001E-2</v>
      </c>
      <c r="F63" s="24">
        <v>6.1647414999999997E-2</v>
      </c>
      <c r="G63" s="24">
        <v>4.0150880000000007E-2</v>
      </c>
      <c r="H63" s="24">
        <v>6.0852529999999995E-2</v>
      </c>
      <c r="I63" s="24">
        <v>6.6514730000000008E-2</v>
      </c>
      <c r="J63" s="24">
        <v>5.3539753000000002E-2</v>
      </c>
      <c r="K63" s="24">
        <v>6.2374234000000001E-2</v>
      </c>
      <c r="L63" s="24">
        <v>5.2106739999999999E-2</v>
      </c>
      <c r="M63" s="24">
        <v>0.11107278000000001</v>
      </c>
      <c r="N63" s="24">
        <v>7.8610540000000007E-2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43809</v>
      </c>
      <c r="B64" s="24">
        <v>7.5152159999999996E-2</v>
      </c>
      <c r="C64" s="24">
        <v>-1.2736081999999999E-2</v>
      </c>
      <c r="D64" s="24">
        <v>6.7889689999999999E-4</v>
      </c>
      <c r="E64" s="24">
        <v>-6.5472125999999995E-3</v>
      </c>
      <c r="F64" s="24">
        <v>6.0070753000000003E-3</v>
      </c>
      <c r="G64" s="24">
        <v>1.2435317E-2</v>
      </c>
      <c r="H64" s="24">
        <v>1.0122776E-2</v>
      </c>
      <c r="I64" s="24">
        <v>1.3268352000000001E-2</v>
      </c>
      <c r="J64" s="24">
        <v>1.4857291999999999E-2</v>
      </c>
      <c r="K64" s="24">
        <v>-1.5783310000000001E-3</v>
      </c>
      <c r="L64" s="24">
        <v>7.3372126000000003E-3</v>
      </c>
      <c r="M64" s="24">
        <v>-4.0359497000000003E-3</v>
      </c>
      <c r="N64" s="24">
        <v>-2.3389875999999997E-2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43840</v>
      </c>
      <c r="B65" s="24">
        <v>3.4685253999999999E-2</v>
      </c>
      <c r="C65" s="24">
        <v>3.6780476999999999E-2</v>
      </c>
      <c r="D65" s="24">
        <v>3.1566858000000003E-2</v>
      </c>
      <c r="E65" s="24">
        <v>3.2258034000000005E-2</v>
      </c>
      <c r="F65" s="24">
        <v>-1.0475516000000001E-3</v>
      </c>
      <c r="G65" s="24">
        <v>3.3520937000000001E-2</v>
      </c>
      <c r="H65" s="24">
        <v>3.9137363000000001E-2</v>
      </c>
      <c r="I65" s="24">
        <v>7.3575020000000005E-2</v>
      </c>
      <c r="J65" s="24">
        <v>4.3933153000000003E-2</v>
      </c>
      <c r="K65" s="24">
        <v>3.0644178000000001E-2</v>
      </c>
      <c r="L65" s="24">
        <v>2.8182626000000002E-2</v>
      </c>
      <c r="M65" s="24">
        <v>2.8632164000000002E-2</v>
      </c>
      <c r="N65" s="24">
        <v>3.66714E-2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43871</v>
      </c>
      <c r="B66" s="24">
        <v>-2.0611345999999999E-2</v>
      </c>
      <c r="C66" s="24">
        <v>-7.8774689999999998E-3</v>
      </c>
      <c r="D66" s="24">
        <v>7.3308945000000007E-3</v>
      </c>
      <c r="E66" s="24">
        <v>-1.7473161000000001E-2</v>
      </c>
      <c r="F66" s="24">
        <v>-2.0161271E-3</v>
      </c>
      <c r="G66" s="24">
        <v>3.6890388000000003E-2</v>
      </c>
      <c r="H66" s="24">
        <v>-2.6167153999999998E-2</v>
      </c>
      <c r="I66" s="24">
        <v>6.1987876999999997E-2</v>
      </c>
      <c r="J66" s="24">
        <v>2.7539850000000001E-2</v>
      </c>
      <c r="K66" s="24">
        <v>-8.300066E-3</v>
      </c>
      <c r="L66" s="24">
        <v>9.4842910000000006E-3</v>
      </c>
      <c r="M66" s="24">
        <v>3.0070543000000002E-2</v>
      </c>
      <c r="N66" s="24">
        <v>7.4173210000000002E-3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43900</v>
      </c>
      <c r="B67" s="24">
        <v>-5.8855000000000005E-2</v>
      </c>
      <c r="C67" s="24">
        <v>-0.16453462999999999</v>
      </c>
      <c r="D67" s="24">
        <v>-0.18954681000000001</v>
      </c>
      <c r="E67" s="24">
        <v>-0.16073864000000002</v>
      </c>
      <c r="F67" s="24">
        <v>-0.13451183</v>
      </c>
      <c r="G67" s="24">
        <v>-0.10410696</v>
      </c>
      <c r="H67" s="24">
        <v>-0.16916029999999999</v>
      </c>
      <c r="I67" s="24">
        <v>-0.12010175000000001</v>
      </c>
      <c r="J67" s="24">
        <v>-0.1382215</v>
      </c>
      <c r="K67" s="24">
        <v>-0.16893982000000002</v>
      </c>
      <c r="L67" s="24">
        <v>-0.14122140999999999</v>
      </c>
      <c r="M67" s="24">
        <v>-0.14268690000000001</v>
      </c>
      <c r="N67" s="24">
        <v>-0.21820609999999999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43930</v>
      </c>
      <c r="B68" s="24">
        <v>-0.119007</v>
      </c>
      <c r="C68" s="24">
        <v>-0.12196415999999999</v>
      </c>
      <c r="D68" s="24">
        <v>-5.5510225000000003E-2</v>
      </c>
      <c r="E68" s="24">
        <v>-6.1124682000000007E-2</v>
      </c>
      <c r="F68" s="24">
        <v>-2.0034969999999999E-2</v>
      </c>
      <c r="G68" s="24">
        <v>-3.3049107000000001E-2</v>
      </c>
      <c r="H68" s="24">
        <v>-8.1587610000000005E-2</v>
      </c>
      <c r="I68" s="24">
        <v>-1.3828933000000002E-2</v>
      </c>
      <c r="J68" s="24">
        <v>-2.9508948E-2</v>
      </c>
      <c r="K68" s="24">
        <v>-9.0264849999999994E-2</v>
      </c>
      <c r="L68" s="24">
        <v>-5.7777824000000005E-2</v>
      </c>
      <c r="M68" s="24">
        <v>-7.5399580000000008E-2</v>
      </c>
      <c r="N68" s="24">
        <v>-7.9623280000000005E-2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43959</v>
      </c>
      <c r="B69" s="24">
        <v>8.2133769999999995E-2</v>
      </c>
      <c r="C69" s="24">
        <v>1.7438412E-2</v>
      </c>
      <c r="D69" s="24">
        <v>6.1365603999999997E-2</v>
      </c>
      <c r="E69" s="24">
        <v>2.34375E-2</v>
      </c>
      <c r="F69" s="24">
        <v>3.8904309999999998E-2</v>
      </c>
      <c r="G69" s="24">
        <v>2.6736498000000001E-2</v>
      </c>
      <c r="H69" s="24">
        <v>1.4405727E-2</v>
      </c>
      <c r="I69" s="24">
        <v>0.11948622</v>
      </c>
      <c r="J69" s="24">
        <v>5.1186203999999999E-2</v>
      </c>
      <c r="K69" s="24">
        <v>0</v>
      </c>
      <c r="L69" s="24">
        <v>4.7532680000000001E-2</v>
      </c>
      <c r="M69" s="24">
        <v>4.2840959999999997E-2</v>
      </c>
      <c r="N69" s="24">
        <v>-3.3023237999999996E-2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43992</v>
      </c>
      <c r="B70" s="24">
        <v>0.10597837</v>
      </c>
      <c r="C70" s="24">
        <v>0.20035457999999998</v>
      </c>
      <c r="D70" s="24">
        <v>9.039092E-2</v>
      </c>
      <c r="E70" s="24">
        <v>0.19211196999999999</v>
      </c>
      <c r="F70" s="24">
        <v>9.992361000000001E-2</v>
      </c>
      <c r="G70" s="24">
        <v>6.8724869999999993E-2</v>
      </c>
      <c r="H70" s="24">
        <v>8.4418179999999995E-2</v>
      </c>
      <c r="I70" s="24">
        <v>9.4992400000000005E-2</v>
      </c>
      <c r="J70" s="24">
        <v>9.0821979999999997E-2</v>
      </c>
      <c r="K70" s="24">
        <v>0.16441165999999999</v>
      </c>
      <c r="L70" s="24">
        <v>0.12919974000000001</v>
      </c>
      <c r="M70" s="24">
        <v>0.1517117</v>
      </c>
      <c r="N70" s="24">
        <v>0.19480515000000001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44022</v>
      </c>
      <c r="B71" s="24">
        <v>3.7724972000000002E-2</v>
      </c>
      <c r="C71" s="24">
        <v>-1.9152582000000001E-2</v>
      </c>
      <c r="D71" s="24">
        <v>-1.2564659000000001E-2</v>
      </c>
      <c r="E71" s="24">
        <v>8.6313485999999998E-3</v>
      </c>
      <c r="F71" s="24">
        <v>-2.3149489999999998E-2</v>
      </c>
      <c r="G71" s="24">
        <v>2.6471496000000001E-2</v>
      </c>
      <c r="H71" s="24">
        <v>-3.8018524999999997E-2</v>
      </c>
      <c r="I71" s="24">
        <v>7.3933363000000002E-2</v>
      </c>
      <c r="J71" s="24">
        <v>-1.2993813E-5</v>
      </c>
      <c r="K71" s="24">
        <v>-1.0123789000000001E-2</v>
      </c>
      <c r="L71" s="24">
        <v>5.0134299999999993E-2</v>
      </c>
      <c r="M71" s="24">
        <v>1.8837929E-2</v>
      </c>
      <c r="N71" s="24">
        <v>1.1682391E-2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44053</v>
      </c>
      <c r="B72" s="24">
        <v>2.5632143E-2</v>
      </c>
      <c r="C72" s="24">
        <v>4.9923659999999995E-2</v>
      </c>
      <c r="D72" s="24">
        <v>7.4866294999999999E-2</v>
      </c>
      <c r="E72" s="24">
        <v>4.0627240000000002E-2</v>
      </c>
      <c r="F72" s="24">
        <v>8.6036919999999996E-3</v>
      </c>
      <c r="G72" s="24">
        <v>2.0392895000000001E-2</v>
      </c>
      <c r="H72" s="24">
        <v>2.341652E-2</v>
      </c>
      <c r="I72" s="24">
        <v>2.4017810000000001E-2</v>
      </c>
      <c r="J72" s="24">
        <v>5.6613920000000005E-2</v>
      </c>
      <c r="K72" s="24">
        <v>3.0075192000000001E-2</v>
      </c>
      <c r="L72" s="24">
        <v>2.439034E-2</v>
      </c>
      <c r="M72" s="24">
        <v>8.009862999999999E-2</v>
      </c>
      <c r="N72" s="24">
        <v>2.8950572000000001E-2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44084</v>
      </c>
      <c r="B73" s="24">
        <v>-9.0104940000000008E-3</v>
      </c>
      <c r="C73" s="24">
        <v>-3.2023309999999999E-2</v>
      </c>
      <c r="D73" s="24">
        <v>-1.2082458000000001E-2</v>
      </c>
      <c r="E73" s="24">
        <v>3.1164407999999998E-2</v>
      </c>
      <c r="F73" s="24">
        <v>2.7190328E-2</v>
      </c>
      <c r="G73" s="24">
        <v>1.803565E-2</v>
      </c>
      <c r="H73" s="24">
        <v>-3.4883738000000004E-2</v>
      </c>
      <c r="I73" s="24">
        <v>7.5099470000000003E-3</v>
      </c>
      <c r="J73" s="24">
        <v>-5.0063729999999997E-3</v>
      </c>
      <c r="K73" s="24">
        <v>1.2165426999999999E-2</v>
      </c>
      <c r="L73" s="24">
        <v>-2.8693676E-4</v>
      </c>
      <c r="M73" s="24">
        <v>7.9863069999999998E-3</v>
      </c>
      <c r="N73" s="24">
        <v>-4.2985677999999999E-3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44113</v>
      </c>
      <c r="B74" s="24">
        <v>5.2839159999999996E-2</v>
      </c>
      <c r="C74" s="24">
        <v>4.3609023000000004E-2</v>
      </c>
      <c r="D74" s="24">
        <v>2.8777002999999999E-2</v>
      </c>
      <c r="E74" s="24">
        <v>2.9890537E-3</v>
      </c>
      <c r="F74" s="24">
        <v>2.8719663999999999E-2</v>
      </c>
      <c r="G74" s="24">
        <v>1.1252165000000001E-2</v>
      </c>
      <c r="H74" s="24">
        <v>2.4873734000000002E-2</v>
      </c>
      <c r="I74" s="24">
        <v>5.0615550000000002E-2</v>
      </c>
      <c r="J74" s="24">
        <v>4.3022632999999998E-2</v>
      </c>
      <c r="K74" s="24">
        <v>-1.0302662999999998E-3</v>
      </c>
      <c r="L74" s="24">
        <v>5.3084730000000004E-2</v>
      </c>
      <c r="M74" s="24">
        <v>3.2824039999999999E-2</v>
      </c>
      <c r="N74" s="24">
        <v>-9.4191429999999996E-3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44145</v>
      </c>
      <c r="B75" s="24">
        <v>4.6113730000000006E-2</v>
      </c>
      <c r="C75" s="24">
        <v>5.8117270000000006E-2</v>
      </c>
      <c r="D75" s="24">
        <v>1.1188745E-2</v>
      </c>
      <c r="E75" s="24">
        <v>-1.5562952000000001E-2</v>
      </c>
      <c r="F75" s="24">
        <v>6.104946E-2</v>
      </c>
      <c r="G75" s="24">
        <v>-5.4451823000000003E-3</v>
      </c>
      <c r="H75" s="24">
        <v>6.6742419999999997E-2</v>
      </c>
      <c r="I75" s="24">
        <v>-8.015036599999999E-3</v>
      </c>
      <c r="J75" s="24">
        <v>2.0729422999999997E-2</v>
      </c>
      <c r="K75" s="24">
        <v>9.0409039999999996E-2</v>
      </c>
      <c r="L75" s="24">
        <v>2.3978233000000002E-2</v>
      </c>
      <c r="M75" s="24">
        <v>4.1643860000000005E-2</v>
      </c>
      <c r="N75" s="24">
        <v>6.7353487000000004E-2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44175</v>
      </c>
      <c r="B76" s="24">
        <v>5.1246166000000003E-2</v>
      </c>
      <c r="C76" s="24">
        <v>8.3068489999999995E-2</v>
      </c>
      <c r="D76" s="24">
        <v>9.2323669999999997E-2</v>
      </c>
      <c r="E76" s="24">
        <v>5.0454140000000001E-2</v>
      </c>
      <c r="F76" s="24">
        <v>4.3112993000000002E-2</v>
      </c>
      <c r="G76" s="24">
        <v>3.5229802000000005E-2</v>
      </c>
      <c r="H76" s="24">
        <v>5.5812359999999998E-2</v>
      </c>
      <c r="I76" s="24">
        <v>6.7391039999999999E-2</v>
      </c>
      <c r="J76" s="24">
        <v>3.5843371999999998E-2</v>
      </c>
      <c r="K76" s="24">
        <v>4.9180270000000005E-2</v>
      </c>
      <c r="L76" s="24">
        <v>7.2378873999999996E-2</v>
      </c>
      <c r="M76" s="24">
        <v>4.2609095999999999E-2</v>
      </c>
      <c r="N76" s="24">
        <v>8.5374829999999999E-2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44204</v>
      </c>
      <c r="B77" s="24">
        <v>4.9918174999999995E-2</v>
      </c>
      <c r="C77" s="24">
        <v>4.9484849999999997E-2</v>
      </c>
      <c r="D77" s="24">
        <v>2.9182196000000001E-2</v>
      </c>
      <c r="E77" s="24">
        <v>6.7395209999999997E-2</v>
      </c>
      <c r="F77" s="24">
        <v>5.7005286000000002E-2</v>
      </c>
      <c r="G77" s="24">
        <v>4.5843959999999996E-2</v>
      </c>
      <c r="H77" s="24">
        <v>6.4584612999999999E-2</v>
      </c>
      <c r="I77" s="24">
        <v>5.6491255999999997E-2</v>
      </c>
      <c r="J77" s="24">
        <v>4.4069649999999995E-2</v>
      </c>
      <c r="K77" s="24">
        <v>4.0884256000000001E-2</v>
      </c>
      <c r="L77" s="24">
        <v>6.9988010000000003E-2</v>
      </c>
      <c r="M77" s="24">
        <v>6.5686344999999993E-2</v>
      </c>
      <c r="N77" s="24">
        <v>4.7569156000000001E-2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44237</v>
      </c>
      <c r="B78" s="24">
        <v>-5.7815909999999998E-2</v>
      </c>
      <c r="C78" s="24">
        <v>3.6246777000000004E-3</v>
      </c>
      <c r="D78" s="24">
        <v>2.0242810000000003E-2</v>
      </c>
      <c r="E78" s="24">
        <v>-1.0935485E-2</v>
      </c>
      <c r="F78" s="24">
        <v>2.0926475999999999E-2</v>
      </c>
      <c r="G78" s="24">
        <v>-7.479131E-3</v>
      </c>
      <c r="H78" s="24">
        <v>-3.8067818000000003E-2</v>
      </c>
      <c r="I78" s="24">
        <v>4.3005346999999999E-2</v>
      </c>
      <c r="J78" s="24">
        <v>2.3133754999999999E-2</v>
      </c>
      <c r="K78" s="24">
        <v>-1.7116308E-2</v>
      </c>
      <c r="L78" s="24">
        <v>3.3038616E-2</v>
      </c>
      <c r="M78" s="24">
        <v>7.3933599999999999E-3</v>
      </c>
      <c r="N78" s="24">
        <v>6.5833330000000002E-3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44265</v>
      </c>
      <c r="B79" s="24">
        <v>-4.7424260000000003E-2</v>
      </c>
      <c r="C79" s="24">
        <v>3.2103062000000001E-3</v>
      </c>
      <c r="D79" s="24">
        <v>2.9914618E-2</v>
      </c>
      <c r="E79" s="24">
        <v>1.5663385000000002E-2</v>
      </c>
      <c r="F79" s="24">
        <v>-3.3361613999999998E-2</v>
      </c>
      <c r="G79" s="24">
        <v>-2.6374102E-2</v>
      </c>
      <c r="H79" s="24">
        <v>5.0548789999999996E-2</v>
      </c>
      <c r="I79" s="24">
        <v>-6.5725030000000004E-2</v>
      </c>
      <c r="J79" s="24">
        <v>-1.2817979E-3</v>
      </c>
      <c r="K79" s="24">
        <v>3.5714269E-2</v>
      </c>
      <c r="L79" s="24">
        <v>4.7297477999999997E-3</v>
      </c>
      <c r="M79" s="24">
        <v>4.9479126999999998E-2</v>
      </c>
      <c r="N79" s="24">
        <v>2.1909714E-2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44295</v>
      </c>
      <c r="B80" s="24">
        <v>3.4992695000000003E-3</v>
      </c>
      <c r="C80" s="24">
        <v>2.0799994000000002E-2</v>
      </c>
      <c r="D80" s="24">
        <v>3.9419055000000001E-2</v>
      </c>
      <c r="E80" s="24">
        <v>4.6265482999999996E-2</v>
      </c>
      <c r="F80" s="24">
        <v>1.8865228000000001E-2</v>
      </c>
      <c r="G80" s="24">
        <v>5.2128433999999994E-2</v>
      </c>
      <c r="H80" s="24">
        <v>1.6460895999999999E-2</v>
      </c>
      <c r="I80" s="24">
        <v>8.5716490000000006E-2</v>
      </c>
      <c r="J80" s="24">
        <v>5.9705377000000004E-2</v>
      </c>
      <c r="K80" s="24">
        <v>2.9353022999999999E-2</v>
      </c>
      <c r="L80" s="24">
        <v>7.5543523000000001E-2</v>
      </c>
      <c r="M80" s="24">
        <v>6.226027E-2</v>
      </c>
      <c r="N80" s="24">
        <v>1.4080048000000001E-2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44326</v>
      </c>
      <c r="B81" s="24">
        <v>2.7421117000000002E-2</v>
      </c>
      <c r="C81" s="24">
        <v>5.1332234999999997E-2</v>
      </c>
      <c r="D81" s="24">
        <v>4.9615144999999999E-2</v>
      </c>
      <c r="E81" s="24">
        <v>1.4739990000000001E-2</v>
      </c>
      <c r="F81" s="24">
        <v>-1.0765016000000001E-2</v>
      </c>
      <c r="G81" s="24">
        <v>1.7957568E-2</v>
      </c>
      <c r="H81" s="24">
        <v>5.6368710000000002E-2</v>
      </c>
      <c r="I81" s="24">
        <v>-3.3668457999999998E-2</v>
      </c>
      <c r="J81" s="24">
        <v>1.5674830000000001E-2</v>
      </c>
      <c r="K81" s="24">
        <v>5.1218269999999996E-2</v>
      </c>
      <c r="L81" s="24">
        <v>2.2926330000000001E-3</v>
      </c>
      <c r="M81" s="24">
        <v>1.8262863000000001E-2</v>
      </c>
      <c r="N81" s="24">
        <v>3.1555653000000003E-2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44357</v>
      </c>
      <c r="B82" s="24">
        <v>-3.3914685E-2</v>
      </c>
      <c r="C82" s="24">
        <v>2.0740270000000002E-2</v>
      </c>
      <c r="D82" s="24">
        <v>3.5128949999999999E-2</v>
      </c>
      <c r="E82" s="24">
        <v>2.8577446999999999E-2</v>
      </c>
      <c r="F82" s="24">
        <v>5.2939653E-3</v>
      </c>
      <c r="G82" s="24">
        <v>7.3642134999999997E-2</v>
      </c>
      <c r="H82" s="24">
        <v>4.9051045999999997E-3</v>
      </c>
      <c r="I82" s="24">
        <v>4.4787526000000001E-2</v>
      </c>
      <c r="J82" s="24">
        <v>1.3566494E-2</v>
      </c>
      <c r="K82" s="24">
        <v>3.5936952000000001E-2</v>
      </c>
      <c r="L82" s="24">
        <v>3.9904475000000002E-2</v>
      </c>
      <c r="M82" s="24">
        <v>3.0329465999999999E-2</v>
      </c>
      <c r="N82" s="24">
        <v>4.0988563999999998E-2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44386</v>
      </c>
      <c r="B83" s="24">
        <v>-1.2891293000000001E-3</v>
      </c>
      <c r="C83" s="24">
        <v>-3.2950759999999996E-2</v>
      </c>
      <c r="D83" s="24">
        <v>-1.6107738E-2</v>
      </c>
      <c r="E83" s="24">
        <v>-1.6615032999999998E-2</v>
      </c>
      <c r="F83" s="24">
        <v>-5.0886869999999997E-3</v>
      </c>
      <c r="G83" s="24">
        <v>-6.4516070000000007E-3</v>
      </c>
      <c r="H83" s="24">
        <v>-1.0441601E-2</v>
      </c>
      <c r="I83" s="24">
        <v>6.1924457999999995E-2</v>
      </c>
      <c r="J83" s="24">
        <v>3.1524776999999997E-2</v>
      </c>
      <c r="K83" s="24">
        <v>-2.5449931999999998E-2</v>
      </c>
      <c r="L83" s="24">
        <v>-2.9991983999999999E-2</v>
      </c>
      <c r="M83" s="24">
        <v>-2.091962E-2</v>
      </c>
      <c r="N83" s="24">
        <v>-4.1939315999999997E-2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44418</v>
      </c>
      <c r="B84" s="24">
        <v>-8.2284209999999997E-3</v>
      </c>
      <c r="C84" s="24">
        <v>9.9539756999999993E-3</v>
      </c>
      <c r="D84" s="24">
        <v>9.6617939999999996E-3</v>
      </c>
      <c r="E84" s="24">
        <v>-5.4409504000000001E-3</v>
      </c>
      <c r="F84" s="24">
        <v>-8.9142319999999994E-3</v>
      </c>
      <c r="G84" s="24">
        <v>1.9886373999999998E-2</v>
      </c>
      <c r="H84" s="24">
        <v>6.3310860000000005E-3</v>
      </c>
      <c r="I84" s="24">
        <v>1.6149043999999998E-2</v>
      </c>
      <c r="J84" s="24">
        <v>1.6440152999999999E-2</v>
      </c>
      <c r="K84" s="24">
        <v>2.8752327000000001E-2</v>
      </c>
      <c r="L84" s="24">
        <v>5.4160595000000006E-2</v>
      </c>
      <c r="M84" s="24">
        <v>1.9462584999999998E-2</v>
      </c>
      <c r="N84" s="24">
        <v>2.9493927999999999E-2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44449</v>
      </c>
      <c r="B85" s="24">
        <v>3.0909300000000001E-2</v>
      </c>
      <c r="C85" s="24">
        <v>-2.1986365000000001E-2</v>
      </c>
      <c r="D85" s="24">
        <v>-1.0100960999999999E-2</v>
      </c>
      <c r="E85" s="24">
        <v>-7.1983932999999996E-3</v>
      </c>
      <c r="F85" s="24">
        <v>7.3577045999999993E-2</v>
      </c>
      <c r="G85" s="24">
        <v>-1.7309964000000001E-2</v>
      </c>
      <c r="H85" s="24">
        <v>-1.9173144999999999E-2</v>
      </c>
      <c r="I85" s="24">
        <v>2.6578306999999999E-2</v>
      </c>
      <c r="J85" s="24">
        <v>6.2347649999999998E-3</v>
      </c>
      <c r="K85" s="24">
        <v>-9.4871520000000004E-3</v>
      </c>
      <c r="L85" s="24">
        <v>3.9763807999999998E-2</v>
      </c>
      <c r="M85" s="24">
        <v>-1.1620641000000001E-2</v>
      </c>
      <c r="N85" s="24">
        <v>-2.5934875000000003E-2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44477</v>
      </c>
      <c r="B86" s="24">
        <v>-2.4459539999999998E-2</v>
      </c>
      <c r="C86" s="24">
        <v>-1.279068E-2</v>
      </c>
      <c r="D86" s="24">
        <v>1.2620807000000001E-2</v>
      </c>
      <c r="E86" s="24">
        <v>-5.0754070000000005E-2</v>
      </c>
      <c r="F86" s="24">
        <v>-6.7985114999999999E-2</v>
      </c>
      <c r="G86" s="24">
        <v>-3.5634696E-2</v>
      </c>
      <c r="H86" s="24">
        <v>1.5271902000000002E-3</v>
      </c>
      <c r="I86" s="24">
        <v>-3.9887487999999999E-2</v>
      </c>
      <c r="J86" s="24">
        <v>-1.3836563E-2</v>
      </c>
      <c r="K86" s="24">
        <v>-2.8475344E-2</v>
      </c>
      <c r="L86" s="24">
        <v>-6.5884112999999994E-2</v>
      </c>
      <c r="M86" s="24">
        <v>-5.6686997000000003E-2</v>
      </c>
      <c r="N86" s="24">
        <v>0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44510</v>
      </c>
      <c r="B87" s="24">
        <v>1.0837912999999999E-2</v>
      </c>
      <c r="C87" s="24">
        <v>1.9238353E-2</v>
      </c>
      <c r="D87" s="24">
        <v>4.6937110000000004E-2</v>
      </c>
      <c r="E87" s="24">
        <v>3.8496851999999998E-2</v>
      </c>
      <c r="F87" s="24">
        <v>1.208365E-2</v>
      </c>
      <c r="G87" s="24">
        <v>6.3195467000000005E-2</v>
      </c>
      <c r="H87" s="24">
        <v>1.7383337000000002E-2</v>
      </c>
      <c r="I87" s="24">
        <v>7.8497049999999999E-2</v>
      </c>
      <c r="J87" s="24">
        <v>5.8831572999999998E-2</v>
      </c>
      <c r="K87" s="24">
        <v>6.0751439999999997E-2</v>
      </c>
      <c r="L87" s="24">
        <v>5.9586525000000001E-2</v>
      </c>
      <c r="M87" s="24">
        <v>6.721568E-2</v>
      </c>
      <c r="N87" s="24">
        <v>4.4891715000000006E-2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44540</v>
      </c>
      <c r="B88" s="24">
        <v>-5.6409063000000002E-2</v>
      </c>
      <c r="C88" s="24">
        <v>-2.7734934999999999E-2</v>
      </c>
      <c r="D88" s="24">
        <v>-3.6727488000000003E-2</v>
      </c>
      <c r="E88" s="24">
        <v>-3.8540779999999997E-2</v>
      </c>
      <c r="F88" s="24">
        <v>-3.6400556999999999E-3</v>
      </c>
      <c r="G88" s="24">
        <v>1.1848330000000001E-2</v>
      </c>
      <c r="H88" s="24">
        <v>-8.992791E-3</v>
      </c>
      <c r="I88" s="24">
        <v>2.1822332999999999E-2</v>
      </c>
      <c r="J88" s="24">
        <v>1.5357374999999999E-2</v>
      </c>
      <c r="K88" s="24">
        <v>-2.0095526999999998E-2</v>
      </c>
      <c r="L88" s="24">
        <v>-5.6809424999999997E-2</v>
      </c>
      <c r="M88" s="24">
        <v>-3.4202278000000003E-2</v>
      </c>
      <c r="N88" s="24">
        <v>-3.4666598E-2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44571</v>
      </c>
      <c r="B89" s="24">
        <v>-9.7372529999999995E-3</v>
      </c>
      <c r="C89" s="24">
        <v>3.1832456999999997E-3</v>
      </c>
      <c r="D89" s="24">
        <v>1.6672968999999999E-2</v>
      </c>
      <c r="E89" s="24">
        <v>1.2664199000000001E-2</v>
      </c>
      <c r="F89" s="24">
        <v>-1.5152812E-2</v>
      </c>
      <c r="G89" s="24">
        <v>-8.9774130000000001E-3</v>
      </c>
      <c r="H89" s="24">
        <v>5.3015350000000003E-2</v>
      </c>
      <c r="I89" s="24">
        <v>-4.3741044999999999E-2</v>
      </c>
      <c r="J89" s="24">
        <v>-7.5912476E-3</v>
      </c>
      <c r="K89" s="24">
        <v>2.6346563999999999E-2</v>
      </c>
      <c r="L89" s="24">
        <v>-1.6225457000000002E-2</v>
      </c>
      <c r="M89" s="24">
        <v>-3.7494302000000003E-3</v>
      </c>
      <c r="N89" s="24">
        <v>2.9493092999999998E-2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44602</v>
      </c>
      <c r="B90" s="24">
        <v>-4.7075269999999995E-2</v>
      </c>
      <c r="C90" s="24">
        <v>-2.1694659999999998E-2</v>
      </c>
      <c r="D90" s="24">
        <v>1.9648909999999999E-2</v>
      </c>
      <c r="E90" s="24">
        <v>-1.7068027999999999E-2</v>
      </c>
      <c r="F90" s="24">
        <v>-3.0521690000000001E-2</v>
      </c>
      <c r="G90" s="24">
        <v>-3.5250067999999996E-2</v>
      </c>
      <c r="H90" s="24">
        <v>2.1841764E-2</v>
      </c>
      <c r="I90" s="24">
        <v>-5.7036103999999997E-2</v>
      </c>
      <c r="J90" s="24">
        <v>-3.4779072000000001E-2</v>
      </c>
      <c r="K90" s="24">
        <v>-1.1036992000000001E-2</v>
      </c>
      <c r="L90" s="24">
        <v>-3.8485407999999999E-2</v>
      </c>
      <c r="M90" s="24">
        <v>-6.2150660000000003E-2</v>
      </c>
      <c r="N90" s="24">
        <v>-4.2334199999999999E-3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44630</v>
      </c>
      <c r="B91" s="24">
        <v>1.3327599E-4</v>
      </c>
      <c r="C91" s="24">
        <v>3.0962348000000001E-2</v>
      </c>
      <c r="D91" s="24">
        <v>-5.1386949999999995E-3</v>
      </c>
      <c r="E91" s="24">
        <v>-0.16868216</v>
      </c>
      <c r="F91" s="24">
        <v>-7.7233314999999997E-2</v>
      </c>
      <c r="G91" s="24">
        <v>-6.6340090000000004E-2</v>
      </c>
      <c r="H91" s="24">
        <v>-8.4055480000000002E-2</v>
      </c>
      <c r="I91" s="24">
        <v>-7.5774910000000001E-2</v>
      </c>
      <c r="J91" s="24">
        <v>-5.3057965999999998E-2</v>
      </c>
      <c r="K91" s="24">
        <v>-0.14741759999999998</v>
      </c>
      <c r="L91" s="24">
        <v>-0.15687543000000001</v>
      </c>
      <c r="M91" s="24">
        <v>-0.13921332</v>
      </c>
      <c r="N91" s="24">
        <v>-0.17309443999999999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44659</v>
      </c>
      <c r="B92" s="24">
        <v>-1.4595985000000001E-3</v>
      </c>
      <c r="C92" s="24">
        <v>7.7110410000000004E-2</v>
      </c>
      <c r="D92" s="24">
        <v>3.0216932000000002E-2</v>
      </c>
      <c r="E92" s="24">
        <v>3.2823563E-2</v>
      </c>
      <c r="F92" s="24">
        <v>-1.1764765E-3</v>
      </c>
      <c r="G92" s="24">
        <v>8.9637040000000001E-2</v>
      </c>
      <c r="H92" s="24">
        <v>7.852423E-2</v>
      </c>
      <c r="I92" s="24">
        <v>5.5279849999999998E-2</v>
      </c>
      <c r="J92" s="24">
        <v>5.5150270000000001E-2</v>
      </c>
      <c r="K92" s="24">
        <v>3.9878249999999997E-2</v>
      </c>
      <c r="L92" s="24">
        <v>4.5941830000000003E-2</v>
      </c>
      <c r="M92" s="24">
        <v>8.6956500000000006E-2</v>
      </c>
      <c r="N92" s="24">
        <v>7.0510507E-2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44691</v>
      </c>
      <c r="B93" s="24">
        <v>-0.15165359</v>
      </c>
      <c r="C93" s="24">
        <v>-0.12170315000000001</v>
      </c>
      <c r="D93" s="24">
        <v>-0.11857604999999999</v>
      </c>
      <c r="E93" s="24">
        <v>-8.7757349999999998E-2</v>
      </c>
      <c r="F93" s="24">
        <v>-7.1681022999999996E-2</v>
      </c>
      <c r="G93" s="24">
        <v>-0.12479936999999999</v>
      </c>
      <c r="H93" s="24">
        <v>-9.5029240000000001E-2</v>
      </c>
      <c r="I93" s="24">
        <v>-0.13859367</v>
      </c>
      <c r="J93" s="24">
        <v>-0.10831827000000001</v>
      </c>
      <c r="K93" s="24">
        <v>-7.0257607E-2</v>
      </c>
      <c r="L93" s="24">
        <v>-0.11810641999999999</v>
      </c>
      <c r="M93" s="24">
        <v>-0.15133757</v>
      </c>
      <c r="N93" s="24">
        <v>-8.8507710000000003E-2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44722</v>
      </c>
      <c r="B94" s="24">
        <v>-4.4135449999999996E-3</v>
      </c>
      <c r="C94" s="24">
        <v>-8.8790655E-3</v>
      </c>
      <c r="D94" s="24">
        <v>3.8113475000000001E-2</v>
      </c>
      <c r="E94" s="24">
        <v>1.3370991E-2</v>
      </c>
      <c r="F94" s="24">
        <v>2.828002E-3</v>
      </c>
      <c r="G94" s="24">
        <v>-3.7845789999999997E-2</v>
      </c>
      <c r="H94" s="24">
        <v>1.6056299E-2</v>
      </c>
      <c r="I94" s="24">
        <v>-3.9632976E-2</v>
      </c>
      <c r="J94" s="24">
        <v>-2.3277998000000001E-2</v>
      </c>
      <c r="K94" s="24">
        <v>1.4585494999999999E-2</v>
      </c>
      <c r="L94" s="24">
        <v>2.3743748999999998E-2</v>
      </c>
      <c r="M94" s="24">
        <v>3.0181049999999997E-2</v>
      </c>
      <c r="N94" s="24">
        <v>-2.0122646999999997E-2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44750</v>
      </c>
      <c r="B95" s="24">
        <v>-4.5744180000000002E-3</v>
      </c>
      <c r="C95" s="24">
        <v>-4.7363700000000002E-2</v>
      </c>
      <c r="D95" s="24">
        <v>-6.8451524E-2</v>
      </c>
      <c r="E95" s="24">
        <v>-8.7797050000000001E-2</v>
      </c>
      <c r="F95" s="24">
        <v>-1.9529103999999999E-2</v>
      </c>
      <c r="G95" s="24">
        <v>6.564617E-3</v>
      </c>
      <c r="H95" s="24">
        <v>-4.5012949999999996E-2</v>
      </c>
      <c r="I95" s="24">
        <v>2.4456978000000001E-2</v>
      </c>
      <c r="J95" s="24">
        <v>1.3986826E-3</v>
      </c>
      <c r="K95" s="24">
        <v>-5.6230010000000004E-2</v>
      </c>
      <c r="L95" s="24">
        <v>-5.1752450000000005E-2</v>
      </c>
      <c r="M95" s="24">
        <v>-6.7766069999999998E-2</v>
      </c>
      <c r="N95" s="24">
        <v>-6.1757684E-2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44783</v>
      </c>
      <c r="B96" s="24">
        <v>9.8724729999999997E-2</v>
      </c>
      <c r="C96" s="24">
        <v>7.9737425000000001E-2</v>
      </c>
      <c r="D96" s="24">
        <v>5.7481410000000004E-2</v>
      </c>
      <c r="E96" s="24">
        <v>6.0927152999999998E-2</v>
      </c>
      <c r="F96" s="24">
        <v>4.8213005000000003E-2</v>
      </c>
      <c r="G96" s="24">
        <v>5.6280136000000001E-2</v>
      </c>
      <c r="H96" s="24">
        <v>6.035948E-2</v>
      </c>
      <c r="I96" s="24">
        <v>0.10353815000000001</v>
      </c>
      <c r="J96" s="24">
        <v>8.0582379999999995E-2</v>
      </c>
      <c r="K96" s="24">
        <v>9.7156409999999999E-2</v>
      </c>
      <c r="L96" s="24">
        <v>9.9624629999999992E-2</v>
      </c>
      <c r="M96" s="24">
        <v>9.4564079999999995E-2</v>
      </c>
      <c r="N96" s="24">
        <v>5.5274249999999997E-2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44813</v>
      </c>
      <c r="B97" s="24">
        <v>-4.1825112999999997E-2</v>
      </c>
      <c r="C97" s="24">
        <v>-2.9105126999999998E-2</v>
      </c>
      <c r="D97" s="24">
        <v>-2.241522E-2</v>
      </c>
      <c r="E97" s="24">
        <v>-6.6999616999999997E-2</v>
      </c>
      <c r="F97" s="24">
        <v>-5.753863E-2</v>
      </c>
      <c r="G97" s="24">
        <v>-4.7107276999999996E-2</v>
      </c>
      <c r="H97" s="24">
        <v>-6.2360105999999998E-2</v>
      </c>
      <c r="I97" s="24">
        <v>-5.7803810000000004E-2</v>
      </c>
      <c r="J97" s="24">
        <v>-3.1881689999999997E-2</v>
      </c>
      <c r="K97" s="24">
        <v>-6.6954669999999994E-2</v>
      </c>
      <c r="L97" s="24">
        <v>-8.2458080000000003E-2</v>
      </c>
      <c r="M97" s="24">
        <v>-9.4916230000000004E-2</v>
      </c>
      <c r="N97" s="24">
        <v>-4.7581015000000004E-2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44844</v>
      </c>
      <c r="B98" s="24">
        <v>-0.15517961499999999</v>
      </c>
      <c r="C98" s="24">
        <v>-0.10961973</v>
      </c>
      <c r="D98" s="24">
        <v>-0.11550580999999999</v>
      </c>
      <c r="E98" s="24">
        <v>-0.10660124</v>
      </c>
      <c r="F98" s="24">
        <v>-6.5196870000000004E-2</v>
      </c>
      <c r="G98" s="24">
        <v>-0.10727138</v>
      </c>
      <c r="H98" s="24">
        <v>-9.7544369999999991E-2</v>
      </c>
      <c r="I98" s="24">
        <v>-0.13092356999999999</v>
      </c>
      <c r="J98" s="24">
        <v>-0.11089367</v>
      </c>
      <c r="K98" s="24">
        <v>-9.8875639999999987E-2</v>
      </c>
      <c r="L98" s="24">
        <v>-0.12049227999999999</v>
      </c>
      <c r="M98" s="24">
        <v>-0.12305194</v>
      </c>
      <c r="N98" s="24">
        <v>-8.6481929999999985E-2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44875</v>
      </c>
      <c r="B99" s="24">
        <v>0.11075401</v>
      </c>
      <c r="C99" s="24">
        <v>0.12211061000000001</v>
      </c>
      <c r="D99" s="24">
        <v>0.12410879</v>
      </c>
      <c r="E99" s="24">
        <v>0.20419370000000001</v>
      </c>
      <c r="F99" s="24">
        <v>8.5869790000000001E-2</v>
      </c>
      <c r="G99" s="24">
        <v>0.129838705</v>
      </c>
      <c r="H99" s="24">
        <v>0.12585044000000001</v>
      </c>
      <c r="I99" s="24">
        <v>6.1334014000000006E-2</v>
      </c>
      <c r="J99" s="24">
        <v>9.6300240000000009E-2</v>
      </c>
      <c r="K99" s="24">
        <v>0.18238533000000001</v>
      </c>
      <c r="L99" s="24">
        <v>0.19134403</v>
      </c>
      <c r="M99" s="24">
        <v>0.22325061999999998</v>
      </c>
      <c r="N99" s="24">
        <v>0.22977935999999999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44904</v>
      </c>
      <c r="B100" s="24">
        <v>0.10349441000000001</v>
      </c>
      <c r="C100" s="24">
        <v>3.7617563999999999E-2</v>
      </c>
      <c r="D100" s="24">
        <v>-2.4214506E-2</v>
      </c>
      <c r="E100" s="24">
        <v>4.7263619999999999E-2</v>
      </c>
      <c r="F100" s="24">
        <v>2.5802849999999999E-2</v>
      </c>
      <c r="G100" s="24">
        <v>1.7844439E-2</v>
      </c>
      <c r="H100" s="24">
        <v>5.7737469999999999E-2</v>
      </c>
      <c r="I100" s="24">
        <v>-2.5110244999999999E-3</v>
      </c>
      <c r="J100" s="24">
        <v>-3.5724044000000001E-3</v>
      </c>
      <c r="K100" s="24">
        <v>4.4071912999999997E-2</v>
      </c>
      <c r="L100" s="24">
        <v>6.2551259999999997E-2</v>
      </c>
      <c r="M100" s="24">
        <v>2.6331663000000002E-2</v>
      </c>
      <c r="N100" s="24">
        <v>2.2421479999999997E-2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44936</v>
      </c>
      <c r="B101" s="24">
        <v>1.2955426999999999E-2</v>
      </c>
      <c r="C101" s="24">
        <v>1.2906313000000001E-2</v>
      </c>
      <c r="D101" s="24">
        <v>1.5770316E-2</v>
      </c>
      <c r="E101" s="24">
        <v>6.8450689999999995E-2</v>
      </c>
      <c r="F101" s="24">
        <v>-6.8457126999999993E-3</v>
      </c>
      <c r="G101" s="24">
        <v>3.1790614000000002E-2</v>
      </c>
      <c r="H101" s="24">
        <v>2.6236652999999999E-2</v>
      </c>
      <c r="I101" s="24">
        <v>-3.0304609999999999E-2</v>
      </c>
      <c r="J101" s="24">
        <v>-2.2494196999999997E-3</v>
      </c>
      <c r="K101" s="24">
        <v>5.5517672999999997E-2</v>
      </c>
      <c r="L101" s="24">
        <v>5.4063199999999999E-2</v>
      </c>
      <c r="M101" s="24">
        <v>2.6774526E-2</v>
      </c>
      <c r="N101" s="24">
        <v>7.3282840000000002E-2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44967</v>
      </c>
      <c r="B102" s="24">
        <v>3.1212568E-2</v>
      </c>
      <c r="C102" s="24">
        <v>4.9045085999999995E-2</v>
      </c>
      <c r="D102" s="24">
        <v>4.7211647000000002E-2</v>
      </c>
      <c r="E102" s="24">
        <v>2.9281020000000001E-2</v>
      </c>
      <c r="F102" s="24">
        <v>6.1358689999999994E-2</v>
      </c>
      <c r="G102" s="24">
        <v>4.3045282000000002E-3</v>
      </c>
      <c r="H102" s="24">
        <v>1.6007423E-2</v>
      </c>
      <c r="I102" s="24">
        <v>9.8486309999999994E-2</v>
      </c>
      <c r="J102" s="24">
        <v>4.4702770000000003E-2</v>
      </c>
      <c r="K102" s="24">
        <v>2.9112458000000001E-2</v>
      </c>
      <c r="L102" s="24">
        <v>2.0613549999999998E-2</v>
      </c>
      <c r="M102" s="24">
        <v>9.2432499999999997E-3</v>
      </c>
      <c r="N102" s="24">
        <v>4.6664357000000004E-2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44995</v>
      </c>
      <c r="B103" s="24">
        <v>-7.2176989999999996E-2</v>
      </c>
      <c r="C103" s="24">
        <v>-7.9437312999999996E-2</v>
      </c>
      <c r="D103" s="24">
        <v>-7.3823689999999997E-2</v>
      </c>
      <c r="E103" s="24">
        <v>-1.6924798000000001E-2</v>
      </c>
      <c r="F103" s="24">
        <v>-2.3055731999999999E-2</v>
      </c>
      <c r="G103" s="24">
        <v>-3.3386051999999999E-2</v>
      </c>
      <c r="H103" s="24">
        <v>-2.4714231E-2</v>
      </c>
      <c r="I103" s="24">
        <v>-3.7203968000000004E-2</v>
      </c>
      <c r="J103" s="24">
        <v>-5.4234859999999996E-2</v>
      </c>
      <c r="K103" s="24">
        <v>-8.2394479999999999E-3</v>
      </c>
      <c r="L103" s="24">
        <v>-4.3760540000000001E-2</v>
      </c>
      <c r="M103" s="24">
        <v>-4.0927290000000005E-2</v>
      </c>
      <c r="N103" s="24">
        <v>-2.1136105000000002E-2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45026</v>
      </c>
      <c r="B104" s="24">
        <v>4.056883E-2</v>
      </c>
      <c r="C104" s="24">
        <v>3.5955070999999998E-2</v>
      </c>
      <c r="D104" s="24">
        <v>5.171895E-2</v>
      </c>
      <c r="E104" s="24">
        <v>4.7252774000000004E-2</v>
      </c>
      <c r="F104" s="24">
        <v>1.6026735E-2</v>
      </c>
      <c r="G104" s="24">
        <v>7.7012896999999997E-2</v>
      </c>
      <c r="H104" s="24">
        <v>4.7513484999999994E-2</v>
      </c>
      <c r="I104" s="24">
        <v>0.10331177999999999</v>
      </c>
      <c r="J104" s="24">
        <v>6.5512657000000002E-2</v>
      </c>
      <c r="K104" s="24">
        <v>5.7601690000000004E-2</v>
      </c>
      <c r="L104" s="24">
        <v>5.6323766999999997E-2</v>
      </c>
      <c r="M104" s="24">
        <v>4.2972325999999998E-2</v>
      </c>
      <c r="N104" s="24">
        <v>4.3522360000000003E-2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45056</v>
      </c>
      <c r="B105" s="24">
        <v>2.7130245999999997E-2</v>
      </c>
      <c r="C105" s="24">
        <v>8.2429649999999997E-3</v>
      </c>
      <c r="D105" s="24">
        <v>2.2852182000000002E-2</v>
      </c>
      <c r="E105" s="24">
        <v>2.1685838999999998E-2</v>
      </c>
      <c r="F105" s="24">
        <v>3.5534859000000002E-2</v>
      </c>
      <c r="G105" s="24">
        <v>4.8103930000000003E-2</v>
      </c>
      <c r="H105" s="24">
        <v>1.6026616E-2</v>
      </c>
      <c r="I105" s="24">
        <v>2.2871017E-2</v>
      </c>
      <c r="J105" s="24">
        <v>7.9100130000000005E-3</v>
      </c>
      <c r="K105" s="24">
        <v>2.0162344000000002E-2</v>
      </c>
      <c r="L105" s="24">
        <v>-1.9042492000000001E-3</v>
      </c>
      <c r="M105" s="24">
        <v>3.6623716000000001E-2</v>
      </c>
      <c r="N105" s="24">
        <v>2.1661877999999999E-2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45086</v>
      </c>
      <c r="B106" s="24">
        <v>-5.9200470000000005E-2</v>
      </c>
      <c r="C106" s="24">
        <v>-1.9679665999999998E-2</v>
      </c>
      <c r="D106" s="24">
        <v>-2.5862693999999999E-2</v>
      </c>
      <c r="E106" s="24">
        <v>-2.354467E-2</v>
      </c>
      <c r="F106" s="24">
        <v>4.8865914000000003E-2</v>
      </c>
      <c r="G106" s="24">
        <v>-3.4623384E-2</v>
      </c>
      <c r="H106" s="24">
        <v>-2.4264096999999998E-2</v>
      </c>
      <c r="I106" s="24">
        <v>9.0299489999999996E-2</v>
      </c>
      <c r="J106" s="24">
        <v>4.1298269999999998E-2</v>
      </c>
      <c r="K106" s="24">
        <v>-3.2487629999999997E-2</v>
      </c>
      <c r="L106" s="24">
        <v>1.1324167000000001E-2</v>
      </c>
      <c r="M106" s="24">
        <v>-2.5945306000000001E-2</v>
      </c>
      <c r="N106" s="24">
        <v>-1.9556760999999999E-2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45117</v>
      </c>
      <c r="B107" s="24">
        <v>3.5756825999999998E-2</v>
      </c>
      <c r="C107" s="24">
        <v>-1.6547441E-2</v>
      </c>
      <c r="D107" s="24">
        <v>5.2785873000000009E-3</v>
      </c>
      <c r="E107" s="24">
        <v>4.6830177000000001E-3</v>
      </c>
      <c r="F107" s="24">
        <v>-1.0768294000000001E-2</v>
      </c>
      <c r="G107" s="24">
        <v>-1.0948121999999999E-2</v>
      </c>
      <c r="H107" s="24">
        <v>-2.114427E-2</v>
      </c>
      <c r="I107" s="24">
        <v>3.4875034999999999E-2</v>
      </c>
      <c r="J107" s="24">
        <v>2.6515840999999998E-2</v>
      </c>
      <c r="K107" s="24">
        <v>1.7358302999999999E-2</v>
      </c>
      <c r="L107" s="24">
        <v>2.0627140000000002E-2</v>
      </c>
      <c r="M107" s="24">
        <v>-2.0544112E-2</v>
      </c>
      <c r="N107" s="24">
        <v>4.3981433E-2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45148</v>
      </c>
      <c r="B108" s="24">
        <v>-3.8531780000000002E-2</v>
      </c>
      <c r="C108" s="24">
        <v>2.0463824000000002E-2</v>
      </c>
      <c r="D108" s="24">
        <v>1.7503022999999999E-2</v>
      </c>
      <c r="E108" s="24">
        <v>1.6852020999999998E-2</v>
      </c>
      <c r="F108" s="24">
        <v>-1.2997389E-3</v>
      </c>
      <c r="G108" s="24">
        <v>3.1436800000000001E-2</v>
      </c>
      <c r="H108" s="24">
        <v>3.7166475999999997E-2</v>
      </c>
      <c r="I108" s="24">
        <v>6.0869454999999996E-3</v>
      </c>
      <c r="J108" s="24">
        <v>1.4215588999999999E-2</v>
      </c>
      <c r="K108" s="24">
        <v>2.9858828E-2</v>
      </c>
      <c r="L108" s="24">
        <v>1.6355156999999999E-2</v>
      </c>
      <c r="M108" s="24">
        <v>3.6163329999999998E-3</v>
      </c>
      <c r="N108" s="24">
        <v>1.9005299E-2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45177</v>
      </c>
      <c r="B109" s="24">
        <v>-6.8340063000000006E-2</v>
      </c>
      <c r="C109" s="24">
        <v>-3.2976805999999997E-2</v>
      </c>
      <c r="D109" s="24">
        <v>-2.4942756E-2</v>
      </c>
      <c r="E109" s="24">
        <v>-4.4076146999999996E-2</v>
      </c>
      <c r="F109" s="24">
        <v>2.2774935E-3</v>
      </c>
      <c r="G109" s="24">
        <v>-3.3698199999999998E-2</v>
      </c>
      <c r="H109" s="24">
        <v>-2.7565122000000001E-2</v>
      </c>
      <c r="I109" s="24">
        <v>1.0825038E-2</v>
      </c>
      <c r="J109" s="24">
        <v>-8.746385600000001E-4</v>
      </c>
      <c r="K109" s="24">
        <v>-4.8666897000000001E-2</v>
      </c>
      <c r="L109" s="24">
        <v>-8.8275849999999989E-2</v>
      </c>
      <c r="M109" s="24">
        <v>-5.7076929999999998E-2</v>
      </c>
      <c r="N109" s="24">
        <v>-3.2639027000000001E-2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45209</v>
      </c>
      <c r="B110" s="24">
        <v>2.3771882000000001E-2</v>
      </c>
      <c r="C110" s="24">
        <v>1.3824701E-3</v>
      </c>
      <c r="D110" s="24">
        <v>-1.7641842000000001E-2</v>
      </c>
      <c r="E110" s="24">
        <v>-2.9140592E-2</v>
      </c>
      <c r="F110" s="24">
        <v>-2.0775854999999999E-2</v>
      </c>
      <c r="G110" s="24">
        <v>-1.8436312999999999E-2</v>
      </c>
      <c r="H110" s="24">
        <v>7.8740119999999997E-3</v>
      </c>
      <c r="I110" s="24">
        <v>-9.279728000000001E-3</v>
      </c>
      <c r="J110" s="24">
        <v>-2.1162630000000002E-2</v>
      </c>
      <c r="K110" s="24">
        <v>-3.1292557999999998E-2</v>
      </c>
      <c r="L110" s="24">
        <v>-3.0635417000000002E-2</v>
      </c>
      <c r="M110" s="24">
        <v>3.2406092000000004E-2</v>
      </c>
      <c r="N110" s="24">
        <v>-2.3457645999999999E-2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45240</v>
      </c>
      <c r="B111" s="24">
        <v>-3.3613443E-2</v>
      </c>
      <c r="C111" s="24">
        <v>-1.6106783999999999E-2</v>
      </c>
      <c r="D111" s="24">
        <v>-3.5917163000000001E-3</v>
      </c>
      <c r="E111" s="24">
        <v>7.5983999999999991E-4</v>
      </c>
      <c r="F111" s="24">
        <v>2.3205280000000001E-3</v>
      </c>
      <c r="G111" s="24">
        <v>-2.5345086999999999E-2</v>
      </c>
      <c r="H111" s="24">
        <v>-2.9999971E-2</v>
      </c>
      <c r="I111" s="24">
        <v>2.6587843999999999E-2</v>
      </c>
      <c r="J111" s="24">
        <v>1.3968705999999999E-2</v>
      </c>
      <c r="K111" s="24">
        <v>4.2135714999999999E-3</v>
      </c>
      <c r="L111" s="24">
        <v>4.3308616000000001E-2</v>
      </c>
      <c r="M111" s="24">
        <v>-2.4578093999999998E-2</v>
      </c>
      <c r="N111" s="24">
        <v>2.5008202E-2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45268</v>
      </c>
      <c r="B112" s="24">
        <v>7.1853520000000004E-2</v>
      </c>
      <c r="C112" s="24">
        <v>6.7352652999999998E-2</v>
      </c>
      <c r="D112" s="24">
        <v>5.3169129999999995E-2</v>
      </c>
      <c r="E112" s="24">
        <v>0.10098707</v>
      </c>
      <c r="F112" s="24">
        <v>3.8200735999999999E-2</v>
      </c>
      <c r="G112" s="24">
        <v>6.686794800000001E-2</v>
      </c>
      <c r="H112" s="24">
        <v>4.9613475999999997E-2</v>
      </c>
      <c r="I112" s="24">
        <v>3.6417484E-2</v>
      </c>
      <c r="J112" s="24">
        <v>4.4461130000000001E-2</v>
      </c>
      <c r="K112" s="24">
        <v>7.1608424000000004E-2</v>
      </c>
      <c r="L112" s="24">
        <v>6.9558739999999994E-2</v>
      </c>
      <c r="M112" s="24">
        <v>0.13721918999999999</v>
      </c>
      <c r="N112" s="24">
        <v>7.1268079999999998E-2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45301</v>
      </c>
      <c r="B113" s="24">
        <v>4.0860057000000005E-2</v>
      </c>
      <c r="C113" s="24">
        <v>5.9066056999999998E-2</v>
      </c>
      <c r="D113" s="24">
        <v>5.3233385000000001E-2</v>
      </c>
      <c r="E113" s="24">
        <v>1.0397673000000001E-2</v>
      </c>
      <c r="F113" s="24">
        <v>5.3508639999999996E-2</v>
      </c>
      <c r="G113" s="24">
        <v>4.3307900000000003E-2</v>
      </c>
      <c r="H113" s="24">
        <v>3.0557512999999998E-2</v>
      </c>
      <c r="I113" s="24">
        <v>4.4255614000000006E-2</v>
      </c>
      <c r="J113" s="24">
        <v>3.9755343999999998E-2</v>
      </c>
      <c r="K113" s="24">
        <v>6.2502619999999995E-3</v>
      </c>
      <c r="L113" s="24">
        <v>1.7408729000000001E-2</v>
      </c>
      <c r="M113" s="24">
        <v>3.2900572000000003E-2</v>
      </c>
      <c r="N113" s="24">
        <v>2.778864E-2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45331</v>
      </c>
      <c r="B114" s="24">
        <v>-2.5335013999999999E-2</v>
      </c>
      <c r="C114" s="24">
        <v>-1.2668967E-3</v>
      </c>
      <c r="D114" s="24">
        <v>-2.4704932999999999E-3</v>
      </c>
      <c r="E114" s="24">
        <v>-1.023829E-3</v>
      </c>
      <c r="F114" s="24">
        <v>2.1619081000000002E-2</v>
      </c>
      <c r="G114" s="24">
        <v>-3.2540619999999999E-2</v>
      </c>
      <c r="H114" s="24">
        <v>-1.7367423E-2</v>
      </c>
      <c r="I114" s="24">
        <v>6.9889783999999996E-2</v>
      </c>
      <c r="J114" s="24">
        <v>5.1703929999999995E-2</v>
      </c>
      <c r="K114" s="24">
        <v>1.4360309E-2</v>
      </c>
      <c r="L114" s="24">
        <v>9.3259450000000008E-2</v>
      </c>
      <c r="M114" s="24">
        <v>-3.1779407999999996E-3</v>
      </c>
      <c r="N114" s="24">
        <v>2.0667315000000002E-3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45359</v>
      </c>
      <c r="B115" s="24">
        <v>-7.5187683000000009E-3</v>
      </c>
      <c r="C115" s="24">
        <v>4.7357319999999994E-2</v>
      </c>
      <c r="D115" s="24">
        <v>3.4947752999999998E-2</v>
      </c>
      <c r="E115" s="24">
        <v>5.9446573000000003E-2</v>
      </c>
      <c r="F115" s="24">
        <v>6.8287609999999999E-2</v>
      </c>
      <c r="G115" s="24">
        <v>3.9672255999999996E-2</v>
      </c>
      <c r="H115" s="24">
        <v>3.3488392999999998E-2</v>
      </c>
      <c r="I115" s="24">
        <v>4.5075417000000001E-3</v>
      </c>
      <c r="J115" s="24">
        <v>2.0989656000000002E-2</v>
      </c>
      <c r="K115" s="24">
        <v>5.2767158000000002E-2</v>
      </c>
      <c r="L115" s="24">
        <v>3.2094598000000002E-2</v>
      </c>
      <c r="M115" s="24">
        <v>7.9702496999999997E-2</v>
      </c>
      <c r="N115" s="24">
        <v>8.043612E-2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45392</v>
      </c>
      <c r="B116" s="24">
        <v>-2.4458885E-2</v>
      </c>
      <c r="C116" s="24">
        <v>-1.9378245000000002E-2</v>
      </c>
      <c r="D116" s="24">
        <v>9.305954E-3</v>
      </c>
      <c r="E116" s="24">
        <v>-1.2899636999999999E-3</v>
      </c>
      <c r="F116" s="24">
        <v>-2.5288045000000002E-2</v>
      </c>
      <c r="G116" s="24">
        <v>-4.5002103000000002E-2</v>
      </c>
      <c r="H116" s="24">
        <v>2.2802234000000001E-2</v>
      </c>
      <c r="I116" s="24">
        <v>-1.7172098E-4</v>
      </c>
      <c r="J116" s="24">
        <v>7.8331229999999991E-3</v>
      </c>
      <c r="K116" s="24">
        <v>-1.4425456999999999E-2</v>
      </c>
      <c r="L116" s="24">
        <v>1.1047362999999999E-2</v>
      </c>
      <c r="M116" s="24">
        <v>-2.1161436999999998E-2</v>
      </c>
      <c r="N116" s="24">
        <v>0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45422</v>
      </c>
      <c r="B117" s="24">
        <v>4.6594143000000003E-3</v>
      </c>
      <c r="C117" s="24">
        <v>7.8220369999999987E-3</v>
      </c>
      <c r="D117" s="24">
        <v>6.0590506000000001E-3</v>
      </c>
      <c r="E117" s="24">
        <v>3.9070130000000002E-2</v>
      </c>
      <c r="F117" s="24">
        <v>-2.0611107E-2</v>
      </c>
      <c r="G117" s="24">
        <v>4.1042329999999995E-2</v>
      </c>
      <c r="H117" s="24">
        <v>6.0428259999999998E-2</v>
      </c>
      <c r="I117" s="24">
        <v>8.4176063999999995E-3</v>
      </c>
      <c r="J117" s="24">
        <v>1.3070941000000001E-2</v>
      </c>
      <c r="K117" s="24">
        <v>4.1925073E-2</v>
      </c>
      <c r="L117" s="24">
        <v>2.4888753999999999E-2</v>
      </c>
      <c r="M117" s="24">
        <v>2.6897907000000002E-2</v>
      </c>
      <c r="N117" s="24">
        <v>4.145074E-2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45453</v>
      </c>
      <c r="B118" s="24">
        <v>1.5569805999999999E-2</v>
      </c>
      <c r="C118" s="24">
        <v>1.1846423E-2</v>
      </c>
      <c r="D118" s="24">
        <v>-1.7282009000000001E-2</v>
      </c>
      <c r="E118" s="24">
        <v>-1.1808634E-2</v>
      </c>
      <c r="F118" s="24">
        <v>2.0456195E-2</v>
      </c>
      <c r="G118" s="24">
        <v>4.1093110000000002E-2</v>
      </c>
      <c r="H118" s="24">
        <v>-3.5961270000000002E-3</v>
      </c>
      <c r="I118" s="24">
        <v>5.1508784000000002E-2</v>
      </c>
      <c r="J118" s="24">
        <v>2.8453946000000001E-2</v>
      </c>
      <c r="K118" s="24">
        <v>-2.5714338E-2</v>
      </c>
      <c r="L118" s="24">
        <v>2.6850820000000001E-2</v>
      </c>
      <c r="M118" s="24">
        <v>2.2031903000000002E-2</v>
      </c>
      <c r="N118" s="24">
        <v>1.8329619999999998E-3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45483</v>
      </c>
      <c r="B119" s="24">
        <v>8.86786E-3</v>
      </c>
      <c r="C119" s="24">
        <v>3.4714459999999996E-2</v>
      </c>
      <c r="D119" s="24">
        <v>2.5337933999999999E-2</v>
      </c>
      <c r="E119" s="24">
        <v>5.3325889999999996E-3</v>
      </c>
      <c r="F119" s="24">
        <v>3.5660744000000001E-2</v>
      </c>
      <c r="G119" s="24">
        <v>2.1574496999999999E-3</v>
      </c>
      <c r="H119" s="24">
        <v>5.7134629999999994E-3</v>
      </c>
      <c r="I119" s="24">
        <v>8.3768480000000006E-2</v>
      </c>
      <c r="J119" s="24">
        <v>5.1288723999999994E-2</v>
      </c>
      <c r="K119" s="24">
        <v>-3.4031927999999996E-2</v>
      </c>
      <c r="L119" s="24">
        <v>1.6142249000000001E-2</v>
      </c>
      <c r="M119" s="24">
        <v>-1.7959893000000001E-2</v>
      </c>
      <c r="N119" s="24">
        <v>-4.1186809999999995E-4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45513</v>
      </c>
      <c r="B120" s="24">
        <v>5.2127840000000007E-3</v>
      </c>
      <c r="C120" s="24">
        <v>-3.3810615999999995E-2</v>
      </c>
      <c r="D120" s="24">
        <v>-7.6074599999999999E-3</v>
      </c>
      <c r="E120" s="24">
        <v>-3.3333359999999999E-2</v>
      </c>
      <c r="F120" s="24">
        <v>-8.2912389999999989E-2</v>
      </c>
      <c r="G120" s="24">
        <v>1.5921593000000001E-2</v>
      </c>
      <c r="H120" s="24">
        <v>-3.658831E-3</v>
      </c>
      <c r="I120" s="24">
        <v>-0.10448146</v>
      </c>
      <c r="J120" s="24">
        <v>-5.0470350000000004E-2</v>
      </c>
      <c r="K120" s="24">
        <v>-2.6404380000000002E-2</v>
      </c>
      <c r="L120" s="24">
        <v>-8.4959799999999988E-2</v>
      </c>
      <c r="M120" s="24">
        <v>-3.4696339999999999E-2</v>
      </c>
      <c r="N120" s="24">
        <v>-4.7159670000000001E-2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45545</v>
      </c>
      <c r="B121" s="24">
        <v>6.0933469999999997E-2</v>
      </c>
      <c r="C121" s="24">
        <v>4.7756314000000001E-2</v>
      </c>
      <c r="D121" s="24">
        <v>4.546654E-2</v>
      </c>
      <c r="E121" s="24">
        <v>4.8076987000000002E-2</v>
      </c>
      <c r="F121" s="24">
        <v>5.7671666000000003E-2</v>
      </c>
      <c r="G121" s="24">
        <v>2.8933048000000003E-2</v>
      </c>
      <c r="H121" s="24">
        <v>3.1355858E-2</v>
      </c>
      <c r="I121" s="24">
        <v>1.8316627000000002E-2</v>
      </c>
      <c r="J121" s="24">
        <v>2.9644012000000001E-2</v>
      </c>
      <c r="K121" s="24">
        <v>2.8981686E-2</v>
      </c>
      <c r="L121" s="24">
        <v>-2.300322E-3</v>
      </c>
      <c r="M121" s="24">
        <v>3.1322122000000001E-2</v>
      </c>
      <c r="N121" s="24">
        <v>6.0742380000000006E-2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45575</v>
      </c>
      <c r="B122" s="24">
        <v>-6.3136219999999996E-3</v>
      </c>
      <c r="C122" s="24">
        <v>3.4184575000000002E-2</v>
      </c>
      <c r="D122" s="24">
        <v>4.6776295000000002E-2</v>
      </c>
      <c r="E122" s="24">
        <v>4.3024420000000001E-2</v>
      </c>
      <c r="F122" s="24">
        <v>2.5455594000000002E-2</v>
      </c>
      <c r="G122" s="24">
        <v>-3.7102102999999999E-3</v>
      </c>
      <c r="H122" s="24">
        <v>1.9173622000000002E-3</v>
      </c>
      <c r="I122" s="24">
        <v>7.5481296000000003E-2</v>
      </c>
      <c r="J122" s="24">
        <v>5.3043484999999994E-2</v>
      </c>
      <c r="K122" s="24">
        <v>1.2144684999999999E-2</v>
      </c>
      <c r="L122" s="24">
        <v>4.4016004000000004E-2</v>
      </c>
      <c r="M122" s="24">
        <v>2.6885748000000001E-2</v>
      </c>
      <c r="N122" s="50">
        <v>8.2184075999999998E-3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0.11075401</v>
      </c>
      <c r="C126" s="24" cm="1">
        <f t="array" ref="C126">MAX(_xlfn._xlws.FILTER(C1:C122, ISNUMBER(C1:C122)))</f>
        <v>0.20035457999999998</v>
      </c>
      <c r="D126" s="24" cm="1">
        <f t="array" ref="D126">MAX(_xlfn._xlws.FILTER(D1:D122, ISNUMBER(D1:D122)))</f>
        <v>0.14657330500000001</v>
      </c>
      <c r="E126" s="24" cm="1">
        <f t="array" ref="E126">MAX(_xlfn._xlws.FILTER(E1:E122, ISNUMBER(E1:E122)))</f>
        <v>0.20419370000000001</v>
      </c>
      <c r="F126" s="24" cm="1">
        <f t="array" ref="F126">MAX(_xlfn._xlws.FILTER(F1:F122, ISNUMBER(F1:F122)))</f>
        <v>9.992361000000001E-2</v>
      </c>
      <c r="G126" s="24" cm="1">
        <f t="array" ref="G126">MAX(_xlfn._xlws.FILTER(G1:G122, ISNUMBER(G1:G122)))</f>
        <v>0.129838705</v>
      </c>
      <c r="H126" s="24" cm="1">
        <f t="array" ref="H126">MAX(_xlfn._xlws.FILTER(H1:H122, ISNUMBER(H1:H122)))</f>
        <v>0.12585044000000001</v>
      </c>
      <c r="I126" s="24" cm="1">
        <f t="array" ref="I126">MAX(_xlfn._xlws.FILTER(I1:I122, ISNUMBER(I1:I122)))</f>
        <v>0.11948622</v>
      </c>
      <c r="J126" s="24" cm="1">
        <f t="array" ref="J126">MAX(_xlfn._xlws.FILTER(J1:J122, ISNUMBER(J1:J122)))</f>
        <v>9.6300240000000009E-2</v>
      </c>
      <c r="K126" s="24" cm="1">
        <f t="array" ref="K126">MAX(_xlfn._xlws.FILTER(K1:K122, ISNUMBER(K1:K122)))</f>
        <v>0.18238533000000001</v>
      </c>
      <c r="L126" s="24" cm="1">
        <f t="array" ref="L126">MAX(_xlfn._xlws.FILTER(L1:L122, ISNUMBER(L1:L122)))</f>
        <v>0.19134403</v>
      </c>
      <c r="M126" s="24" cm="1">
        <f t="array" ref="M126">MAX(_xlfn._xlws.FILTER(M1:M122, ISNUMBER(M1:M122)))</f>
        <v>0.22325061999999998</v>
      </c>
      <c r="N126" s="24" cm="1">
        <f t="array" ref="N126">MAX(_xlfn._xlws.FILTER(N1:N122, ISNUMBER(N1:N122)))</f>
        <v>0.22977935999999999</v>
      </c>
    </row>
    <row r="127" spans="1:26" x14ac:dyDescent="0.35">
      <c r="A127" t="s">
        <v>85</v>
      </c>
      <c r="B127" s="24" cm="1">
        <f t="array" ref="B127">MIN(_xlfn._xlws.FILTER(B2:B122, ISNUMBER(B2:B122)))</f>
        <v>-0.15517961499999999</v>
      </c>
      <c r="C127" s="24" cm="1">
        <f t="array" ref="C127">MIN(_xlfn._xlws.FILTER(C2:C122, ISNUMBER(C2:C122)))</f>
        <v>-0.16453462999999999</v>
      </c>
      <c r="D127" s="24" cm="1">
        <f t="array" ref="D127">MIN(_xlfn._xlws.FILTER(D2:D122, ISNUMBER(D2:D122)))</f>
        <v>-0.18954681000000001</v>
      </c>
      <c r="E127" s="24" cm="1">
        <f t="array" ref="E127">MIN(_xlfn._xlws.FILTER(E2:E122, ISNUMBER(E2:E122)))</f>
        <v>-0.16868216</v>
      </c>
      <c r="F127" s="24" cm="1">
        <f t="array" ref="F127">MIN(_xlfn._xlws.FILTER(F2:F122, ISNUMBER(F2:F122)))</f>
        <v>-0.13451183</v>
      </c>
      <c r="G127" s="24" cm="1">
        <f t="array" ref="G127">MIN(_xlfn._xlws.FILTER(G2:G122, ISNUMBER(G2:G122)))</f>
        <v>-0.12479936999999999</v>
      </c>
      <c r="H127" s="24" cm="1">
        <f t="array" ref="H127">MIN(_xlfn._xlws.FILTER(H2:H122, ISNUMBER(H2:H122)))</f>
        <v>-0.16916029999999999</v>
      </c>
      <c r="I127" s="24" cm="1">
        <f t="array" ref="I127">MIN(_xlfn._xlws.FILTER(I2:I122, ISNUMBER(I2:I122)))</f>
        <v>-0.13859367</v>
      </c>
      <c r="J127" s="24" cm="1">
        <f t="array" ref="J127">MIN(_xlfn._xlws.FILTER(J2:J122, ISNUMBER(J2:J122)))</f>
        <v>-0.1382215</v>
      </c>
      <c r="K127" s="24" cm="1">
        <f t="array" ref="K127">MIN(_xlfn._xlws.FILTER(K2:K122, ISNUMBER(K2:K122)))</f>
        <v>-0.16893982000000002</v>
      </c>
      <c r="L127" s="24" cm="1">
        <f t="array" ref="L127">MIN(_xlfn._xlws.FILTER(L2:L122, ISNUMBER(L2:L122)))</f>
        <v>-0.15687543000000001</v>
      </c>
      <c r="M127" s="24" cm="1">
        <f t="array" ref="M127">MIN(_xlfn._xlws.FILTER(M2:M122, ISNUMBER(M2:M122)))</f>
        <v>-0.15133757</v>
      </c>
      <c r="N127" s="24" cm="1">
        <f t="array" ref="N127">MIN(_xlfn._xlws.FILTER(N2:N122, ISNUMBER(N2:N122)))</f>
        <v>-0.21820609999999999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13</v>
      </c>
      <c r="D129">
        <f>COUNTIF(D2:D122, "&lt;"&amp;Assumption!$E$50)</f>
        <v>14</v>
      </c>
      <c r="E129">
        <f>COUNTIF(E2:E122, "&lt;"&amp;Assumption!$E$50)</f>
        <v>15</v>
      </c>
      <c r="F129">
        <f>COUNTIF(F2:F122, "&lt;"&amp;Assumption!$E$50)</f>
        <v>12</v>
      </c>
      <c r="G129">
        <f>COUNTIF(G2:G122, "&lt;"&amp;Assumption!$E$50)</f>
        <v>7</v>
      </c>
      <c r="H129">
        <f>COUNTIF(H2:H122, "&lt;"&amp;Assumption!$E$50)</f>
        <v>12</v>
      </c>
      <c r="I129">
        <f>COUNTIF(I2:I122, "&lt;"&amp;Assumption!$E$50)</f>
        <v>14</v>
      </c>
      <c r="J129">
        <f>COUNTIF(J2:J122, "&lt;"&amp;Assumption!$E$50)</f>
        <v>8</v>
      </c>
      <c r="K129">
        <f>COUNTIF(K2:K122, "&lt;"&amp;Assumption!$E$50)</f>
        <v>11</v>
      </c>
      <c r="L129">
        <f>COUNTIF(L2:L122, "&lt;"&amp;Assumption!$E$50)</f>
        <v>17</v>
      </c>
      <c r="M129">
        <f>COUNTIF(M2:M122, "&lt;"&amp;Assumption!$E$50)</f>
        <v>16</v>
      </c>
      <c r="N129">
        <f>COUNTIF(N2:N122, "&lt;"&amp;Assumption!$E$50)</f>
        <v>17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0.11570247933884298</v>
      </c>
      <c r="C132" s="9">
        <f t="shared" si="2"/>
        <v>0.10743801652892562</v>
      </c>
      <c r="D132" s="9">
        <f t="shared" si="2"/>
        <v>0.11570247933884298</v>
      </c>
      <c r="E132" s="9">
        <f t="shared" si="2"/>
        <v>0.12396694214876033</v>
      </c>
      <c r="F132" s="9">
        <f t="shared" si="2"/>
        <v>9.9173553719008267E-2</v>
      </c>
      <c r="G132" s="9">
        <f t="shared" si="2"/>
        <v>5.7851239669421489E-2</v>
      </c>
      <c r="H132" s="9">
        <f t="shared" si="2"/>
        <v>9.9173553719008267E-2</v>
      </c>
      <c r="I132" s="9">
        <f t="shared" si="2"/>
        <v>0.11570247933884298</v>
      </c>
      <c r="J132" s="9">
        <f t="shared" si="2"/>
        <v>6.6115702479338845E-2</v>
      </c>
      <c r="K132" s="9">
        <f t="shared" ref="K132:N132" si="3">K129/K130</f>
        <v>9.0909090909090912E-2</v>
      </c>
      <c r="L132" s="9">
        <f t="shared" si="3"/>
        <v>0.14049586776859505</v>
      </c>
      <c r="M132" s="9">
        <f t="shared" si="3"/>
        <v>0.13223140495867769</v>
      </c>
      <c r="N132" s="9">
        <f t="shared" si="3"/>
        <v>0.14049586776859505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0.36799999999999999</v>
      </c>
      <c r="C134" s="9" cm="1">
        <f t="array" ref="C134">_xlfn.PERCENTRANK.EXC(_xlfn._xlws.FILTER(C2:C122, ISNUMBER(C2:C122)),C122)</f>
        <v>0.73699999999999999</v>
      </c>
      <c r="D134" s="9" cm="1">
        <f t="array" ref="D134">_xlfn.PERCENTRANK.EXC(_xlfn._xlws.FILTER(D2:D122, ISNUMBER(D2:D122)),D122)</f>
        <v>0.86</v>
      </c>
      <c r="E134" s="9" cm="1">
        <f t="array" ref="E134">_xlfn.PERCENTRANK.EXC(_xlfn._xlws.FILTER(E2:E122, ISNUMBER(E2:E122)),E122)</f>
        <v>0.82699999999999996</v>
      </c>
      <c r="F134" s="9" cm="1">
        <f t="array" ref="F134">_xlfn.PERCENTRANK.EXC(_xlfn._xlws.FILTER(F2:F122, ISNUMBER(F2:F122)),F122)</f>
        <v>0.67200000000000004</v>
      </c>
      <c r="G134" s="9" cm="1">
        <f t="array" ref="G134">_xlfn.PERCENTRANK.EXC(_xlfn._xlws.FILTER(G2:G122, ISNUMBER(G2:G122)),G122)</f>
        <v>0.36799999999999999</v>
      </c>
      <c r="H134" s="9" cm="1">
        <f t="array" ref="H134">_xlfn.PERCENTRANK.EXC(_xlfn._xlws.FILTER(H2:H122, ISNUMBER(H2:H122)),H122)</f>
        <v>0.442</v>
      </c>
      <c r="I134" s="9" cm="1">
        <f t="array" ref="I134">_xlfn.PERCENTRANK.EXC(_xlfn._xlws.FILTER(I2:I122, ISNUMBER(I2:I122)),I122)</f>
        <v>0.88500000000000001</v>
      </c>
      <c r="J134" s="9" cm="1">
        <f t="array" ref="J134">_xlfn.PERCENTRANK.EXC(_xlfn._xlws.FILTER(J2:J122, ISNUMBER(J2:J122)),J122)</f>
        <v>0.88500000000000001</v>
      </c>
      <c r="K134" s="9" cm="1">
        <f t="array" ref="K134">_xlfn.PERCENTRANK.EXC(_xlfn._xlws.FILTER(K2:K122, ISNUMBER(K2:K122)),K122)</f>
        <v>0.5</v>
      </c>
      <c r="L134" s="9" cm="1">
        <f t="array" ref="L134">_xlfn.PERCENTRANK.EXC(_xlfn._xlws.FILTER(L2:L122, ISNUMBER(L2:L122)),L122)</f>
        <v>0.76200000000000001</v>
      </c>
      <c r="M134" s="9" cm="1">
        <f t="array" ref="M134">_xlfn.PERCENTRANK.EXC(_xlfn._xlws.FILTER(M2:M122, ISNUMBER(M2:M122)),M122)</f>
        <v>0.63900000000000001</v>
      </c>
      <c r="N134" s="9" cm="1">
        <f t="array" ref="N134">_xlfn.PERCENTRANK.EXC(_xlfn._xlws.FILTER(N2:N122, ISNUMBER(N2:N122)),N122)</f>
        <v>0.48299999999999998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0.8</v>
      </c>
      <c r="C136" s="9" cm="1">
        <f t="array" ref="C136">_xlfn.PERCENTRANK.EXC(_xlfn._xlws.FILTER(C4:C125, ISNUMBER(C4:C125)),C113)</f>
        <v>0.9</v>
      </c>
      <c r="D136" s="9" cm="1">
        <f t="array" ref="D136">_xlfn.PERCENTRANK.EXC(_xlfn._xlws.FILTER(D4:D125, ISNUMBER(D4:D125)),D113)</f>
        <v>0.91600000000000004</v>
      </c>
      <c r="E136" s="9" cm="1">
        <f t="array" ref="E136">_xlfn.PERCENTRANK.EXC(_xlfn._xlws.FILTER(E4:E125, ISNUMBER(E4:E125)),E113)</f>
        <v>0.54100000000000004</v>
      </c>
      <c r="F136" s="9" cm="1">
        <f t="array" ref="F136">_xlfn.PERCENTRANK.EXC(_xlfn._xlws.FILTER(F4:F125, ISNUMBER(F4:F125)),F113)</f>
        <v>0.88300000000000001</v>
      </c>
      <c r="G136" s="9" cm="1">
        <f t="array" ref="G136">_xlfn.PERCENTRANK.EXC(_xlfn._xlws.FILTER(G4:G125, ISNUMBER(G4:G125)),G113)</f>
        <v>0.875</v>
      </c>
      <c r="H136" s="9" cm="1">
        <f t="array" ref="H136">_xlfn.PERCENTRANK.EXC(_xlfn._xlws.FILTER(H4:H125, ISNUMBER(H4:H125)),H113)</f>
        <v>0.74099999999999999</v>
      </c>
      <c r="I136" s="9" cm="1">
        <f t="array" ref="I136">_xlfn.PERCENTRANK.EXC(_xlfn._xlws.FILTER(I4:I125, ISNUMBER(I4:I125)),I113)</f>
        <v>0.7</v>
      </c>
      <c r="J136" s="9" cm="1">
        <f t="array" ref="J136">_xlfn.PERCENTRANK.EXC(_xlfn._xlws.FILTER(J4:J125, ISNUMBER(J4:J125)),J113)</f>
        <v>0.79100000000000004</v>
      </c>
      <c r="K136" s="9" cm="1">
        <f t="array" ref="K136">_xlfn.PERCENTRANK.EXC(_xlfn._xlws.FILTER(K4:K125, ISNUMBER(K4:K125)),K113)</f>
        <v>0.46600000000000003</v>
      </c>
      <c r="L136" s="9" cm="1">
        <f t="array" ref="L136">_xlfn.PERCENTRANK.EXC(_xlfn._xlws.FILTER(L4:L125, ISNUMBER(L4:L125)),L113)</f>
        <v>0.53300000000000003</v>
      </c>
      <c r="M136" s="9" cm="1">
        <f t="array" ref="M136">_xlfn.PERCENTRANK.EXC(_xlfn._xlws.FILTER(M4:M125, ISNUMBER(M4:M125)),M113)</f>
        <v>0.75</v>
      </c>
      <c r="N136" s="9" cm="1">
        <f t="array" ref="N136">_xlfn.PERCENTRANK.EXC(_xlfn._xlws.FILTER(N4:N125, ISNUMBER(N4:N125)),N113)</f>
        <v>0.63300000000000001</v>
      </c>
    </row>
    <row r="138" spans="1:17" x14ac:dyDescent="0.35">
      <c r="A138" t="s">
        <v>829</v>
      </c>
      <c r="B138">
        <f t="shared" ref="B138:J138" si="4">STDEV(B40:B122)</f>
        <v>5.0806232127417937E-2</v>
      </c>
      <c r="C138">
        <f t="shared" si="4"/>
        <v>5.235724891317356E-2</v>
      </c>
      <c r="D138">
        <f t="shared" si="4"/>
        <v>4.6553009397147398E-2</v>
      </c>
      <c r="E138">
        <f t="shared" si="4"/>
        <v>5.6498597845224145E-2</v>
      </c>
      <c r="F138">
        <f t="shared" si="4"/>
        <v>4.0698017130878866E-2</v>
      </c>
      <c r="G138">
        <f t="shared" si="4"/>
        <v>4.2328460683842543E-2</v>
      </c>
      <c r="H138">
        <f t="shared" si="4"/>
        <v>4.701756750385E-2</v>
      </c>
      <c r="I138">
        <f t="shared" si="4"/>
        <v>5.6176107751137107E-2</v>
      </c>
      <c r="J138">
        <f t="shared" si="4"/>
        <v>4.2014837438473923E-2</v>
      </c>
      <c r="K138">
        <f t="shared" ref="K138:N138" si="5">STDEV(K40:K122)</f>
        <v>5.3006329253497519E-2</v>
      </c>
      <c r="L138">
        <f t="shared" si="5"/>
        <v>5.6796109128536248E-2</v>
      </c>
      <c r="M138">
        <f t="shared" si="5"/>
        <v>6.1992435208449923E-2</v>
      </c>
      <c r="N138">
        <f t="shared" si="5"/>
        <v>6.2913013128347586E-2</v>
      </c>
    </row>
    <row r="139" spans="1:17" x14ac:dyDescent="0.35">
      <c r="A139" t="s">
        <v>830</v>
      </c>
      <c r="B139" s="74">
        <f t="shared" ref="B139:J139" si="6">B138*SQRT(12)</f>
        <v>0.17599795077165215</v>
      </c>
      <c r="C139" s="74">
        <f t="shared" si="6"/>
        <v>0.18137083052429395</v>
      </c>
      <c r="D139" s="74">
        <f t="shared" si="6"/>
        <v>0.16126435504218137</v>
      </c>
      <c r="E139" s="74">
        <f t="shared" si="6"/>
        <v>0.19571688404865942</v>
      </c>
      <c r="F139" s="74">
        <f t="shared" si="6"/>
        <v>0.14098206687598147</v>
      </c>
      <c r="G139" s="74">
        <f t="shared" si="6"/>
        <v>0.1466300890211939</v>
      </c>
      <c r="H139" s="74">
        <f t="shared" si="6"/>
        <v>0.16287363152993517</v>
      </c>
      <c r="I139" s="74">
        <f t="shared" si="6"/>
        <v>0.19459974559286658</v>
      </c>
      <c r="J139" s="74">
        <f t="shared" si="6"/>
        <v>0.14554366623036771</v>
      </c>
      <c r="K139" s="74">
        <f t="shared" ref="K139:N139" si="7">K138*SQRT(12)</f>
        <v>0.18361931077956437</v>
      </c>
      <c r="L139" s="74">
        <f t="shared" si="7"/>
        <v>0.19674749336570257</v>
      </c>
      <c r="M139" s="74">
        <f t="shared" si="7"/>
        <v>0.21474809493191396</v>
      </c>
      <c r="N139" s="74">
        <f t="shared" si="7"/>
        <v>0.21793707039109161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41922</v>
      </c>
      <c r="B2" s="7" cm="1">
        <f t="array" ref="B2:B122">_xll.FDS(B1,"P_PRICE_RETURNS_PR('52W',2,-10AY,0,AM)")</f>
        <v>2.5478719999999999</v>
      </c>
      <c r="C2" s="7" cm="1">
        <f t="array" ref="C2:C122">_xll.FDS(C1,"P_PRICE_RETURNS_PR('52W',2,-10AY,0,AM)")</f>
        <v>-5.6452929999999997</v>
      </c>
      <c r="D2" s="7" cm="1">
        <f t="array" ref="D2:D122">_xll.FDS(D1,"P_PRICE_RETURNS_PR('52W',2,-10AY,0,AM)")</f>
        <v>4.855728</v>
      </c>
      <c r="E2" s="7" cm="1">
        <f t="array" ref="E2:E122">_xll.FDS(E1,"P_PRICE_RETURNS_PR('52W',2,-10AY,0,AM)")</f>
        <v>-6.9874229999999997</v>
      </c>
      <c r="F2" s="7" cm="1">
        <f t="array" ref="F2:F122">_xll.FDS(F1,"P_PRICE_RETURNS_PR('52W',2,-10AY,0,AM)")</f>
        <v>-6.2296509999999996</v>
      </c>
      <c r="G2" s="7" cm="1">
        <f t="array" ref="G2:G122">_xll.FDS(G1,"P_PRICE_RETURNS_PR('52W',2,-10AY,0,AM)")</f>
        <v>1.9650459</v>
      </c>
      <c r="H2" s="7" cm="1">
        <f t="array" ref="H2:H122">_xll.FDS(H1,"P_PRICE_RETURNS_PR('52W',2,-10AY,0,AM)")</f>
        <v>0.65052509999999997</v>
      </c>
      <c r="I2" s="7" cm="1">
        <f t="array" ref="I2:I122">_xll.FDS(I1,"P_PRICE_RETURNS_PR('52W',2,-10AY,0,AM)")</f>
        <v>21.908069999999999</v>
      </c>
      <c r="J2" s="7" cm="1">
        <f t="array" ref="J2:J122">_xll.FDS(J1,"P_PRICE_RETURNS_PR('52W',2,-10AY,0,AM)")</f>
        <v>14.820421</v>
      </c>
      <c r="K2" s="158" cm="1">
        <f t="array" ref="K2:K122">_xll.FDS(K1,"P_PRICE_RETURNS_PR('52W',2,-10AY,0,AM)")</f>
        <v>-8.1883610000000004</v>
      </c>
      <c r="L2" s="158" cm="1">
        <f t="array" ref="L2:L122">_xll.FDS(L1,"P_PRICE_RETURNS_PR('52W',2,-10AY,0,AM)")</f>
        <v>-2.4849296000000001</v>
      </c>
      <c r="M2" s="158" cm="1">
        <f t="array" ref="M2:M122">_xll.FDS(M1,"P_PRICE_RETURNS_PR('52W',2,-10AY,0,AM)")</f>
        <v>-6.553382</v>
      </c>
      <c r="N2" s="158" cm="1">
        <f t="array" ref="N2:N122">_xll.FDS(N1,"P_PRICE_RETURNS_PR('52W',2,-10AY,0,AM)")</f>
        <v>-3.4401894</v>
      </c>
    </row>
    <row r="3" spans="1:14" x14ac:dyDescent="0.35">
      <c r="A3" s="2">
        <v>41953</v>
      </c>
      <c r="B3" s="40">
        <v>4.0424230000000003</v>
      </c>
      <c r="C3" s="40">
        <v>-2.7657449999999999</v>
      </c>
      <c r="D3" s="40">
        <v>3.7947297</v>
      </c>
      <c r="E3" s="40">
        <v>-5.2796782999999996</v>
      </c>
      <c r="F3" s="40">
        <v>0.95235110000000001</v>
      </c>
      <c r="G3" s="40">
        <v>3.7765502999999998</v>
      </c>
      <c r="H3" s="40">
        <v>-0.53335429999999995</v>
      </c>
      <c r="I3" s="40">
        <v>25.34864</v>
      </c>
      <c r="J3" s="40">
        <v>17.289639000000001</v>
      </c>
      <c r="K3" s="47">
        <v>-5.3881702000000002</v>
      </c>
      <c r="L3" s="47">
        <v>-1.3301670000000001</v>
      </c>
      <c r="M3" s="47">
        <v>0.68012475999999999</v>
      </c>
      <c r="N3" s="47">
        <v>-3.0783534000000001</v>
      </c>
    </row>
    <row r="4" spans="1:14" x14ac:dyDescent="0.35">
      <c r="A4" s="2">
        <v>41983</v>
      </c>
      <c r="B4" s="40">
        <v>11.326921</v>
      </c>
      <c r="C4" s="40">
        <v>-3.9117396000000002</v>
      </c>
      <c r="D4" s="40">
        <v>-1.2399316</v>
      </c>
      <c r="E4" s="40">
        <v>-4.5348883000000004</v>
      </c>
      <c r="F4" s="40">
        <v>-2.9814004999999999</v>
      </c>
      <c r="G4" s="40">
        <v>4.0619253999999998</v>
      </c>
      <c r="H4" s="40">
        <v>-3.1219244000000002</v>
      </c>
      <c r="I4" s="40">
        <v>21.488785</v>
      </c>
      <c r="J4" s="40">
        <v>14.582003</v>
      </c>
      <c r="K4" s="47">
        <v>-4.3302655000000003</v>
      </c>
      <c r="L4" s="47">
        <v>0.53493977000000004</v>
      </c>
      <c r="M4" s="47">
        <v>1.4394879</v>
      </c>
      <c r="N4" s="47">
        <v>-2.7363300000000002</v>
      </c>
    </row>
    <row r="5" spans="1:14" x14ac:dyDescent="0.35">
      <c r="A5" s="2">
        <v>42013</v>
      </c>
      <c r="B5" s="40">
        <v>10.722600999999999</v>
      </c>
      <c r="C5" s="40">
        <v>-2.1942973000000001</v>
      </c>
      <c r="D5" s="40">
        <v>-1.0877728</v>
      </c>
      <c r="E5" s="40">
        <v>-11.25325</v>
      </c>
      <c r="F5" s="40">
        <v>-6.0656489999999996</v>
      </c>
      <c r="G5" s="40">
        <v>-1.1441171000000001</v>
      </c>
      <c r="H5" s="40">
        <v>-8.5992990000000002</v>
      </c>
      <c r="I5" s="40">
        <v>19.731676</v>
      </c>
      <c r="J5" s="40">
        <v>13.394690000000001</v>
      </c>
      <c r="K5" s="47">
        <v>-11.251509</v>
      </c>
      <c r="L5" s="47">
        <v>-8.2076370000000001</v>
      </c>
      <c r="M5" s="47">
        <v>-8.9448450000000008</v>
      </c>
      <c r="N5" s="47">
        <v>-16.682983</v>
      </c>
    </row>
    <row r="6" spans="1:14" x14ac:dyDescent="0.35">
      <c r="A6" s="2">
        <v>42045</v>
      </c>
      <c r="B6" s="40">
        <v>9.0938569999999999</v>
      </c>
      <c r="C6" s="40">
        <v>1.0612368999999999</v>
      </c>
      <c r="D6" s="40">
        <v>-0.56896210000000003</v>
      </c>
      <c r="E6" s="40">
        <v>-4.3062266999999999</v>
      </c>
      <c r="F6" s="40">
        <v>3.9444447</v>
      </c>
      <c r="G6" s="40">
        <v>1.5546082999999999</v>
      </c>
      <c r="H6" s="40">
        <v>-1.4447272</v>
      </c>
      <c r="I6" s="40">
        <v>20.726347000000001</v>
      </c>
      <c r="J6" s="40">
        <v>17.131256</v>
      </c>
      <c r="K6" s="47">
        <v>-4.5852364999999997</v>
      </c>
      <c r="L6" s="47">
        <v>-1.375562</v>
      </c>
      <c r="M6" s="47">
        <v>-1.9768178000000001</v>
      </c>
      <c r="N6" s="47">
        <v>-10.569692</v>
      </c>
    </row>
    <row r="7" spans="1:14" x14ac:dyDescent="0.35">
      <c r="A7" s="2">
        <v>42073</v>
      </c>
      <c r="B7" s="40">
        <v>-0.9700358</v>
      </c>
      <c r="C7" s="40">
        <v>-6.2299730000000002</v>
      </c>
      <c r="D7" s="40">
        <v>-7.2184619999999997</v>
      </c>
      <c r="E7" s="40">
        <v>-4.9783650000000002</v>
      </c>
      <c r="F7" s="40">
        <v>5.6460739999999996</v>
      </c>
      <c r="G7" s="40">
        <v>-4.1775409999999997</v>
      </c>
      <c r="H7" s="40">
        <v>-6.6612960000000001</v>
      </c>
      <c r="I7" s="40">
        <v>17.974734999999999</v>
      </c>
      <c r="J7" s="40">
        <v>11.066246</v>
      </c>
      <c r="K7" s="47">
        <v>-11.245501000000001</v>
      </c>
      <c r="L7" s="47">
        <v>-1.1589408000000001</v>
      </c>
      <c r="M7" s="47">
        <v>-7.2574079999999999</v>
      </c>
      <c r="N7" s="47">
        <v>-15.319914000000001</v>
      </c>
    </row>
    <row r="8" spans="1:14" x14ac:dyDescent="0.35">
      <c r="A8" s="2">
        <v>42104</v>
      </c>
      <c r="B8" s="40">
        <v>0.3360629</v>
      </c>
      <c r="C8" s="40">
        <v>-6.5098466999999998</v>
      </c>
      <c r="D8" s="40">
        <v>-3.0166029999999999</v>
      </c>
      <c r="E8" s="40">
        <v>1.0252237</v>
      </c>
      <c r="F8" s="40">
        <v>20.896996000000001</v>
      </c>
      <c r="G8" s="40">
        <v>2.5365232999999998</v>
      </c>
      <c r="H8" s="40">
        <v>-3.3829690000000001</v>
      </c>
      <c r="I8" s="40">
        <v>28.021502999999999</v>
      </c>
      <c r="J8" s="40">
        <v>16.917372</v>
      </c>
      <c r="K8" s="47">
        <v>-5.6418059999999999</v>
      </c>
      <c r="L8" s="47">
        <v>3.0173182000000001</v>
      </c>
      <c r="M8" s="47">
        <v>-2.75082</v>
      </c>
      <c r="N8" s="47">
        <v>-11.398989</v>
      </c>
    </row>
    <row r="9" spans="1:14" x14ac:dyDescent="0.35">
      <c r="A9" s="2">
        <v>42132</v>
      </c>
      <c r="B9" s="40">
        <v>-3.2344341000000001</v>
      </c>
      <c r="C9" s="40">
        <v>-9.5481820000000006</v>
      </c>
      <c r="D9" s="40">
        <v>-3.4409641999999998</v>
      </c>
      <c r="E9" s="40">
        <v>-1.3280689999999999</v>
      </c>
      <c r="F9" s="40">
        <v>20.432459999999999</v>
      </c>
      <c r="G9" s="40">
        <v>3.1496643999999998</v>
      </c>
      <c r="H9" s="40">
        <v>-3.4295738</v>
      </c>
      <c r="I9" s="40">
        <v>27.077627</v>
      </c>
      <c r="J9" s="40">
        <v>14.959823999999999</v>
      </c>
      <c r="K9" s="47">
        <v>-5.5715857</v>
      </c>
      <c r="L9" s="47">
        <v>5.2827596999999997</v>
      </c>
      <c r="M9" s="47">
        <v>-2.3932338</v>
      </c>
      <c r="N9" s="47">
        <v>-9.9374529999999996</v>
      </c>
    </row>
    <row r="10" spans="1:14" x14ac:dyDescent="0.35">
      <c r="A10" s="2">
        <v>42165</v>
      </c>
      <c r="B10" s="40">
        <v>-3.4015833999999998</v>
      </c>
      <c r="C10" s="40">
        <v>-13.858980000000001</v>
      </c>
      <c r="D10" s="40">
        <v>-8.3068550000000005</v>
      </c>
      <c r="E10" s="40">
        <v>-6.3177586000000003</v>
      </c>
      <c r="F10" s="40">
        <v>12.270236000000001</v>
      </c>
      <c r="G10" s="40">
        <v>1.4610647999999999</v>
      </c>
      <c r="H10" s="40">
        <v>-5.8573190000000004</v>
      </c>
      <c r="I10" s="40">
        <v>19.153594999999999</v>
      </c>
      <c r="J10" s="40">
        <v>9.9528309999999998</v>
      </c>
      <c r="K10" s="47">
        <v>-7.9715014000000002</v>
      </c>
      <c r="L10" s="47">
        <v>3.6243558</v>
      </c>
      <c r="M10" s="47">
        <v>-3.6008537</v>
      </c>
      <c r="N10" s="47">
        <v>-12.066544</v>
      </c>
    </row>
    <row r="11" spans="1:14" x14ac:dyDescent="0.35">
      <c r="A11" s="2">
        <v>42195</v>
      </c>
      <c r="B11" s="40">
        <v>-13.872491999999999</v>
      </c>
      <c r="C11" s="40">
        <v>-16.6708</v>
      </c>
      <c r="D11" s="40">
        <v>-17.612808000000001</v>
      </c>
      <c r="E11" s="40">
        <v>-3.9497553999999999</v>
      </c>
      <c r="F11" s="40">
        <v>7.3720574000000001</v>
      </c>
      <c r="G11" s="40">
        <v>2.6904224999999999</v>
      </c>
      <c r="H11" s="40">
        <v>-7.6935289999999998</v>
      </c>
      <c r="I11" s="40">
        <v>14.942705</v>
      </c>
      <c r="J11" s="40">
        <v>7.7479480000000001</v>
      </c>
      <c r="K11" s="47">
        <v>-4.0191889999999999</v>
      </c>
      <c r="L11" s="47">
        <v>7.196021</v>
      </c>
      <c r="M11" s="47">
        <v>-1.910758</v>
      </c>
      <c r="N11" s="47">
        <v>-6.4572929999999999</v>
      </c>
    </row>
    <row r="12" spans="1:14" x14ac:dyDescent="0.35">
      <c r="A12" s="2">
        <v>42226</v>
      </c>
      <c r="B12" s="40">
        <v>-8.4720849999999999</v>
      </c>
      <c r="C12" s="40">
        <v>-16.073395000000001</v>
      </c>
      <c r="D12" s="40">
        <v>-17.003983000000002</v>
      </c>
      <c r="E12" s="40">
        <v>4.4598820000000003</v>
      </c>
      <c r="F12" s="40">
        <v>13.065588</v>
      </c>
      <c r="G12" s="40">
        <v>6.1515092999999998</v>
      </c>
      <c r="H12" s="40">
        <v>-2.9721617999999999</v>
      </c>
      <c r="I12" s="40">
        <v>18.827010000000001</v>
      </c>
      <c r="J12" s="40">
        <v>11.106896000000001</v>
      </c>
      <c r="K12" s="47">
        <v>4.7325730000000004</v>
      </c>
      <c r="L12" s="47">
        <v>15.481460999999999</v>
      </c>
      <c r="M12" s="47">
        <v>0.49970150000000002</v>
      </c>
      <c r="N12" s="47">
        <v>5.4574129999999998</v>
      </c>
    </row>
    <row r="13" spans="1:14" x14ac:dyDescent="0.35">
      <c r="A13" s="2">
        <v>42257</v>
      </c>
      <c r="B13" s="40">
        <v>-16.633092999999999</v>
      </c>
      <c r="C13" s="40">
        <v>-27.062380000000001</v>
      </c>
      <c r="D13" s="40">
        <v>-25.457466</v>
      </c>
      <c r="E13" s="40">
        <v>-7.5195670000000003</v>
      </c>
      <c r="F13" s="40">
        <v>-1.2171268000000001E-2</v>
      </c>
      <c r="G13" s="40">
        <v>-2.9456197999999998</v>
      </c>
      <c r="H13" s="40">
        <v>-12.399596000000001</v>
      </c>
      <c r="I13" s="40">
        <v>6.0420156</v>
      </c>
      <c r="J13" s="40">
        <v>-0.18791556000000001</v>
      </c>
      <c r="K13" s="47">
        <v>-6.9917736000000001</v>
      </c>
      <c r="L13" s="47">
        <v>-0.12072921</v>
      </c>
      <c r="M13" s="47">
        <v>-4.5875729999999999</v>
      </c>
      <c r="N13" s="47">
        <v>-5.9859457000000003</v>
      </c>
    </row>
    <row r="14" spans="1:14" x14ac:dyDescent="0.35">
      <c r="A14" s="2">
        <v>42286</v>
      </c>
      <c r="B14" s="40">
        <v>-7.4837565000000001</v>
      </c>
      <c r="C14" s="40">
        <v>-12.988638999999999</v>
      </c>
      <c r="D14" s="40">
        <v>-14.33844</v>
      </c>
      <c r="E14" s="40">
        <v>1.7742157000000001</v>
      </c>
      <c r="F14" s="40">
        <v>9.4151380000000007</v>
      </c>
      <c r="G14" s="40">
        <v>5.1244617000000003</v>
      </c>
      <c r="H14" s="40">
        <v>-1.8617809000000001</v>
      </c>
      <c r="I14" s="40">
        <v>11.173237</v>
      </c>
      <c r="J14" s="40">
        <v>6.5714600000000001</v>
      </c>
      <c r="K14" s="47">
        <v>6.0603740000000004</v>
      </c>
      <c r="L14" s="47">
        <v>7.2202563</v>
      </c>
      <c r="M14" s="47">
        <v>4.783976</v>
      </c>
      <c r="N14" s="47">
        <v>7.5536130000000004</v>
      </c>
    </row>
    <row r="15" spans="1:14" x14ac:dyDescent="0.35">
      <c r="A15" s="2">
        <v>42318</v>
      </c>
      <c r="B15" s="40">
        <v>-7.7146290000000004</v>
      </c>
      <c r="C15" s="40">
        <v>-23.205207999999999</v>
      </c>
      <c r="D15" s="40">
        <v>-20.053577000000001</v>
      </c>
      <c r="E15" s="40">
        <v>-0.48764943999999999</v>
      </c>
      <c r="F15" s="40">
        <v>8.2056280000000008</v>
      </c>
      <c r="G15" s="40">
        <v>-1.3215600999999999</v>
      </c>
      <c r="H15" s="40">
        <v>-7.1893634999999998</v>
      </c>
      <c r="I15" s="40">
        <v>12.304258000000001</v>
      </c>
      <c r="J15" s="40">
        <v>4.3152213000000001</v>
      </c>
      <c r="K15" s="47">
        <v>2.9199600000000001</v>
      </c>
      <c r="L15" s="47">
        <v>5.0497769999999997</v>
      </c>
      <c r="M15" s="47">
        <v>-5.3951025000000001</v>
      </c>
      <c r="N15" s="47">
        <v>3.2550335000000001</v>
      </c>
    </row>
    <row r="16" spans="1:14" x14ac:dyDescent="0.35">
      <c r="A16" s="2">
        <v>42348</v>
      </c>
      <c r="B16" s="40">
        <v>-5.1255283</v>
      </c>
      <c r="C16" s="40">
        <v>-12.918704999999999</v>
      </c>
      <c r="D16" s="40">
        <v>-19.149702000000001</v>
      </c>
      <c r="E16" s="40">
        <v>-4.4511675999999998</v>
      </c>
      <c r="F16" s="40">
        <v>7.8121423999999999</v>
      </c>
      <c r="G16" s="40">
        <v>-2.5338352</v>
      </c>
      <c r="H16" s="40">
        <v>-7.4050070000000003</v>
      </c>
      <c r="I16" s="40">
        <v>10.954141999999999</v>
      </c>
      <c r="J16" s="40">
        <v>3.3853292000000001</v>
      </c>
      <c r="K16" s="47">
        <v>-0.76927540000000005</v>
      </c>
      <c r="L16" s="47">
        <v>-0.50974489999999995</v>
      </c>
      <c r="M16" s="47">
        <v>-8.0902209999999997</v>
      </c>
      <c r="N16" s="47">
        <v>0.95361470000000004</v>
      </c>
    </row>
    <row r="17" spans="1:14" x14ac:dyDescent="0.35">
      <c r="A17" s="2">
        <v>42377</v>
      </c>
      <c r="B17" s="40">
        <v>-9.5982260000000004</v>
      </c>
      <c r="C17" s="40">
        <v>-20.269691000000002</v>
      </c>
      <c r="D17" s="40">
        <v>-26.546794999999999</v>
      </c>
      <c r="E17" s="40">
        <v>-8.2719269999999998</v>
      </c>
      <c r="F17" s="40">
        <v>2.991736</v>
      </c>
      <c r="G17" s="40">
        <v>-4.7481593999999996</v>
      </c>
      <c r="H17" s="40">
        <v>-11.719709</v>
      </c>
      <c r="I17" s="40">
        <v>1.7165661000000001</v>
      </c>
      <c r="J17" s="40">
        <v>-4.8481044999999998</v>
      </c>
      <c r="K17" s="47">
        <v>-3.585267</v>
      </c>
      <c r="L17" s="47">
        <v>-2.1757126000000002</v>
      </c>
      <c r="M17" s="47">
        <v>-8.7138360000000006</v>
      </c>
      <c r="N17" s="47">
        <v>0.51095486000000001</v>
      </c>
    </row>
    <row r="18" spans="1:14" x14ac:dyDescent="0.35">
      <c r="A18" s="2">
        <v>42410</v>
      </c>
      <c r="B18" s="40">
        <v>-7.5559079999999996</v>
      </c>
      <c r="C18" s="40">
        <v>-23.021334</v>
      </c>
      <c r="D18" s="40">
        <v>-26.023657</v>
      </c>
      <c r="E18" s="40">
        <v>-17.61037</v>
      </c>
      <c r="F18" s="40">
        <v>-8.8094889999999992</v>
      </c>
      <c r="G18" s="40">
        <v>-12.0734215</v>
      </c>
      <c r="H18" s="40">
        <v>-19.564938000000001</v>
      </c>
      <c r="I18" s="40">
        <v>-6.4383210000000002</v>
      </c>
      <c r="J18" s="40">
        <v>-8.5507100000000005</v>
      </c>
      <c r="K18" s="47">
        <v>-12.178039999999999</v>
      </c>
      <c r="L18" s="47">
        <v>-7.9192220000000004</v>
      </c>
      <c r="M18" s="47">
        <v>-17.700077</v>
      </c>
      <c r="N18" s="47">
        <v>-18.972926999999999</v>
      </c>
    </row>
    <row r="19" spans="1:14" x14ac:dyDescent="0.35">
      <c r="A19" s="2">
        <v>42439</v>
      </c>
      <c r="B19" s="40">
        <v>1.3492584000000001</v>
      </c>
      <c r="C19" s="40">
        <v>-9.9104519999999994</v>
      </c>
      <c r="D19" s="40">
        <v>-11.958902999999999</v>
      </c>
      <c r="E19" s="40">
        <v>-13.918877</v>
      </c>
      <c r="F19" s="40">
        <v>-5.9650600000000003</v>
      </c>
      <c r="G19" s="40">
        <v>-6.6993356000000004</v>
      </c>
      <c r="H19" s="40">
        <v>-11.906063</v>
      </c>
      <c r="I19" s="40">
        <v>9.3340869999999996E-3</v>
      </c>
      <c r="J19" s="40">
        <v>-0.62772629999999996</v>
      </c>
      <c r="K19" s="47">
        <v>-4.3454885000000001</v>
      </c>
      <c r="L19" s="47">
        <v>-2.7115165999999999</v>
      </c>
      <c r="M19" s="47">
        <v>-10.086589999999999</v>
      </c>
      <c r="N19" s="47">
        <v>-13.251906</v>
      </c>
    </row>
    <row r="20" spans="1:14" x14ac:dyDescent="0.35">
      <c r="A20" s="2">
        <v>42468</v>
      </c>
      <c r="B20" s="40">
        <v>3.5089492999999998</v>
      </c>
      <c r="C20" s="40">
        <v>-16.884882000000001</v>
      </c>
      <c r="D20" s="40">
        <v>-14.276671</v>
      </c>
      <c r="E20" s="40">
        <v>-15.909445</v>
      </c>
      <c r="F20" s="40">
        <v>-11.222434</v>
      </c>
      <c r="G20" s="40">
        <v>-9.7456455000000002</v>
      </c>
      <c r="H20" s="40">
        <v>-13.239426</v>
      </c>
      <c r="I20" s="40">
        <v>3.3273578000000001</v>
      </c>
      <c r="J20" s="40">
        <v>0.44652224000000001</v>
      </c>
      <c r="K20" s="47">
        <v>-9.2491990000000008</v>
      </c>
      <c r="L20" s="47">
        <v>-4.9656510000000003</v>
      </c>
      <c r="M20" s="47">
        <v>-9.5553039999999996</v>
      </c>
      <c r="N20" s="47">
        <v>-21.030611</v>
      </c>
    </row>
    <row r="21" spans="1:14" x14ac:dyDescent="0.35">
      <c r="A21" s="2">
        <v>42500</v>
      </c>
      <c r="B21" s="40">
        <v>8.8612190000000002</v>
      </c>
      <c r="C21" s="40">
        <v>-9.1274200000000008</v>
      </c>
      <c r="D21" s="40">
        <v>-14.419794</v>
      </c>
      <c r="E21" s="40">
        <v>-12.630737</v>
      </c>
      <c r="F21" s="40">
        <v>-8.9336579999999994</v>
      </c>
      <c r="G21" s="40">
        <v>-11.834657999999999</v>
      </c>
      <c r="H21" s="40">
        <v>-16.175508000000001</v>
      </c>
      <c r="I21" s="40">
        <v>-0.17471909999999999</v>
      </c>
      <c r="J21" s="40">
        <v>0.62352419999999997</v>
      </c>
      <c r="K21" s="47">
        <v>-9.3159860000000005</v>
      </c>
      <c r="L21" s="47">
        <v>-5.4931935999999997</v>
      </c>
      <c r="M21" s="47">
        <v>-11.500781999999999</v>
      </c>
      <c r="N21" s="47">
        <v>-20.59102</v>
      </c>
    </row>
    <row r="22" spans="1:14" x14ac:dyDescent="0.35">
      <c r="A22" s="2">
        <v>42531</v>
      </c>
      <c r="B22" s="40">
        <v>16.518937999999999</v>
      </c>
      <c r="C22" s="40">
        <v>-6.8883896</v>
      </c>
      <c r="D22" s="40">
        <v>-8.3935680000000001</v>
      </c>
      <c r="E22" s="40">
        <v>-13.442259999999999</v>
      </c>
      <c r="F22" s="40">
        <v>-9.0669520000000006</v>
      </c>
      <c r="G22" s="40">
        <v>-11.972206999999999</v>
      </c>
      <c r="H22" s="40">
        <v>-15.454971</v>
      </c>
      <c r="I22" s="40">
        <v>0.58237313999999996</v>
      </c>
      <c r="J22" s="40">
        <v>1.7276286999999999</v>
      </c>
      <c r="K22" s="47">
        <v>-10.406274</v>
      </c>
      <c r="L22" s="47">
        <v>-7.8987119999999997</v>
      </c>
      <c r="M22" s="47">
        <v>-14.314735000000001</v>
      </c>
      <c r="N22" s="47">
        <v>-24.549050000000001</v>
      </c>
    </row>
    <row r="23" spans="1:14" x14ac:dyDescent="0.35">
      <c r="A23" s="2">
        <v>42559</v>
      </c>
      <c r="B23" s="40">
        <v>34.62715</v>
      </c>
      <c r="C23" s="40">
        <v>1.4700413000000001</v>
      </c>
      <c r="D23" s="40">
        <v>-2.807051</v>
      </c>
      <c r="E23" s="40">
        <v>-10.312151999999999</v>
      </c>
      <c r="F23" s="40">
        <v>-4.5759080000000001</v>
      </c>
      <c r="G23" s="40">
        <v>-7.3606369999999997</v>
      </c>
      <c r="H23" s="40">
        <v>-11.255246</v>
      </c>
      <c r="I23" s="40">
        <v>5.1415205000000004</v>
      </c>
      <c r="J23" s="40">
        <v>6.2448379999999997</v>
      </c>
      <c r="K23" s="47">
        <v>-6.3892245000000001</v>
      </c>
      <c r="L23" s="47">
        <v>-5.3663254</v>
      </c>
      <c r="M23" s="47">
        <v>-8.9423239999999993</v>
      </c>
      <c r="N23" s="47">
        <v>-22.648357000000001</v>
      </c>
    </row>
    <row r="24" spans="1:14" x14ac:dyDescent="0.35">
      <c r="A24" s="2">
        <v>42592</v>
      </c>
      <c r="B24" s="40">
        <v>37.585830000000001</v>
      </c>
      <c r="C24" s="40">
        <v>6.2189459999999999</v>
      </c>
      <c r="D24" s="40">
        <v>1.5663028000000001</v>
      </c>
      <c r="E24" s="40">
        <v>-7.2717010000000002</v>
      </c>
      <c r="F24" s="40">
        <v>-4.8906619999999998</v>
      </c>
      <c r="G24" s="40">
        <v>-7.9225183000000001</v>
      </c>
      <c r="H24" s="40">
        <v>-12.494964</v>
      </c>
      <c r="I24" s="40">
        <v>5.7057858000000001</v>
      </c>
      <c r="J24" s="40">
        <v>5.6189179999999999</v>
      </c>
      <c r="K24" s="47">
        <v>-10.030514</v>
      </c>
      <c r="L24" s="47">
        <v>-6.9832745000000003</v>
      </c>
      <c r="M24" s="47">
        <v>-7.1686209999999999</v>
      </c>
      <c r="N24" s="47">
        <v>-27.37227</v>
      </c>
    </row>
    <row r="25" spans="1:14" x14ac:dyDescent="0.35">
      <c r="A25" s="2">
        <v>42622</v>
      </c>
      <c r="B25" s="40">
        <v>53.034652999999999</v>
      </c>
      <c r="C25" s="40">
        <v>12.747455</v>
      </c>
      <c r="D25" s="40">
        <v>9.9250080000000001</v>
      </c>
      <c r="E25" s="40">
        <v>2.2338866999999998</v>
      </c>
      <c r="F25" s="40">
        <v>6.6295979999999997</v>
      </c>
      <c r="G25" s="40">
        <v>-0.85659622999999996</v>
      </c>
      <c r="H25" s="40">
        <v>-1.9370139</v>
      </c>
      <c r="I25" s="40">
        <v>11.274349000000001</v>
      </c>
      <c r="J25" s="40">
        <v>11.88786</v>
      </c>
      <c r="K25" s="47">
        <v>0.49573182999999998</v>
      </c>
      <c r="L25" s="47">
        <v>3.6751627999999998</v>
      </c>
      <c r="M25" s="47">
        <v>-1.2248933</v>
      </c>
      <c r="N25" s="47">
        <v>-19.545109</v>
      </c>
    </row>
    <row r="26" spans="1:14" x14ac:dyDescent="0.35">
      <c r="A26" s="2">
        <v>42653</v>
      </c>
      <c r="B26" s="40">
        <v>34.957348000000003</v>
      </c>
      <c r="C26" s="40">
        <v>11.415910999999999</v>
      </c>
      <c r="D26" s="40">
        <v>4.1718719999999996</v>
      </c>
      <c r="E26" s="40">
        <v>2.3909568999999999</v>
      </c>
      <c r="F26" s="40">
        <v>4.799652</v>
      </c>
      <c r="G26" s="40">
        <v>-2.8427958000000002</v>
      </c>
      <c r="H26" s="40">
        <v>-7.6736329999999997</v>
      </c>
      <c r="I26" s="40">
        <v>13.179183</v>
      </c>
      <c r="J26" s="40">
        <v>9.6915130000000005</v>
      </c>
      <c r="K26" s="47">
        <v>-3.3358693000000001</v>
      </c>
      <c r="L26" s="47">
        <v>3.8633942999999999</v>
      </c>
      <c r="M26" s="47">
        <v>-1.9709349</v>
      </c>
      <c r="N26" s="47">
        <v>-25.017685</v>
      </c>
    </row>
    <row r="27" spans="1:14" x14ac:dyDescent="0.35">
      <c r="A27" s="2">
        <v>42684</v>
      </c>
      <c r="B27" s="40">
        <v>22.738181999999998</v>
      </c>
      <c r="C27" s="40">
        <v>17.75545</v>
      </c>
      <c r="D27" s="40">
        <v>10.837256999999999</v>
      </c>
      <c r="E27" s="40">
        <v>-0.82793830000000002</v>
      </c>
      <c r="F27" s="40">
        <v>0.53071975999999998</v>
      </c>
      <c r="G27" s="40">
        <v>-3.1109689999999999</v>
      </c>
      <c r="H27" s="40">
        <v>-6.6381335000000004</v>
      </c>
      <c r="I27" s="40">
        <v>3.3372997999999998</v>
      </c>
      <c r="J27" s="40">
        <v>6.2612056999999997</v>
      </c>
      <c r="K27" s="47">
        <v>-2.9378115999999999</v>
      </c>
      <c r="L27" s="47">
        <v>-0.9019315</v>
      </c>
      <c r="M27" s="47">
        <v>-2.4934292</v>
      </c>
      <c r="N27" s="47">
        <v>-20.863104</v>
      </c>
    </row>
    <row r="28" spans="1:14" x14ac:dyDescent="0.35">
      <c r="A28" s="2">
        <v>42713</v>
      </c>
      <c r="B28" s="40">
        <v>20.644928</v>
      </c>
      <c r="C28" s="40">
        <v>18.542384999999999</v>
      </c>
      <c r="D28" s="40">
        <v>24.650023999999998</v>
      </c>
      <c r="E28" s="40">
        <v>1.2271881</v>
      </c>
      <c r="F28" s="40">
        <v>7.5945615999999996</v>
      </c>
      <c r="G28" s="40">
        <v>-3.3436477</v>
      </c>
      <c r="H28" s="40">
        <v>-1.4296293</v>
      </c>
      <c r="I28" s="40">
        <v>7.0537330000000003</v>
      </c>
      <c r="J28" s="40">
        <v>12.698973000000001</v>
      </c>
      <c r="K28" s="47">
        <v>2.5731921</v>
      </c>
      <c r="L28" s="47">
        <v>1.5625954</v>
      </c>
      <c r="M28" s="47">
        <v>2.0305753000000002</v>
      </c>
      <c r="N28" s="47">
        <v>-13.947892</v>
      </c>
    </row>
    <row r="29" spans="1:14" x14ac:dyDescent="0.35">
      <c r="A29" s="2">
        <v>42745</v>
      </c>
      <c r="B29" s="40">
        <v>23.692703000000002</v>
      </c>
      <c r="C29" s="40">
        <v>30.840634999999999</v>
      </c>
      <c r="D29" s="40">
        <v>35.768805999999998</v>
      </c>
      <c r="E29" s="40">
        <v>13.137733000000001</v>
      </c>
      <c r="F29" s="40">
        <v>12.137604</v>
      </c>
      <c r="G29" s="40">
        <v>6.3108919999999999</v>
      </c>
      <c r="H29" s="40">
        <v>7.1027516999999998</v>
      </c>
      <c r="I29" s="40">
        <v>19.190097999999999</v>
      </c>
      <c r="J29" s="40">
        <v>20.532762999999999</v>
      </c>
      <c r="K29" s="47">
        <v>12.919831</v>
      </c>
      <c r="L29" s="47">
        <v>11.702108000000001</v>
      </c>
      <c r="M29" s="47">
        <v>10.228443</v>
      </c>
      <c r="N29" s="47">
        <v>-1.6331077000000001</v>
      </c>
    </row>
    <row r="30" spans="1:14" x14ac:dyDescent="0.35">
      <c r="A30" s="2">
        <v>42776</v>
      </c>
      <c r="B30" s="40">
        <v>28.007317</v>
      </c>
      <c r="C30" s="40">
        <v>35.591949999999997</v>
      </c>
      <c r="D30" s="40">
        <v>40.505028000000003</v>
      </c>
      <c r="E30" s="40">
        <v>21.455013000000001</v>
      </c>
      <c r="F30" s="40">
        <v>24.394835</v>
      </c>
      <c r="G30" s="40">
        <v>12.506150999999999</v>
      </c>
      <c r="H30" s="40">
        <v>14.896058999999999</v>
      </c>
      <c r="I30" s="40">
        <v>33.212325999999997</v>
      </c>
      <c r="J30" s="40">
        <v>27.645420000000001</v>
      </c>
      <c r="K30" s="47">
        <v>16.234981999999999</v>
      </c>
      <c r="L30" s="47">
        <v>17.984486</v>
      </c>
      <c r="M30" s="47">
        <v>20.621013999999999</v>
      </c>
      <c r="N30" s="47">
        <v>10.771108</v>
      </c>
    </row>
    <row r="31" spans="1:14" x14ac:dyDescent="0.35">
      <c r="A31" s="2">
        <v>42804</v>
      </c>
      <c r="B31" s="40">
        <v>14.201117</v>
      </c>
      <c r="C31" s="40">
        <v>19.151973999999999</v>
      </c>
      <c r="D31" s="40">
        <v>17.835342000000001</v>
      </c>
      <c r="E31" s="40">
        <v>18.521559</v>
      </c>
      <c r="F31" s="40">
        <v>16.550122999999999</v>
      </c>
      <c r="G31" s="40">
        <v>10.660601</v>
      </c>
      <c r="H31" s="40">
        <v>6.9957136999999996</v>
      </c>
      <c r="I31" s="40">
        <v>26.94229</v>
      </c>
      <c r="J31" s="40">
        <v>21.680676999999999</v>
      </c>
      <c r="K31" s="47">
        <v>12.591445999999999</v>
      </c>
      <c r="L31" s="47">
        <v>15.488922000000001</v>
      </c>
      <c r="M31" s="47">
        <v>12.297869</v>
      </c>
      <c r="N31" s="47">
        <v>6.2080979999999997</v>
      </c>
    </row>
    <row r="32" spans="1:14" x14ac:dyDescent="0.35">
      <c r="A32" s="2">
        <v>42835</v>
      </c>
      <c r="B32" s="40">
        <v>9.4918969999999998</v>
      </c>
      <c r="C32" s="40">
        <v>25.352869999999999</v>
      </c>
      <c r="D32" s="40">
        <v>17.396296</v>
      </c>
      <c r="E32" s="40">
        <v>16.020702</v>
      </c>
      <c r="F32" s="40">
        <v>14.643884</v>
      </c>
      <c r="G32" s="40">
        <v>8.6060160000000003</v>
      </c>
      <c r="H32" s="40">
        <v>8.2346679999999992</v>
      </c>
      <c r="I32" s="40">
        <v>22.365116</v>
      </c>
      <c r="J32" s="40">
        <v>17.465102999999999</v>
      </c>
      <c r="K32" s="47">
        <v>13.9135475</v>
      </c>
      <c r="L32" s="47">
        <v>13.134098</v>
      </c>
      <c r="M32" s="47">
        <v>9.1861840000000008</v>
      </c>
      <c r="N32" s="47">
        <v>10.991680000000001</v>
      </c>
    </row>
    <row r="33" spans="1:14" x14ac:dyDescent="0.35">
      <c r="A33" s="2">
        <v>42865</v>
      </c>
      <c r="B33" s="40">
        <v>10.196341</v>
      </c>
      <c r="C33" s="40">
        <v>15.068519999999999</v>
      </c>
      <c r="D33" s="40">
        <v>10.746622</v>
      </c>
      <c r="E33" s="40">
        <v>19.117224</v>
      </c>
      <c r="F33" s="40">
        <v>12.975597</v>
      </c>
      <c r="G33" s="40">
        <v>15.3249855</v>
      </c>
      <c r="H33" s="40">
        <v>11.222803000000001</v>
      </c>
      <c r="I33" s="40">
        <v>30.274463999999998</v>
      </c>
      <c r="J33" s="40">
        <v>17.456959999999999</v>
      </c>
      <c r="K33" s="47">
        <v>20.99532</v>
      </c>
      <c r="L33" s="47">
        <v>20.323765000000002</v>
      </c>
      <c r="M33" s="47">
        <v>18.61844</v>
      </c>
      <c r="N33" s="47">
        <v>18.010688999999999</v>
      </c>
    </row>
    <row r="34" spans="1:14" x14ac:dyDescent="0.35">
      <c r="A34" s="2">
        <v>42895</v>
      </c>
      <c r="B34" s="40">
        <v>7.8054309999999996</v>
      </c>
      <c r="C34" s="40">
        <v>12.69828</v>
      </c>
      <c r="D34" s="40">
        <v>5.9164165999999998</v>
      </c>
      <c r="E34" s="40">
        <v>23.226082000000002</v>
      </c>
      <c r="F34" s="40">
        <v>16.270340000000001</v>
      </c>
      <c r="G34" s="40">
        <v>14.132822000000001</v>
      </c>
      <c r="H34" s="40">
        <v>9.4907760000000003</v>
      </c>
      <c r="I34" s="40">
        <v>28.341818</v>
      </c>
      <c r="J34" s="40">
        <v>17.150317999999999</v>
      </c>
      <c r="K34" s="47">
        <v>22.353660000000001</v>
      </c>
      <c r="L34" s="47">
        <v>21.517765000000001</v>
      </c>
      <c r="M34" s="47">
        <v>20.242892999999999</v>
      </c>
      <c r="N34" s="47">
        <v>20.288288000000001</v>
      </c>
    </row>
    <row r="35" spans="1:14" x14ac:dyDescent="0.35">
      <c r="A35" s="2">
        <v>42926</v>
      </c>
      <c r="B35" s="40">
        <v>7.0621489999999998</v>
      </c>
      <c r="C35" s="40">
        <v>14.620673999999999</v>
      </c>
      <c r="D35" s="40">
        <v>11.172295</v>
      </c>
      <c r="E35" s="40">
        <v>31.046462999999999</v>
      </c>
      <c r="F35" s="40">
        <v>16.257857999999999</v>
      </c>
      <c r="G35" s="40">
        <v>19.01455</v>
      </c>
      <c r="H35" s="40">
        <v>14.841806</v>
      </c>
      <c r="I35" s="40">
        <v>27.010774999999999</v>
      </c>
      <c r="J35" s="40">
        <v>16.297066000000001</v>
      </c>
      <c r="K35" s="47">
        <v>31.558060000000001</v>
      </c>
      <c r="L35" s="47">
        <v>31.156015</v>
      </c>
      <c r="M35" s="47">
        <v>31.099070000000001</v>
      </c>
      <c r="N35" s="47">
        <v>37.824474000000002</v>
      </c>
    </row>
    <row r="36" spans="1:14" x14ac:dyDescent="0.35">
      <c r="A36" s="2">
        <v>42957</v>
      </c>
      <c r="B36" s="40">
        <v>5.8418749999999999</v>
      </c>
      <c r="C36" s="40">
        <v>10.616863</v>
      </c>
      <c r="D36" s="40">
        <v>8.3736660000000001</v>
      </c>
      <c r="E36" s="40">
        <v>16.750288000000001</v>
      </c>
      <c r="F36" s="40">
        <v>12.069178000000001</v>
      </c>
      <c r="G36" s="40">
        <v>14.758229</v>
      </c>
      <c r="H36" s="40">
        <v>11.413372000000001</v>
      </c>
      <c r="I36" s="40">
        <v>22.180916</v>
      </c>
      <c r="J36" s="40">
        <v>14.282298000000001</v>
      </c>
      <c r="K36" s="47">
        <v>24.8721</v>
      </c>
      <c r="L36" s="47">
        <v>27.279043000000001</v>
      </c>
      <c r="M36" s="47">
        <v>20.850908</v>
      </c>
      <c r="N36" s="47">
        <v>36.629820000000002</v>
      </c>
    </row>
    <row r="37" spans="1:14" x14ac:dyDescent="0.35">
      <c r="A37" s="2">
        <v>42986</v>
      </c>
      <c r="B37" s="40">
        <v>1.6491652000000001</v>
      </c>
      <c r="C37" s="40">
        <v>17.212809</v>
      </c>
      <c r="D37" s="40">
        <v>10.676920000000001</v>
      </c>
      <c r="E37" s="40">
        <v>20.886612</v>
      </c>
      <c r="F37" s="40">
        <v>11.677968999999999</v>
      </c>
      <c r="G37" s="40">
        <v>14.52285</v>
      </c>
      <c r="H37" s="40">
        <v>10.157633000000001</v>
      </c>
      <c r="I37" s="40">
        <v>24.285793000000002</v>
      </c>
      <c r="J37" s="40">
        <v>15.144121</v>
      </c>
      <c r="K37" s="47">
        <v>24.966372</v>
      </c>
      <c r="L37" s="47">
        <v>26.156734</v>
      </c>
      <c r="M37" s="47">
        <v>21.659327000000001</v>
      </c>
      <c r="N37" s="47">
        <v>34.482562999999999</v>
      </c>
    </row>
    <row r="38" spans="1:14" x14ac:dyDescent="0.35">
      <c r="A38" s="2">
        <v>43018</v>
      </c>
      <c r="B38" s="40">
        <v>11.470879</v>
      </c>
      <c r="C38" s="40">
        <v>12.030161</v>
      </c>
      <c r="D38" s="40">
        <v>16.660140999999999</v>
      </c>
      <c r="E38" s="40">
        <v>27.00224</v>
      </c>
      <c r="F38" s="40">
        <v>15.072430000000001</v>
      </c>
      <c r="G38" s="40">
        <v>19.472504000000001</v>
      </c>
      <c r="H38" s="40">
        <v>17.342079999999999</v>
      </c>
      <c r="I38" s="40">
        <v>25.045287999999999</v>
      </c>
      <c r="J38" s="40">
        <v>20.177136999999998</v>
      </c>
      <c r="K38" s="47">
        <v>31.741714000000002</v>
      </c>
      <c r="L38" s="47">
        <v>30.407070000000001</v>
      </c>
      <c r="M38" s="47">
        <v>26.97053</v>
      </c>
      <c r="N38" s="47">
        <v>44.16046</v>
      </c>
    </row>
    <row r="39" spans="1:14" x14ac:dyDescent="0.35">
      <c r="A39" s="2">
        <v>43049</v>
      </c>
      <c r="B39" s="40">
        <v>13.542866999999999</v>
      </c>
      <c r="C39" s="40">
        <v>18.655968000000001</v>
      </c>
      <c r="D39" s="40">
        <v>18.012608</v>
      </c>
      <c r="E39" s="40">
        <v>30.579138</v>
      </c>
      <c r="F39" s="40">
        <v>21.703385999999998</v>
      </c>
      <c r="G39" s="40">
        <v>18.835280999999998</v>
      </c>
      <c r="H39" s="40">
        <v>18.155396</v>
      </c>
      <c r="I39" s="40">
        <v>34.099260000000001</v>
      </c>
      <c r="J39" s="40">
        <v>21.38815</v>
      </c>
      <c r="K39" s="47">
        <v>31.355953</v>
      </c>
      <c r="L39" s="47">
        <v>33.532859999999999</v>
      </c>
      <c r="M39" s="47">
        <v>28.246271</v>
      </c>
      <c r="N39" s="47">
        <v>42.667589999999997</v>
      </c>
    </row>
    <row r="40" spans="1:14" x14ac:dyDescent="0.35">
      <c r="A40" s="2">
        <v>43077</v>
      </c>
      <c r="B40" s="40">
        <v>13.02309</v>
      </c>
      <c r="C40" s="40">
        <v>12.689375999999999</v>
      </c>
      <c r="D40" s="40">
        <v>10.476136</v>
      </c>
      <c r="E40" s="40">
        <v>29.639471</v>
      </c>
      <c r="F40" s="40">
        <v>18.762184000000001</v>
      </c>
      <c r="G40" s="40">
        <v>23.937056999999999</v>
      </c>
      <c r="H40" s="40">
        <v>17.088055000000001</v>
      </c>
      <c r="I40" s="40">
        <v>31.778790000000001</v>
      </c>
      <c r="J40" s="40">
        <v>20.313310000000001</v>
      </c>
      <c r="K40" s="47">
        <v>31.001068</v>
      </c>
      <c r="L40" s="47">
        <v>35.278320000000001</v>
      </c>
      <c r="M40" s="47">
        <v>21.465492000000001</v>
      </c>
      <c r="N40" s="47">
        <v>35.814213000000002</v>
      </c>
    </row>
    <row r="41" spans="1:14" x14ac:dyDescent="0.35">
      <c r="A41" s="2">
        <v>43110</v>
      </c>
      <c r="B41" s="40">
        <v>20.662094</v>
      </c>
      <c r="C41" s="40">
        <v>15.527331999999999</v>
      </c>
      <c r="D41" s="40">
        <v>14.030849</v>
      </c>
      <c r="E41" s="40">
        <v>29.261267</v>
      </c>
      <c r="F41" s="40">
        <v>26.527381999999999</v>
      </c>
      <c r="G41" s="40">
        <v>21.822893000000001</v>
      </c>
      <c r="H41" s="40">
        <v>22.238218</v>
      </c>
      <c r="I41" s="40">
        <v>33.490634999999997</v>
      </c>
      <c r="J41" s="40">
        <v>23.393785000000001</v>
      </c>
      <c r="K41" s="47">
        <v>31.613232</v>
      </c>
      <c r="L41" s="47">
        <v>35.132336000000002</v>
      </c>
      <c r="M41" s="47">
        <v>26.584768</v>
      </c>
      <c r="N41" s="47">
        <v>34.373534999999997</v>
      </c>
    </row>
    <row r="42" spans="1:14" x14ac:dyDescent="0.35">
      <c r="A42" s="2">
        <v>43140</v>
      </c>
      <c r="B42" s="40">
        <v>12.236046999999999</v>
      </c>
      <c r="C42" s="40">
        <v>7.4350357000000002</v>
      </c>
      <c r="D42" s="40">
        <v>2.7895808</v>
      </c>
      <c r="E42" s="40">
        <v>20.144033</v>
      </c>
      <c r="F42" s="40">
        <v>17.304718000000001</v>
      </c>
      <c r="G42" s="40">
        <v>14.797651</v>
      </c>
      <c r="H42" s="40">
        <v>12.511563000000001</v>
      </c>
      <c r="I42" s="40">
        <v>24.073768999999999</v>
      </c>
      <c r="J42" s="40">
        <v>15.599644</v>
      </c>
      <c r="K42" s="47">
        <v>25.613748999999999</v>
      </c>
      <c r="L42" s="47">
        <v>26.326252</v>
      </c>
      <c r="M42" s="47">
        <v>13.227748999999999</v>
      </c>
      <c r="N42" s="47">
        <v>36.365734000000003</v>
      </c>
    </row>
    <row r="43" spans="1:14" x14ac:dyDescent="0.35">
      <c r="A43" s="2">
        <v>43168</v>
      </c>
      <c r="B43" s="40">
        <v>25.490283999999999</v>
      </c>
      <c r="C43" s="40">
        <v>11.661028999999999</v>
      </c>
      <c r="D43" s="40">
        <v>7.9732656000000004</v>
      </c>
      <c r="E43" s="40">
        <v>20.593606999999999</v>
      </c>
      <c r="F43" s="40">
        <v>20.500886999999999</v>
      </c>
      <c r="G43" s="40">
        <v>14.363372999999999</v>
      </c>
      <c r="H43" s="40">
        <v>15.981436</v>
      </c>
      <c r="I43" s="40">
        <v>33.552193000000003</v>
      </c>
      <c r="J43" s="40">
        <v>20.020163</v>
      </c>
      <c r="K43" s="47">
        <v>28.068280000000001</v>
      </c>
      <c r="L43" s="47">
        <v>26.626895999999999</v>
      </c>
      <c r="M43" s="47">
        <v>16.135131999999999</v>
      </c>
      <c r="N43" s="47">
        <v>36.285876999999999</v>
      </c>
    </row>
    <row r="44" spans="1:14" x14ac:dyDescent="0.35">
      <c r="A44" s="2">
        <v>43200</v>
      </c>
      <c r="B44" s="40">
        <v>24.200856999999999</v>
      </c>
      <c r="C44" s="40">
        <v>5.042529</v>
      </c>
      <c r="D44" s="40">
        <v>5.3943156999999999</v>
      </c>
      <c r="E44" s="40">
        <v>18.186724000000002</v>
      </c>
      <c r="F44" s="40">
        <v>20.269787000000001</v>
      </c>
      <c r="G44" s="40">
        <v>10.850524999999999</v>
      </c>
      <c r="H44" s="40">
        <v>16.086174</v>
      </c>
      <c r="I44" s="40">
        <v>23.171769999999999</v>
      </c>
      <c r="J44" s="40">
        <v>14.811361</v>
      </c>
      <c r="K44" s="47">
        <v>25.334513000000001</v>
      </c>
      <c r="L44" s="47">
        <v>24.076270999999998</v>
      </c>
      <c r="M44" s="47">
        <v>11.18685</v>
      </c>
      <c r="N44" s="47">
        <v>35.640656</v>
      </c>
    </row>
    <row r="45" spans="1:14" x14ac:dyDescent="0.35">
      <c r="A45" s="2">
        <v>43230</v>
      </c>
      <c r="B45" s="40">
        <v>15.641546</v>
      </c>
      <c r="C45" s="40">
        <v>9.5010394999999992</v>
      </c>
      <c r="D45" s="40">
        <v>12.455439999999999</v>
      </c>
      <c r="E45" s="40">
        <v>11.876035</v>
      </c>
      <c r="F45" s="40">
        <v>17.644024000000002</v>
      </c>
      <c r="G45" s="40">
        <v>3.3411384000000002</v>
      </c>
      <c r="H45" s="40">
        <v>12.641454</v>
      </c>
      <c r="I45" s="40">
        <v>23.623169000000001</v>
      </c>
      <c r="J45" s="40">
        <v>15.561686999999999</v>
      </c>
      <c r="K45" s="47">
        <v>16.371738000000001</v>
      </c>
      <c r="L45" s="47">
        <v>13.521803</v>
      </c>
      <c r="M45" s="47">
        <v>6.0974599999999999</v>
      </c>
      <c r="N45" s="47">
        <v>23.709833</v>
      </c>
    </row>
    <row r="46" spans="1:14" x14ac:dyDescent="0.35">
      <c r="A46" s="2">
        <v>43259</v>
      </c>
      <c r="B46" s="40">
        <v>15.865601</v>
      </c>
      <c r="C46" s="40">
        <v>11.020374</v>
      </c>
      <c r="D46" s="40">
        <v>12.793577000000001</v>
      </c>
      <c r="E46" s="40">
        <v>5.4806112999999996</v>
      </c>
      <c r="F46" s="40">
        <v>12.939178</v>
      </c>
      <c r="G46" s="40">
        <v>-0.35451650000000001</v>
      </c>
      <c r="H46" s="40">
        <v>9.8753089999999997</v>
      </c>
      <c r="I46" s="40">
        <v>22.55789</v>
      </c>
      <c r="J46" s="40">
        <v>16.287337999999998</v>
      </c>
      <c r="K46" s="47">
        <v>12.005782</v>
      </c>
      <c r="L46" s="47">
        <v>10.677873999999999</v>
      </c>
      <c r="M46" s="47">
        <v>-0.2399087</v>
      </c>
      <c r="N46" s="47">
        <v>6.8599104999999998</v>
      </c>
    </row>
    <row r="47" spans="1:14" x14ac:dyDescent="0.35">
      <c r="A47" s="2">
        <v>43291</v>
      </c>
      <c r="B47" s="40">
        <v>10.985697</v>
      </c>
      <c r="C47" s="40">
        <v>11.793100000000001</v>
      </c>
      <c r="D47" s="40">
        <v>10.509717999999999</v>
      </c>
      <c r="E47" s="40">
        <v>4.4973609999999997</v>
      </c>
      <c r="F47" s="40">
        <v>10.924578</v>
      </c>
      <c r="G47" s="40">
        <v>0.16427040000000001</v>
      </c>
      <c r="H47" s="40">
        <v>11.011494000000001</v>
      </c>
      <c r="I47" s="40">
        <v>28.916191000000001</v>
      </c>
      <c r="J47" s="40">
        <v>17.217849999999999</v>
      </c>
      <c r="K47" s="47">
        <v>11.928165</v>
      </c>
      <c r="L47" s="47">
        <v>9.4965569999999992</v>
      </c>
      <c r="M47" s="47">
        <v>-3.4738720000000001</v>
      </c>
      <c r="N47" s="47">
        <v>8.4465029999999999</v>
      </c>
    </row>
    <row r="48" spans="1:14" x14ac:dyDescent="0.35">
      <c r="A48" s="2">
        <v>43322</v>
      </c>
      <c r="B48" s="40">
        <v>4.5278549999999997</v>
      </c>
      <c r="C48" s="40">
        <v>5.8793544999999998</v>
      </c>
      <c r="D48" s="40">
        <v>8.1340679999999992</v>
      </c>
      <c r="E48" s="40">
        <v>1.0410666</v>
      </c>
      <c r="F48" s="40">
        <v>7.7351929999999998</v>
      </c>
      <c r="G48" s="40">
        <v>2.3272037999999999</v>
      </c>
      <c r="H48" s="40">
        <v>5.3990125999999998</v>
      </c>
      <c r="I48" s="40">
        <v>29.037141999999999</v>
      </c>
      <c r="J48" s="40">
        <v>18.329657000000001</v>
      </c>
      <c r="K48" s="47">
        <v>6.2048435</v>
      </c>
      <c r="L48" s="47">
        <v>3.1421779999999999</v>
      </c>
      <c r="M48" s="47">
        <v>-2.9561579999999998</v>
      </c>
      <c r="N48" s="47">
        <v>-3.4802138999999999</v>
      </c>
    </row>
    <row r="49" spans="1:14" x14ac:dyDescent="0.35">
      <c r="A49" s="2">
        <v>43353</v>
      </c>
      <c r="B49" s="40">
        <v>4.0110109999999999</v>
      </c>
      <c r="C49" s="40">
        <v>-1.0294318</v>
      </c>
      <c r="D49" s="40">
        <v>1.5433908000000001</v>
      </c>
      <c r="E49" s="40">
        <v>-4.5749370000000003</v>
      </c>
      <c r="F49" s="40">
        <v>4.8360944000000003</v>
      </c>
      <c r="G49" s="40">
        <v>1.5910625</v>
      </c>
      <c r="H49" s="40">
        <v>0.59629679999999996</v>
      </c>
      <c r="I49" s="40">
        <v>27.030586</v>
      </c>
      <c r="J49" s="40">
        <v>19.017136000000001</v>
      </c>
      <c r="K49" s="47">
        <v>2.942574</v>
      </c>
      <c r="L49" s="47">
        <v>-0.47155023000000001</v>
      </c>
      <c r="M49" s="47">
        <v>-4.6454190000000004</v>
      </c>
      <c r="N49" s="47">
        <v>-5.6354227000000003</v>
      </c>
    </row>
    <row r="50" spans="1:14" x14ac:dyDescent="0.35">
      <c r="A50" s="2">
        <v>43383</v>
      </c>
      <c r="B50" s="40">
        <v>1.1964798000000001</v>
      </c>
      <c r="C50" s="40">
        <v>-2.9921769999999999</v>
      </c>
      <c r="D50" s="40">
        <v>-3.5611928000000002</v>
      </c>
      <c r="E50" s="40">
        <v>-11.80616</v>
      </c>
      <c r="F50" s="40">
        <v>3.5789013000000001</v>
      </c>
      <c r="G50" s="40">
        <v>-4.1460632999999998</v>
      </c>
      <c r="H50" s="40">
        <v>-2.8072894000000002</v>
      </c>
      <c r="I50" s="40">
        <v>17.242981</v>
      </c>
      <c r="J50" s="40">
        <v>11.291289000000001</v>
      </c>
      <c r="K50" s="47">
        <v>-3.4849226</v>
      </c>
      <c r="L50" s="47">
        <v>-8.0606460000000002</v>
      </c>
      <c r="M50" s="47">
        <v>-11.440664</v>
      </c>
      <c r="N50" s="47">
        <v>-12.771708</v>
      </c>
    </row>
    <row r="51" spans="1:14" x14ac:dyDescent="0.35">
      <c r="A51" s="2">
        <v>43413</v>
      </c>
      <c r="B51" s="40">
        <v>8.7897540000000003</v>
      </c>
      <c r="C51" s="40">
        <v>-4.4157386000000001</v>
      </c>
      <c r="D51" s="40">
        <v>-7.0441064999999998</v>
      </c>
      <c r="E51" s="40">
        <v>-14.032518</v>
      </c>
      <c r="F51" s="40">
        <v>-6.0759486999999996</v>
      </c>
      <c r="G51" s="40">
        <v>-0.27011633000000002</v>
      </c>
      <c r="H51" s="40">
        <v>-2.6892304</v>
      </c>
      <c r="I51" s="40">
        <v>12.459528000000001</v>
      </c>
      <c r="J51" s="40">
        <v>9.5479965</v>
      </c>
      <c r="K51" s="47">
        <v>-4.5847119999999997</v>
      </c>
      <c r="L51" s="47">
        <v>-5.8034540000000003</v>
      </c>
      <c r="M51" s="47">
        <v>-10.334550999999999</v>
      </c>
      <c r="N51" s="47">
        <v>-14.641463999999999</v>
      </c>
    </row>
    <row r="52" spans="1:14" x14ac:dyDescent="0.35">
      <c r="A52" s="2">
        <v>43444</v>
      </c>
      <c r="B52" s="40">
        <v>7.5091359999999998</v>
      </c>
      <c r="C52" s="40">
        <v>-7.6122465000000004</v>
      </c>
      <c r="D52" s="40">
        <v>-10.526854</v>
      </c>
      <c r="E52" s="40">
        <v>-21.027946</v>
      </c>
      <c r="F52" s="40">
        <v>-9.5555780000000006</v>
      </c>
      <c r="G52" s="40">
        <v>-5.6423782999999998</v>
      </c>
      <c r="H52" s="40">
        <v>-10.894924</v>
      </c>
      <c r="I52" s="40">
        <v>6.2211156000000001</v>
      </c>
      <c r="J52" s="40">
        <v>1.2694955000000001</v>
      </c>
      <c r="K52" s="47">
        <v>-12.10751</v>
      </c>
      <c r="L52" s="47">
        <v>-12.176681</v>
      </c>
      <c r="M52" s="47">
        <v>-12.694132</v>
      </c>
      <c r="N52" s="47">
        <v>-18.557483999999999</v>
      </c>
    </row>
    <row r="53" spans="1:14" x14ac:dyDescent="0.35">
      <c r="A53" s="2">
        <v>43475</v>
      </c>
      <c r="B53" s="40">
        <v>2.4958849999999999</v>
      </c>
      <c r="C53" s="40">
        <v>-8.5447369999999996</v>
      </c>
      <c r="D53" s="40">
        <v>-11.555547000000001</v>
      </c>
      <c r="E53" s="40">
        <v>-20.320827000000001</v>
      </c>
      <c r="F53" s="40">
        <v>-13.595563</v>
      </c>
      <c r="G53" s="40">
        <v>-6.6407860000000003</v>
      </c>
      <c r="H53" s="40">
        <v>-12.022966</v>
      </c>
      <c r="I53" s="40">
        <v>0.29529333000000002</v>
      </c>
      <c r="J53" s="40">
        <v>-3.7537098000000002</v>
      </c>
      <c r="K53" s="47">
        <v>-12.763035</v>
      </c>
      <c r="L53" s="47">
        <v>-13.907999</v>
      </c>
      <c r="M53" s="47">
        <v>-12.463856</v>
      </c>
      <c r="N53" s="47">
        <v>-16.519165000000001</v>
      </c>
    </row>
    <row r="54" spans="1:14" x14ac:dyDescent="0.35">
      <c r="A54" s="2">
        <v>43504</v>
      </c>
      <c r="B54" s="40">
        <v>7.8752994999999997</v>
      </c>
      <c r="C54" s="40">
        <v>0.75141190000000002</v>
      </c>
      <c r="D54" s="40">
        <v>0.72500706000000004</v>
      </c>
      <c r="E54" s="40">
        <v>-16.685766000000001</v>
      </c>
      <c r="F54" s="40">
        <v>-8.4214629999999993</v>
      </c>
      <c r="G54" s="40">
        <v>-1.4669179999999999</v>
      </c>
      <c r="H54" s="40">
        <v>-3.3157646999999999</v>
      </c>
      <c r="I54" s="40">
        <v>10.786009</v>
      </c>
      <c r="J54" s="40">
        <v>6.9914103000000001</v>
      </c>
      <c r="K54" s="47">
        <v>-7.1420726999999999</v>
      </c>
      <c r="L54" s="47">
        <v>-6.1896979999999999</v>
      </c>
      <c r="M54" s="47">
        <v>-7.2045383000000003</v>
      </c>
      <c r="N54" s="47">
        <v>-15.391427</v>
      </c>
    </row>
    <row r="55" spans="1:14" x14ac:dyDescent="0.35">
      <c r="A55" s="2">
        <v>43532</v>
      </c>
      <c r="B55" s="40">
        <v>5.685854</v>
      </c>
      <c r="C55" s="40">
        <v>-1.6926289000000001</v>
      </c>
      <c r="D55" s="40">
        <v>0.92998742999999995</v>
      </c>
      <c r="E55" s="40">
        <v>-15.730589999999999</v>
      </c>
      <c r="F55" s="40">
        <v>-10.393876000000001</v>
      </c>
      <c r="G55" s="40">
        <v>0.97546580000000005</v>
      </c>
      <c r="H55" s="40">
        <v>-2.9847085</v>
      </c>
      <c r="I55" s="40">
        <v>1.6327977</v>
      </c>
      <c r="J55" s="40">
        <v>2.0460606000000001</v>
      </c>
      <c r="K55" s="47">
        <v>-6.4367175000000003</v>
      </c>
      <c r="L55" s="47">
        <v>-8.7757699999999996</v>
      </c>
      <c r="M55" s="47">
        <v>-9.7338380000000004</v>
      </c>
      <c r="N55" s="47">
        <v>-14.065165</v>
      </c>
    </row>
    <row r="56" spans="1:14" x14ac:dyDescent="0.35">
      <c r="A56" s="2">
        <v>43565</v>
      </c>
      <c r="B56" s="40">
        <v>4.2906404</v>
      </c>
      <c r="C56" s="40">
        <v>2.3548244999999999</v>
      </c>
      <c r="D56" s="40">
        <v>3.7273645000000002</v>
      </c>
      <c r="E56" s="40">
        <v>-12.935209</v>
      </c>
      <c r="F56" s="40">
        <v>-7.7217817000000002</v>
      </c>
      <c r="G56" s="40">
        <v>5.9562564</v>
      </c>
      <c r="H56" s="40">
        <v>-1.9980252000000001</v>
      </c>
      <c r="I56" s="40">
        <v>16.051079000000001</v>
      </c>
      <c r="J56" s="40">
        <v>10.84857</v>
      </c>
      <c r="K56" s="47">
        <v>-4.1135073000000002</v>
      </c>
      <c r="L56" s="47">
        <v>-3.9905488</v>
      </c>
      <c r="M56" s="47">
        <v>0.14320611999999999</v>
      </c>
      <c r="N56" s="47">
        <v>-12.13274</v>
      </c>
    </row>
    <row r="57" spans="1:14" x14ac:dyDescent="0.35">
      <c r="A57" s="2">
        <v>43595</v>
      </c>
      <c r="B57" s="40">
        <v>11.012769</v>
      </c>
      <c r="C57" s="40">
        <v>0.47593117000000001</v>
      </c>
      <c r="D57" s="40">
        <v>-1.2591003999999999</v>
      </c>
      <c r="E57" s="40">
        <v>-12.577545000000001</v>
      </c>
      <c r="F57" s="40">
        <v>-9.7071830000000006</v>
      </c>
      <c r="G57" s="40">
        <v>6.6246390000000002</v>
      </c>
      <c r="H57" s="40">
        <v>-5.9817552999999997</v>
      </c>
      <c r="I57" s="40">
        <v>10.017609999999999</v>
      </c>
      <c r="J57" s="40">
        <v>7.9778314000000004</v>
      </c>
      <c r="K57" s="47">
        <v>-6.3528180000000001</v>
      </c>
      <c r="L57" s="47">
        <v>-1.9816041</v>
      </c>
      <c r="M57" s="47">
        <v>-6.7075253000000004</v>
      </c>
      <c r="N57" s="47">
        <v>-14.768988</v>
      </c>
    </row>
    <row r="58" spans="1:14" x14ac:dyDescent="0.35">
      <c r="A58" s="2">
        <v>43626</v>
      </c>
      <c r="B58" s="40">
        <v>4.4919969999999996</v>
      </c>
      <c r="C58" s="40">
        <v>3.3927320999999999</v>
      </c>
      <c r="D58" s="40">
        <v>-0.51698089999999997</v>
      </c>
      <c r="E58" s="40">
        <v>-11.2302065</v>
      </c>
      <c r="F58" s="40">
        <v>-8.8020029999999991</v>
      </c>
      <c r="G58" s="40">
        <v>14.168715499999999</v>
      </c>
      <c r="H58" s="40">
        <v>-5.8076676999999997</v>
      </c>
      <c r="I58" s="40">
        <v>5.9078929999999996</v>
      </c>
      <c r="J58" s="40">
        <v>5.9018015999999998</v>
      </c>
      <c r="K58" s="47">
        <v>-3.3882976</v>
      </c>
      <c r="L58" s="47">
        <v>-1.9168258</v>
      </c>
      <c r="M58" s="47">
        <v>-3.0161560000000001</v>
      </c>
      <c r="N58" s="47">
        <v>-4.0121675000000003</v>
      </c>
    </row>
    <row r="59" spans="1:14" x14ac:dyDescent="0.35">
      <c r="A59" s="2">
        <v>43656</v>
      </c>
      <c r="B59" s="40">
        <v>14.362038</v>
      </c>
      <c r="C59" s="40">
        <v>3.4971236999999999</v>
      </c>
      <c r="D59" s="40">
        <v>2.0696759999999998</v>
      </c>
      <c r="E59" s="40">
        <v>-7.888776</v>
      </c>
      <c r="F59" s="40">
        <v>-3.2381772999999998</v>
      </c>
      <c r="G59" s="40">
        <v>13.83996</v>
      </c>
      <c r="H59" s="40">
        <v>-4.2175473999999999</v>
      </c>
      <c r="I59" s="40">
        <v>9.5478769999999997</v>
      </c>
      <c r="J59" s="40">
        <v>9.1968300000000003</v>
      </c>
      <c r="K59" s="47">
        <v>0.10564327</v>
      </c>
      <c r="L59" s="47">
        <v>1.503396</v>
      </c>
      <c r="M59" s="47">
        <v>0.79121589999999997</v>
      </c>
      <c r="N59" s="47">
        <v>0.3545642</v>
      </c>
    </row>
    <row r="60" spans="1:14" x14ac:dyDescent="0.35">
      <c r="A60" s="2">
        <v>43686</v>
      </c>
      <c r="B60" s="40">
        <v>18.065548</v>
      </c>
      <c r="C60" s="40">
        <v>-0.32679439999999998</v>
      </c>
      <c r="D60" s="40">
        <v>-0.74894430000000001</v>
      </c>
      <c r="E60" s="40">
        <v>-11.941314</v>
      </c>
      <c r="F60" s="40">
        <v>-6.6238640000000002</v>
      </c>
      <c r="G60" s="40">
        <v>10.281897000000001</v>
      </c>
      <c r="H60" s="40">
        <v>-8.6152730000000002</v>
      </c>
      <c r="I60" s="40">
        <v>3.4176470000000001</v>
      </c>
      <c r="J60" s="40">
        <v>4.3325899999999997</v>
      </c>
      <c r="K60" s="47">
        <v>-3.6295771999999999</v>
      </c>
      <c r="L60" s="47">
        <v>-1.4509380000000001</v>
      </c>
      <c r="M60" s="47">
        <v>-8.0124855000000004</v>
      </c>
      <c r="N60" s="47">
        <v>-5.4775057</v>
      </c>
    </row>
    <row r="61" spans="1:14" x14ac:dyDescent="0.35">
      <c r="A61" s="2">
        <v>43718</v>
      </c>
      <c r="B61" s="40">
        <v>19.816552999999999</v>
      </c>
      <c r="C61" s="40">
        <v>9.364986</v>
      </c>
      <c r="D61" s="40">
        <v>4.8959729999999997</v>
      </c>
      <c r="E61" s="40">
        <v>-4.9578430000000004</v>
      </c>
      <c r="F61" s="40">
        <v>-0.90540050000000005</v>
      </c>
      <c r="G61" s="40">
        <v>12.034750000000001</v>
      </c>
      <c r="H61" s="40">
        <v>-1.3175428</v>
      </c>
      <c r="I61" s="40">
        <v>5.8295490000000001</v>
      </c>
      <c r="J61" s="40">
        <v>5.5398940000000003</v>
      </c>
      <c r="K61" s="47">
        <v>2.0680428000000002</v>
      </c>
      <c r="L61" s="47">
        <v>7.0507169999999997</v>
      </c>
      <c r="M61" s="47">
        <v>-3.1620621999999998</v>
      </c>
      <c r="N61" s="47">
        <v>3.6036253</v>
      </c>
    </row>
    <row r="62" spans="1:14" x14ac:dyDescent="0.35">
      <c r="A62" s="2">
        <v>43748</v>
      </c>
      <c r="B62" s="40">
        <v>18.650304999999999</v>
      </c>
      <c r="C62" s="40">
        <v>11.430346999999999</v>
      </c>
      <c r="D62" s="40">
        <v>5.6201695999999997</v>
      </c>
      <c r="E62" s="40">
        <v>-2.7841567999999999</v>
      </c>
      <c r="F62" s="40">
        <v>-0.40886998000000002</v>
      </c>
      <c r="G62" s="40">
        <v>14.800238999999999</v>
      </c>
      <c r="H62" s="40">
        <v>-1.6860782999999999</v>
      </c>
      <c r="I62" s="40">
        <v>10.859299</v>
      </c>
      <c r="J62" s="40">
        <v>7.4759602999999997</v>
      </c>
      <c r="K62" s="47">
        <v>4.5638439999999996</v>
      </c>
      <c r="L62" s="47">
        <v>12.350023</v>
      </c>
      <c r="M62" s="47">
        <v>-1.7525375000000001</v>
      </c>
      <c r="N62" s="47">
        <v>9.3605879999999999</v>
      </c>
    </row>
    <row r="63" spans="1:14" x14ac:dyDescent="0.35">
      <c r="A63" s="2">
        <v>43777</v>
      </c>
      <c r="B63" s="40">
        <v>14.683866500000001</v>
      </c>
      <c r="C63" s="40">
        <v>12.871325000000001</v>
      </c>
      <c r="D63" s="40">
        <v>11.904562</v>
      </c>
      <c r="E63" s="40">
        <v>8.4589239999999997</v>
      </c>
      <c r="F63" s="40">
        <v>9.4918370000000003</v>
      </c>
      <c r="G63" s="40">
        <v>17.979096999999999</v>
      </c>
      <c r="H63" s="40">
        <v>4.6800255999999996</v>
      </c>
      <c r="I63" s="40">
        <v>16.382921</v>
      </c>
      <c r="J63" s="40">
        <v>12.342119</v>
      </c>
      <c r="K63" s="47">
        <v>13.088882</v>
      </c>
      <c r="L63" s="47">
        <v>17.135238999999999</v>
      </c>
      <c r="M63" s="47">
        <v>11.129545999999999</v>
      </c>
      <c r="N63" s="47">
        <v>20.438862</v>
      </c>
    </row>
    <row r="64" spans="1:14" x14ac:dyDescent="0.35">
      <c r="A64" s="2">
        <v>43809</v>
      </c>
      <c r="B64" s="40">
        <v>22.295534</v>
      </c>
      <c r="C64" s="40">
        <v>18.884922</v>
      </c>
      <c r="D64" s="40">
        <v>18.425774000000001</v>
      </c>
      <c r="E64" s="40">
        <v>16.203033000000001</v>
      </c>
      <c r="F64" s="40">
        <v>15.394772</v>
      </c>
      <c r="G64" s="40">
        <v>24.362611999999999</v>
      </c>
      <c r="H64" s="40">
        <v>15.275299</v>
      </c>
      <c r="I64" s="40">
        <v>26.164042999999999</v>
      </c>
      <c r="J64" s="40">
        <v>21.104800999999998</v>
      </c>
      <c r="K64" s="47">
        <v>21.323967</v>
      </c>
      <c r="L64" s="47">
        <v>25.086545999999998</v>
      </c>
      <c r="M64" s="47">
        <v>18.141354</v>
      </c>
      <c r="N64" s="47">
        <v>22.240973</v>
      </c>
    </row>
    <row r="65" spans="1:14" x14ac:dyDescent="0.35">
      <c r="A65" s="2">
        <v>43840</v>
      </c>
      <c r="B65" s="40">
        <v>25.2195</v>
      </c>
      <c r="C65" s="40">
        <v>17.679082999999999</v>
      </c>
      <c r="D65" s="40">
        <v>19.079934999999999</v>
      </c>
      <c r="E65" s="40">
        <v>15.860701000000001</v>
      </c>
      <c r="F65" s="40">
        <v>13.680649000000001</v>
      </c>
      <c r="G65" s="40">
        <v>25.441265000000001</v>
      </c>
      <c r="H65" s="40">
        <v>14.845991</v>
      </c>
      <c r="I65" s="40">
        <v>36.549602999999998</v>
      </c>
      <c r="J65" s="40">
        <v>28.195381000000001</v>
      </c>
      <c r="K65" s="47">
        <v>22.237814</v>
      </c>
      <c r="L65" s="47">
        <v>27.431560000000001</v>
      </c>
      <c r="M65" s="47">
        <v>15.675902000000001</v>
      </c>
      <c r="N65" s="47">
        <v>20.115936000000001</v>
      </c>
    </row>
    <row r="66" spans="1:14" x14ac:dyDescent="0.35">
      <c r="A66" s="2">
        <v>43871</v>
      </c>
      <c r="B66" s="40">
        <v>19.955994</v>
      </c>
      <c r="C66" s="40">
        <v>13.549530000000001</v>
      </c>
      <c r="D66" s="40">
        <v>14.70077</v>
      </c>
      <c r="E66" s="40">
        <v>15.945137000000001</v>
      </c>
      <c r="F66" s="40">
        <v>15.022087000000001</v>
      </c>
      <c r="G66" s="40">
        <v>28.659306999999998</v>
      </c>
      <c r="H66" s="40">
        <v>7.8527927000000002</v>
      </c>
      <c r="I66" s="40">
        <v>38.750970000000002</v>
      </c>
      <c r="J66" s="40">
        <v>26.081253</v>
      </c>
      <c r="K66" s="47">
        <v>19.345497000000002</v>
      </c>
      <c r="L66" s="47">
        <v>22.866678</v>
      </c>
      <c r="M66" s="47">
        <v>19.275891999999999</v>
      </c>
      <c r="N66" s="47">
        <v>21.668887999999999</v>
      </c>
    </row>
    <row r="67" spans="1:14" x14ac:dyDescent="0.35">
      <c r="A67" s="2">
        <v>43900</v>
      </c>
      <c r="B67" s="40">
        <v>9.2440130000000007</v>
      </c>
      <c r="C67" s="40">
        <v>-7.2751640000000002</v>
      </c>
      <c r="D67" s="40">
        <v>-8.2993559999999995</v>
      </c>
      <c r="E67" s="40">
        <v>-6.2380969999999998</v>
      </c>
      <c r="F67" s="40">
        <v>-1.6066551</v>
      </c>
      <c r="G67" s="40">
        <v>11.733377000000001</v>
      </c>
      <c r="H67" s="40">
        <v>-12.05669</v>
      </c>
      <c r="I67" s="40">
        <v>20.225142999999999</v>
      </c>
      <c r="J67" s="40">
        <v>7.074535</v>
      </c>
      <c r="K67" s="47">
        <v>-5.1230849999999997</v>
      </c>
      <c r="L67" s="47">
        <v>3.8404346</v>
      </c>
      <c r="M67" s="47">
        <v>2.2567868</v>
      </c>
      <c r="N67" s="47">
        <v>-9.1746029999999994</v>
      </c>
    </row>
    <row r="68" spans="1:14" x14ac:dyDescent="0.35">
      <c r="A68" s="2">
        <v>43930</v>
      </c>
      <c r="B68" s="40">
        <v>-5.511469</v>
      </c>
      <c r="C68" s="40">
        <v>-19.717137999999998</v>
      </c>
      <c r="D68" s="40">
        <v>-16.062646999999998</v>
      </c>
      <c r="E68" s="40">
        <v>-14.388919</v>
      </c>
      <c r="F68" s="40">
        <v>-6.3684820000000002</v>
      </c>
      <c r="G68" s="40">
        <v>3.6839724</v>
      </c>
      <c r="H68" s="40">
        <v>-22.542137</v>
      </c>
      <c r="I68" s="40">
        <v>9.8089220000000008</v>
      </c>
      <c r="J68" s="40">
        <v>-1.1659801000000001</v>
      </c>
      <c r="K68" s="47">
        <v>-16.645605</v>
      </c>
      <c r="L68" s="47">
        <v>-7.4298023999999998</v>
      </c>
      <c r="M68" s="47">
        <v>-12.200265999999999</v>
      </c>
      <c r="N68" s="47">
        <v>-20.528275000000001</v>
      </c>
    </row>
    <row r="69" spans="1:14" x14ac:dyDescent="0.35">
      <c r="A69" s="2">
        <v>43959</v>
      </c>
      <c r="B69" s="40">
        <v>1.3747811000000001</v>
      </c>
      <c r="C69" s="40">
        <v>-17.706410999999999</v>
      </c>
      <c r="D69" s="40">
        <v>-10.530925</v>
      </c>
      <c r="E69" s="40">
        <v>-14.485491</v>
      </c>
      <c r="F69" s="40">
        <v>-1.1240779999999999</v>
      </c>
      <c r="G69" s="40">
        <v>6.4263104999999996</v>
      </c>
      <c r="H69" s="40">
        <v>-19.709365999999999</v>
      </c>
      <c r="I69" s="40">
        <v>22.075939999999999</v>
      </c>
      <c r="J69" s="40">
        <v>3.8134575000000002</v>
      </c>
      <c r="K69" s="47">
        <v>-16.311406999999999</v>
      </c>
      <c r="L69" s="47">
        <v>-3.877008</v>
      </c>
      <c r="M69" s="47">
        <v>-5.6687713000000004</v>
      </c>
      <c r="N69" s="47">
        <v>-21.05227</v>
      </c>
    </row>
    <row r="70" spans="1:14" x14ac:dyDescent="0.35">
      <c r="A70" s="2">
        <v>43992</v>
      </c>
      <c r="B70" s="40">
        <v>12.68779</v>
      </c>
      <c r="C70" s="40">
        <v>-5.4172935000000004</v>
      </c>
      <c r="D70" s="40">
        <v>-2.8934658</v>
      </c>
      <c r="E70" s="40">
        <v>3.4769416</v>
      </c>
      <c r="F70" s="40">
        <v>7.6013089999999996</v>
      </c>
      <c r="G70" s="40">
        <v>8.6312529999999992</v>
      </c>
      <c r="H70" s="40">
        <v>-12.533199</v>
      </c>
      <c r="I70" s="40">
        <v>35.584449999999997</v>
      </c>
      <c r="J70" s="40">
        <v>12.677706000000001</v>
      </c>
      <c r="K70" s="47">
        <v>-3.9954662000000001</v>
      </c>
      <c r="L70" s="47">
        <v>8.5771920000000001</v>
      </c>
      <c r="M70" s="47">
        <v>9.2108135000000004</v>
      </c>
      <c r="N70" s="47">
        <v>-5.1196039999999998</v>
      </c>
    </row>
    <row r="71" spans="1:14" x14ac:dyDescent="0.35">
      <c r="A71" s="2">
        <v>44022</v>
      </c>
      <c r="B71" s="40">
        <v>8.9002850000000002</v>
      </c>
      <c r="C71" s="40">
        <v>-9.6920970000000004</v>
      </c>
      <c r="D71" s="40">
        <v>-7.5025854000000001</v>
      </c>
      <c r="E71" s="40">
        <v>2.2453189999999998</v>
      </c>
      <c r="F71" s="40">
        <v>3.5203695000000002</v>
      </c>
      <c r="G71" s="40">
        <v>9.8785640000000008</v>
      </c>
      <c r="H71" s="40">
        <v>-16.590617999999999</v>
      </c>
      <c r="I71" s="40">
        <v>38.187862000000003</v>
      </c>
      <c r="J71" s="40">
        <v>8.5103399999999993</v>
      </c>
      <c r="K71" s="47">
        <v>-7.9635619999999996</v>
      </c>
      <c r="L71" s="47">
        <v>11.679733000000001</v>
      </c>
      <c r="M71" s="47">
        <v>7.8163147000000004</v>
      </c>
      <c r="N71" s="47">
        <v>-10.991358999999999</v>
      </c>
    </row>
    <row r="72" spans="1:14" x14ac:dyDescent="0.35">
      <c r="A72" s="2">
        <v>44053</v>
      </c>
      <c r="B72" s="40">
        <v>12.943077000000001</v>
      </c>
      <c r="C72" s="40">
        <v>-0.72736144000000003</v>
      </c>
      <c r="D72" s="40">
        <v>2.2458434</v>
      </c>
      <c r="E72" s="40">
        <v>12.312592</v>
      </c>
      <c r="F72" s="40">
        <v>7.1396946999999997</v>
      </c>
      <c r="G72" s="40">
        <v>11.489737</v>
      </c>
      <c r="H72" s="40">
        <v>-8.4813829999999992</v>
      </c>
      <c r="I72" s="40">
        <v>46.112704999999998</v>
      </c>
      <c r="J72" s="40">
        <v>17.401717999999999</v>
      </c>
      <c r="K72" s="47">
        <v>-0.92303749999999996</v>
      </c>
      <c r="L72" s="47">
        <v>16.600777000000001</v>
      </c>
      <c r="M72" s="47">
        <v>25.435375000000001</v>
      </c>
      <c r="N72" s="47">
        <v>0.41553973999999999</v>
      </c>
    </row>
    <row r="73" spans="1:14" x14ac:dyDescent="0.35">
      <c r="A73" s="2">
        <v>44084</v>
      </c>
      <c r="B73" s="40">
        <v>9.4722390000000001</v>
      </c>
      <c r="C73" s="40">
        <v>-7.3967934</v>
      </c>
      <c r="D73" s="40">
        <v>-1.0617255999999999</v>
      </c>
      <c r="E73" s="40">
        <v>12.017702999999999</v>
      </c>
      <c r="F73" s="40">
        <v>6.5136789999999998</v>
      </c>
      <c r="G73" s="40">
        <v>12.537646000000001</v>
      </c>
      <c r="H73" s="40">
        <v>-14.51487</v>
      </c>
      <c r="I73" s="40">
        <v>44.005405000000003</v>
      </c>
      <c r="J73" s="40">
        <v>14.263189000000001</v>
      </c>
      <c r="K73" s="47">
        <v>-2.2864878000000002</v>
      </c>
      <c r="L73" s="47">
        <v>12.255526</v>
      </c>
      <c r="M73" s="47">
        <v>21.514904000000001</v>
      </c>
      <c r="N73" s="47">
        <v>-6.2696037000000002</v>
      </c>
    </row>
    <row r="74" spans="1:14" x14ac:dyDescent="0.35">
      <c r="A74" s="2">
        <v>44113</v>
      </c>
      <c r="B74" s="40">
        <v>20.517624000000001</v>
      </c>
      <c r="C74" s="40">
        <v>-0.68635345000000003</v>
      </c>
      <c r="D74" s="40">
        <v>4.0280339999999999</v>
      </c>
      <c r="E74" s="40">
        <v>15.543151</v>
      </c>
      <c r="F74" s="40">
        <v>7.3044896000000001</v>
      </c>
      <c r="G74" s="40">
        <v>16.144062000000002</v>
      </c>
      <c r="H74" s="40">
        <v>-10.074597000000001</v>
      </c>
      <c r="I74" s="40">
        <v>53.739834000000002</v>
      </c>
      <c r="J74" s="40">
        <v>21.422768000000001</v>
      </c>
      <c r="K74" s="47">
        <v>-0.43291449999999998</v>
      </c>
      <c r="L74" s="47">
        <v>20.052123999999999</v>
      </c>
      <c r="M74" s="47">
        <v>29.537845999999998</v>
      </c>
      <c r="N74" s="47">
        <v>-4.81236</v>
      </c>
    </row>
    <row r="75" spans="1:14" x14ac:dyDescent="0.35">
      <c r="A75" s="2">
        <v>44145</v>
      </c>
      <c r="B75" s="40">
        <v>25.595402</v>
      </c>
      <c r="C75" s="40">
        <v>0.14734268</v>
      </c>
      <c r="D75" s="40">
        <v>0.47869682000000002</v>
      </c>
      <c r="E75" s="40">
        <v>3.5149574000000001</v>
      </c>
      <c r="F75" s="40">
        <v>7.3770404000000003</v>
      </c>
      <c r="G75" s="40">
        <v>10.603892999999999</v>
      </c>
      <c r="H75" s="40">
        <v>-10.870051</v>
      </c>
      <c r="I75" s="40">
        <v>41.897320000000001</v>
      </c>
      <c r="J75" s="40">
        <v>16.850985000000001</v>
      </c>
      <c r="K75" s="47">
        <v>0.99507570000000001</v>
      </c>
      <c r="L75" s="47">
        <v>16.053246999999999</v>
      </c>
      <c r="M75" s="47">
        <v>19.893287999999998</v>
      </c>
      <c r="N75" s="47">
        <v>-7.0800961999999998</v>
      </c>
    </row>
    <row r="76" spans="1:14" x14ac:dyDescent="0.35">
      <c r="A76" s="2">
        <v>44175</v>
      </c>
      <c r="B76" s="40">
        <v>22.802782000000001</v>
      </c>
      <c r="C76" s="40">
        <v>9.8656889999999997</v>
      </c>
      <c r="D76" s="40">
        <v>9.6807960000000008</v>
      </c>
      <c r="E76" s="40">
        <v>9.4543339999999993</v>
      </c>
      <c r="F76" s="40">
        <v>11.337566000000001</v>
      </c>
      <c r="G76" s="40">
        <v>13.09408</v>
      </c>
      <c r="H76" s="40">
        <v>-6.8385420000000003</v>
      </c>
      <c r="I76" s="40">
        <v>49.476624000000001</v>
      </c>
      <c r="J76" s="40">
        <v>19.267344999999999</v>
      </c>
      <c r="K76" s="47">
        <v>6.1295390000000003</v>
      </c>
      <c r="L76" s="47">
        <v>23.546552999999999</v>
      </c>
      <c r="M76" s="47">
        <v>25.508379999999999</v>
      </c>
      <c r="N76" s="47">
        <v>3.2683610000000001</v>
      </c>
    </row>
    <row r="77" spans="1:14" x14ac:dyDescent="0.35">
      <c r="A77" s="2">
        <v>44204</v>
      </c>
      <c r="B77" s="40">
        <v>24.285077999999999</v>
      </c>
      <c r="C77" s="40">
        <v>11.848295</v>
      </c>
      <c r="D77" s="40">
        <v>9.5367549999999994</v>
      </c>
      <c r="E77" s="40">
        <v>13.907289499999999</v>
      </c>
      <c r="F77" s="40">
        <v>17.807805999999999</v>
      </c>
      <c r="G77" s="40">
        <v>13.487207</v>
      </c>
      <c r="H77" s="40">
        <v>-5.2054461999999999</v>
      </c>
      <c r="I77" s="40">
        <v>47.965049999999998</v>
      </c>
      <c r="J77" s="40">
        <v>19.746172000000001</v>
      </c>
      <c r="K77" s="47">
        <v>6.7900539999999996</v>
      </c>
      <c r="L77" s="47">
        <v>28.189968</v>
      </c>
      <c r="M77" s="47">
        <v>27.832961999999998</v>
      </c>
      <c r="N77" s="47">
        <v>4.4243573999999999</v>
      </c>
    </row>
    <row r="78" spans="1:14" x14ac:dyDescent="0.35">
      <c r="A78" s="2">
        <v>44237</v>
      </c>
      <c r="B78" s="40">
        <v>19.877051999999999</v>
      </c>
      <c r="C78" s="40">
        <v>12.501287</v>
      </c>
      <c r="D78" s="40">
        <v>10.829902000000001</v>
      </c>
      <c r="E78" s="40">
        <v>13.933134000000001</v>
      </c>
      <c r="F78" s="40">
        <v>20.516086999999999</v>
      </c>
      <c r="G78" s="40">
        <v>9.5454329999999992</v>
      </c>
      <c r="H78" s="40">
        <v>-5.7234945000000002</v>
      </c>
      <c r="I78" s="40">
        <v>44.468665999999999</v>
      </c>
      <c r="J78" s="40">
        <v>18.771457999999999</v>
      </c>
      <c r="K78" s="47">
        <v>6.2311290000000001</v>
      </c>
      <c r="L78" s="47">
        <v>31.569839999999999</v>
      </c>
      <c r="M78" s="47">
        <v>27.166916000000001</v>
      </c>
      <c r="N78" s="47">
        <v>4.2675495000000003</v>
      </c>
    </row>
    <row r="79" spans="1:14" x14ac:dyDescent="0.35">
      <c r="A79" s="2">
        <v>44265</v>
      </c>
      <c r="B79" s="40">
        <v>21.333037999999998</v>
      </c>
      <c r="C79" s="40">
        <v>35.089325000000002</v>
      </c>
      <c r="D79" s="40">
        <v>40.841354000000003</v>
      </c>
      <c r="E79" s="40">
        <v>37.880431999999999</v>
      </c>
      <c r="F79" s="40">
        <v>34.600876</v>
      </c>
      <c r="G79" s="40">
        <v>19.050239999999999</v>
      </c>
      <c r="H79" s="40">
        <v>19.207191000000002</v>
      </c>
      <c r="I79" s="40">
        <v>53.396680000000003</v>
      </c>
      <c r="J79" s="40">
        <v>37.644672</v>
      </c>
      <c r="K79" s="47">
        <v>32.391261999999998</v>
      </c>
      <c r="L79" s="47">
        <v>53.930390000000003</v>
      </c>
      <c r="M79" s="47">
        <v>55.671275999999999</v>
      </c>
      <c r="N79" s="47">
        <v>36.291694999999997</v>
      </c>
    </row>
    <row r="80" spans="1:14" x14ac:dyDescent="0.35">
      <c r="A80" s="2">
        <v>44295</v>
      </c>
      <c r="B80" s="40">
        <v>38.204967000000003</v>
      </c>
      <c r="C80" s="40">
        <v>57.05415</v>
      </c>
      <c r="D80" s="40">
        <v>54.997109999999999</v>
      </c>
      <c r="E80" s="40">
        <v>53.651429999999998</v>
      </c>
      <c r="F80" s="40">
        <v>39.943919999999999</v>
      </c>
      <c r="G80" s="40">
        <v>29.537223999999998</v>
      </c>
      <c r="H80" s="40">
        <v>31.933605</v>
      </c>
      <c r="I80" s="40">
        <v>68.880775</v>
      </c>
      <c r="J80" s="40">
        <v>50.297927999999999</v>
      </c>
      <c r="K80" s="47">
        <v>49.798920000000003</v>
      </c>
      <c r="L80" s="47">
        <v>75.711039999999997</v>
      </c>
      <c r="M80" s="47">
        <v>78.848519999999994</v>
      </c>
      <c r="N80" s="47">
        <v>50.167538</v>
      </c>
    </row>
    <row r="81" spans="1:14" x14ac:dyDescent="0.35">
      <c r="A81" s="2">
        <v>44326</v>
      </c>
      <c r="B81" s="40">
        <v>31.217348000000001</v>
      </c>
      <c r="C81" s="40">
        <v>62.286079999999998</v>
      </c>
      <c r="D81" s="40">
        <v>53.281128000000002</v>
      </c>
      <c r="E81" s="40">
        <v>52.345657000000003</v>
      </c>
      <c r="F81" s="40">
        <v>33.253300000000003</v>
      </c>
      <c r="G81" s="40">
        <v>28.429625999999999</v>
      </c>
      <c r="H81" s="40">
        <v>37.391292999999997</v>
      </c>
      <c r="I81" s="40">
        <v>45.776535000000003</v>
      </c>
      <c r="J81" s="40">
        <v>45.220529999999997</v>
      </c>
      <c r="K81" s="47">
        <v>57.471359999999997</v>
      </c>
      <c r="L81" s="47">
        <v>68.122569999999996</v>
      </c>
      <c r="M81" s="47">
        <v>74.633340000000004</v>
      </c>
      <c r="N81" s="47">
        <v>60.196376999999998</v>
      </c>
    </row>
    <row r="82" spans="1:14" x14ac:dyDescent="0.35">
      <c r="A82" s="2">
        <v>44357</v>
      </c>
      <c r="B82" s="40">
        <v>14.619911</v>
      </c>
      <c r="C82" s="40">
        <v>38.002513999999998</v>
      </c>
      <c r="D82" s="40">
        <v>45.512700000000002</v>
      </c>
      <c r="E82" s="40">
        <v>31.446802000000002</v>
      </c>
      <c r="F82" s="40">
        <v>21.789121999999999</v>
      </c>
      <c r="G82" s="40">
        <v>29.020536</v>
      </c>
      <c r="H82" s="40">
        <v>27.317333000000001</v>
      </c>
      <c r="I82" s="40">
        <v>39.092742999999999</v>
      </c>
      <c r="J82" s="40">
        <v>34.935547</v>
      </c>
      <c r="K82" s="47">
        <v>40.096831999999999</v>
      </c>
      <c r="L82" s="47">
        <v>54.8277</v>
      </c>
      <c r="M82" s="47">
        <v>56.228233000000003</v>
      </c>
      <c r="N82" s="47">
        <v>39.573036000000002</v>
      </c>
    </row>
    <row r="83" spans="1:14" x14ac:dyDescent="0.35">
      <c r="A83" s="2">
        <v>44386</v>
      </c>
      <c r="B83" s="40">
        <v>10.754860000000001</v>
      </c>
      <c r="C83" s="40">
        <v>37.603316999999997</v>
      </c>
      <c r="D83" s="40">
        <v>46.558059999999998</v>
      </c>
      <c r="E83" s="40">
        <v>29.494976000000001</v>
      </c>
      <c r="F83" s="40">
        <v>25.662600999999999</v>
      </c>
      <c r="G83" s="40">
        <v>26.042128000000002</v>
      </c>
      <c r="H83" s="40">
        <v>32.492935000000003</v>
      </c>
      <c r="I83" s="40">
        <v>38.476405999999997</v>
      </c>
      <c r="J83" s="40">
        <v>40.612377000000002</v>
      </c>
      <c r="K83" s="47">
        <v>39.728749999999998</v>
      </c>
      <c r="L83" s="47">
        <v>44.115270000000002</v>
      </c>
      <c r="M83" s="47">
        <v>51.862845999999998</v>
      </c>
      <c r="N83" s="47">
        <v>34.666156999999998</v>
      </c>
    </row>
    <row r="84" spans="1:14" x14ac:dyDescent="0.35">
      <c r="A84" s="2">
        <v>44418</v>
      </c>
      <c r="B84" s="40">
        <v>6.6688419999999997</v>
      </c>
      <c r="C84" s="40">
        <v>30.881428</v>
      </c>
      <c r="D84" s="40">
        <v>36.195037999999997</v>
      </c>
      <c r="E84" s="40">
        <v>22.483194000000001</v>
      </c>
      <c r="F84" s="40">
        <v>21.886455999999999</v>
      </c>
      <c r="G84" s="40">
        <v>24.820340000000002</v>
      </c>
      <c r="H84" s="40">
        <v>28.780687</v>
      </c>
      <c r="I84" s="40">
        <v>36.480510000000002</v>
      </c>
      <c r="J84" s="40">
        <v>33.898949999999999</v>
      </c>
      <c r="K84" s="47">
        <v>37.750602999999998</v>
      </c>
      <c r="L84" s="47">
        <v>47.170403</v>
      </c>
      <c r="M84" s="47">
        <v>41.703519999999997</v>
      </c>
      <c r="N84" s="47">
        <v>32.245148</v>
      </c>
    </row>
    <row r="85" spans="1:14" x14ac:dyDescent="0.35">
      <c r="A85" s="2">
        <v>44449</v>
      </c>
      <c r="B85" s="40">
        <v>10.965764999999999</v>
      </c>
      <c r="C85" s="40">
        <v>32.238532999999997</v>
      </c>
      <c r="D85" s="40">
        <v>36.468220000000002</v>
      </c>
      <c r="E85" s="40">
        <v>17.926407000000001</v>
      </c>
      <c r="F85" s="40">
        <v>27.390718</v>
      </c>
      <c r="G85" s="40">
        <v>20.486640000000001</v>
      </c>
      <c r="H85" s="40">
        <v>30.877030000000001</v>
      </c>
      <c r="I85" s="40">
        <v>39.063583000000001</v>
      </c>
      <c r="J85" s="40">
        <v>35.41169</v>
      </c>
      <c r="K85" s="47">
        <v>34.803783000000003</v>
      </c>
      <c r="L85" s="47">
        <v>53.066372000000001</v>
      </c>
      <c r="M85" s="47">
        <v>38.947166000000003</v>
      </c>
      <c r="N85" s="47">
        <v>29.371489</v>
      </c>
    </row>
    <row r="86" spans="1:14" x14ac:dyDescent="0.35">
      <c r="A86" s="2">
        <v>44477</v>
      </c>
      <c r="B86" s="40">
        <v>4.4959188000000001</v>
      </c>
      <c r="C86" s="40">
        <v>25.877953000000002</v>
      </c>
      <c r="D86" s="40">
        <v>34.985849999999999</v>
      </c>
      <c r="E86" s="40">
        <v>12.202013000000001</v>
      </c>
      <c r="F86" s="40">
        <v>15.395951</v>
      </c>
      <c r="G86" s="40">
        <v>16.3324</v>
      </c>
      <c r="H86" s="40">
        <v>29.070377000000001</v>
      </c>
      <c r="I86" s="40">
        <v>29.026115000000001</v>
      </c>
      <c r="J86" s="40">
        <v>29.173220000000001</v>
      </c>
      <c r="K86" s="47">
        <v>32.328487000000003</v>
      </c>
      <c r="L86" s="47">
        <v>38.260615999999999</v>
      </c>
      <c r="M86" s="47">
        <v>27.569199000000001</v>
      </c>
      <c r="N86" s="47">
        <v>30.912852999999998</v>
      </c>
    </row>
    <row r="87" spans="1:14" x14ac:dyDescent="0.35">
      <c r="A87" s="2">
        <v>44510</v>
      </c>
      <c r="B87" s="40">
        <v>-0.64839124999999997</v>
      </c>
      <c r="C87" s="40">
        <v>20.495664999999999</v>
      </c>
      <c r="D87" s="40">
        <v>39.073836999999997</v>
      </c>
      <c r="E87" s="40">
        <v>17.736422999999998</v>
      </c>
      <c r="F87" s="40">
        <v>10.089123000000001</v>
      </c>
      <c r="G87" s="40">
        <v>22.830259999999999</v>
      </c>
      <c r="H87" s="40">
        <v>21.977806000000001</v>
      </c>
      <c r="I87" s="40">
        <v>38.167416000000003</v>
      </c>
      <c r="J87" s="40">
        <v>32.809044</v>
      </c>
      <c r="K87" s="47">
        <v>27.534521000000002</v>
      </c>
      <c r="L87" s="47">
        <v>40.495669999999997</v>
      </c>
      <c r="M87" s="47">
        <v>30.020596000000001</v>
      </c>
      <c r="N87" s="47">
        <v>27.853225999999999</v>
      </c>
    </row>
    <row r="88" spans="1:14" x14ac:dyDescent="0.35">
      <c r="A88" s="2">
        <v>44540</v>
      </c>
      <c r="B88" s="40">
        <v>-10.822701</v>
      </c>
      <c r="C88" s="40">
        <v>8.1683400000000006</v>
      </c>
      <c r="D88" s="40">
        <v>22.643148</v>
      </c>
      <c r="E88" s="40">
        <v>7.7617526000000003</v>
      </c>
      <c r="F88" s="40">
        <v>5.1548360000000004</v>
      </c>
      <c r="G88" s="40">
        <v>20.056056999999999</v>
      </c>
      <c r="H88" s="40">
        <v>14.490890500000001</v>
      </c>
      <c r="I88" s="40">
        <v>32.268810000000002</v>
      </c>
      <c r="J88" s="40">
        <v>30.182456999999999</v>
      </c>
      <c r="K88" s="47">
        <v>19.113613000000001</v>
      </c>
      <c r="L88" s="47">
        <v>23.570309999999999</v>
      </c>
      <c r="M88" s="47">
        <v>20.441675</v>
      </c>
      <c r="N88" s="47">
        <v>13.712776</v>
      </c>
    </row>
    <row r="89" spans="1:14" x14ac:dyDescent="0.35">
      <c r="A89" s="2">
        <v>44571</v>
      </c>
      <c r="B89" s="40">
        <v>-15.889673999999999</v>
      </c>
      <c r="C89" s="40">
        <v>3.3961177</v>
      </c>
      <c r="D89" s="40">
        <v>21.152473000000001</v>
      </c>
      <c r="E89" s="40">
        <v>2.2362470000000001</v>
      </c>
      <c r="F89" s="40">
        <v>-2.0237207000000001</v>
      </c>
      <c r="G89" s="40">
        <v>13.762926999999999</v>
      </c>
      <c r="H89" s="40">
        <v>13.246668</v>
      </c>
      <c r="I89" s="40">
        <v>19.720099999999999</v>
      </c>
      <c r="J89" s="40">
        <v>23.740981999999999</v>
      </c>
      <c r="K89" s="47">
        <v>17.449987</v>
      </c>
      <c r="L89" s="47">
        <v>13.613737</v>
      </c>
      <c r="M89" s="47">
        <v>12.594199</v>
      </c>
      <c r="N89" s="47">
        <v>11.750627</v>
      </c>
    </row>
    <row r="90" spans="1:14" x14ac:dyDescent="0.35">
      <c r="A90" s="2">
        <v>44602</v>
      </c>
      <c r="B90" s="40">
        <v>-14.930844</v>
      </c>
      <c r="C90" s="40">
        <v>0.78765154000000004</v>
      </c>
      <c r="D90" s="40">
        <v>21.081959999999999</v>
      </c>
      <c r="E90" s="40">
        <v>1.6023517</v>
      </c>
      <c r="F90" s="40">
        <v>-6.9611014999999998</v>
      </c>
      <c r="G90" s="40">
        <v>10.579801</v>
      </c>
      <c r="H90" s="40">
        <v>20.299710000000001</v>
      </c>
      <c r="I90" s="40">
        <v>8.2369570000000003</v>
      </c>
      <c r="J90" s="40">
        <v>16.736816000000001</v>
      </c>
      <c r="K90" s="47">
        <v>18.176437</v>
      </c>
      <c r="L90" s="47">
        <v>5.747509</v>
      </c>
      <c r="M90" s="47">
        <v>4.8214196999999999</v>
      </c>
      <c r="N90" s="47">
        <v>10.549759999999999</v>
      </c>
    </row>
    <row r="91" spans="1:14" x14ac:dyDescent="0.35">
      <c r="A91" s="2">
        <v>44630</v>
      </c>
      <c r="B91" s="40">
        <v>-10.683745</v>
      </c>
      <c r="C91" s="40">
        <v>3.5757660000000002</v>
      </c>
      <c r="D91" s="40">
        <v>16.960917999999999</v>
      </c>
      <c r="E91" s="40">
        <v>-16.838747000000001</v>
      </c>
      <c r="F91" s="40">
        <v>-11.18375</v>
      </c>
      <c r="G91" s="40">
        <v>6.0406684999999998</v>
      </c>
      <c r="H91" s="40">
        <v>4.8860073000000002</v>
      </c>
      <c r="I91" s="40">
        <v>7.0726633000000003</v>
      </c>
      <c r="J91" s="40">
        <v>10.684882999999999</v>
      </c>
      <c r="K91" s="47">
        <v>-2.7191640000000001</v>
      </c>
      <c r="L91" s="47">
        <v>-11.261392000000001</v>
      </c>
      <c r="M91" s="47">
        <v>-14.025092000000001</v>
      </c>
      <c r="N91" s="47">
        <v>-10.545719</v>
      </c>
    </row>
    <row r="92" spans="1:14" x14ac:dyDescent="0.35">
      <c r="A92" s="2">
        <v>44659</v>
      </c>
      <c r="B92" s="40">
        <v>-11.181438</v>
      </c>
      <c r="C92" s="40">
        <v>9.4609020000000008</v>
      </c>
      <c r="D92" s="40">
        <v>16.290188000000001</v>
      </c>
      <c r="E92" s="40">
        <v>-17.716902000000001</v>
      </c>
      <c r="F92" s="40">
        <v>-12.326789</v>
      </c>
      <c r="G92" s="40">
        <v>10.346270000000001</v>
      </c>
      <c r="H92" s="40">
        <v>10.944664</v>
      </c>
      <c r="I92" s="40">
        <v>4.7014950000000004</v>
      </c>
      <c r="J92" s="40">
        <v>11.010349</v>
      </c>
      <c r="K92" s="47">
        <v>-1.3968765999999999</v>
      </c>
      <c r="L92" s="47">
        <v>-13.505405</v>
      </c>
      <c r="M92" s="47">
        <v>-11.348539000000001</v>
      </c>
      <c r="N92" s="47">
        <v>-5.9240874999999997</v>
      </c>
    </row>
    <row r="93" spans="1:14" x14ac:dyDescent="0.35">
      <c r="A93" s="2">
        <v>44691</v>
      </c>
      <c r="B93" s="40">
        <v>-26.615597000000001</v>
      </c>
      <c r="C93" s="40">
        <v>-8.6982610000000005</v>
      </c>
      <c r="D93" s="40">
        <v>-2.6505529999999999</v>
      </c>
      <c r="E93" s="40">
        <v>-26.199223</v>
      </c>
      <c r="F93" s="40">
        <v>-18.292432999999999</v>
      </c>
      <c r="G93" s="40">
        <v>-5.5801033999999996</v>
      </c>
      <c r="H93" s="40">
        <v>-4.6598490000000004</v>
      </c>
      <c r="I93" s="40">
        <v>-7.2291192999999998</v>
      </c>
      <c r="J93" s="40">
        <v>-3.2451449999999999</v>
      </c>
      <c r="K93" s="47">
        <v>-13.080907</v>
      </c>
      <c r="L93" s="47">
        <v>-24.069929999999999</v>
      </c>
      <c r="M93" s="47">
        <v>-26.679061999999998</v>
      </c>
      <c r="N93" s="47">
        <v>-16.558873999999999</v>
      </c>
    </row>
    <row r="94" spans="1:14" x14ac:dyDescent="0.35">
      <c r="A94" s="2">
        <v>44722</v>
      </c>
      <c r="B94" s="40">
        <v>-24.374669999999998</v>
      </c>
      <c r="C94" s="40">
        <v>-11.347616</v>
      </c>
      <c r="D94" s="40">
        <v>-2.3698807</v>
      </c>
      <c r="E94" s="40">
        <v>-27.290289999999999</v>
      </c>
      <c r="F94" s="40">
        <v>-18.492858999999999</v>
      </c>
      <c r="G94" s="40">
        <v>-15.384740000000001</v>
      </c>
      <c r="H94" s="40">
        <v>-3.6018848000000001</v>
      </c>
      <c r="I94" s="40">
        <v>-14.725161</v>
      </c>
      <c r="J94" s="40">
        <v>-6.7623195999999997</v>
      </c>
      <c r="K94" s="47">
        <v>-14.872372</v>
      </c>
      <c r="L94" s="47">
        <v>-25.249928000000001</v>
      </c>
      <c r="M94" s="47">
        <v>-26.689630000000001</v>
      </c>
      <c r="N94" s="47">
        <v>-21.457280000000001</v>
      </c>
    </row>
    <row r="95" spans="1:14" x14ac:dyDescent="0.35">
      <c r="A95" s="2">
        <v>44750</v>
      </c>
      <c r="B95" s="40">
        <v>-23.475193000000001</v>
      </c>
      <c r="C95" s="40">
        <v>-11.172563</v>
      </c>
      <c r="D95" s="40">
        <v>-6.1022400000000001</v>
      </c>
      <c r="E95" s="40">
        <v>-31.294143999999999</v>
      </c>
      <c r="F95" s="40">
        <v>-17.518312000000002</v>
      </c>
      <c r="G95" s="40">
        <v>-13.926906000000001</v>
      </c>
      <c r="H95" s="40">
        <v>-5.1102040000000004</v>
      </c>
      <c r="I95" s="40">
        <v>-17.220234000000001</v>
      </c>
      <c r="J95" s="40">
        <v>-8.5191359999999996</v>
      </c>
      <c r="K95" s="47">
        <v>-15.783858</v>
      </c>
      <c r="L95" s="47">
        <v>-25.740265000000001</v>
      </c>
      <c r="M95" s="47">
        <v>-29.345364</v>
      </c>
      <c r="N95" s="47">
        <v>-21.646791</v>
      </c>
    </row>
    <row r="96" spans="1:14" x14ac:dyDescent="0.35">
      <c r="A96" s="2">
        <v>44783</v>
      </c>
      <c r="B96" s="40">
        <v>-16.494786999999999</v>
      </c>
      <c r="C96" s="40">
        <v>-6.6346939999999996</v>
      </c>
      <c r="D96" s="40">
        <v>-3.1859160000000002</v>
      </c>
      <c r="E96" s="40">
        <v>-28.052557</v>
      </c>
      <c r="F96" s="40">
        <v>-15.0459175</v>
      </c>
      <c r="G96" s="40">
        <v>-11.217249000000001</v>
      </c>
      <c r="H96" s="40">
        <v>-1.9750059</v>
      </c>
      <c r="I96" s="40">
        <v>-10.658968</v>
      </c>
      <c r="J96" s="40">
        <v>-3.7734450000000002</v>
      </c>
      <c r="K96" s="47">
        <v>-12.079483</v>
      </c>
      <c r="L96" s="47">
        <v>-23.775303000000001</v>
      </c>
      <c r="M96" s="47">
        <v>-25.055133999999999</v>
      </c>
      <c r="N96" s="47">
        <v>-21.155850999999998</v>
      </c>
    </row>
    <row r="97" spans="1:14" x14ac:dyDescent="0.35">
      <c r="A97" s="2">
        <v>44813</v>
      </c>
      <c r="B97" s="40">
        <v>-22.733889999999999</v>
      </c>
      <c r="C97" s="40">
        <v>-7.9918680000000002</v>
      </c>
      <c r="D97" s="40">
        <v>-5.0531683000000003</v>
      </c>
      <c r="E97" s="40">
        <v>-32.484200000000001</v>
      </c>
      <c r="F97" s="40">
        <v>-25.503195000000002</v>
      </c>
      <c r="G97" s="40">
        <v>-14.36016</v>
      </c>
      <c r="H97" s="40">
        <v>-6.2338829999999996</v>
      </c>
      <c r="I97" s="40">
        <v>-18.6249</v>
      </c>
      <c r="J97" s="40">
        <v>-8.1485029999999998</v>
      </c>
      <c r="K97" s="47">
        <v>-17.543310000000002</v>
      </c>
      <c r="L97" s="47">
        <v>-32.938479999999998</v>
      </c>
      <c r="M97" s="47">
        <v>-31.514894000000002</v>
      </c>
      <c r="N97" s="47">
        <v>-23.757719999999999</v>
      </c>
    </row>
    <row r="98" spans="1:14" x14ac:dyDescent="0.35">
      <c r="A98" s="2">
        <v>44844</v>
      </c>
      <c r="B98" s="40">
        <v>-32.786430000000003</v>
      </c>
      <c r="C98" s="40">
        <v>-16.405237</v>
      </c>
      <c r="D98" s="40">
        <v>-16.487753000000001</v>
      </c>
      <c r="E98" s="40">
        <v>-36.364227</v>
      </c>
      <c r="F98" s="40">
        <v>-25.198226999999999</v>
      </c>
      <c r="G98" s="40">
        <v>-20.304466000000001</v>
      </c>
      <c r="H98" s="40">
        <v>-15.560883499999999</v>
      </c>
      <c r="I98" s="40">
        <v>-25.777424</v>
      </c>
      <c r="J98" s="40">
        <v>-16.5303</v>
      </c>
      <c r="K98" s="47">
        <v>-23.181861999999999</v>
      </c>
      <c r="L98" s="47">
        <v>-36.667614</v>
      </c>
      <c r="M98" s="47">
        <v>-36.199359999999999</v>
      </c>
      <c r="N98" s="47">
        <v>-29.575026000000001</v>
      </c>
    </row>
    <row r="99" spans="1:14" x14ac:dyDescent="0.35">
      <c r="A99" s="2">
        <v>44875</v>
      </c>
      <c r="B99" s="40">
        <v>-26.142714999999999</v>
      </c>
      <c r="C99" s="40">
        <v>-7.9679728000000001</v>
      </c>
      <c r="D99" s="40">
        <v>-10.331905000000001</v>
      </c>
      <c r="E99" s="40">
        <v>-26.210857000000001</v>
      </c>
      <c r="F99" s="40">
        <v>-19.744795</v>
      </c>
      <c r="G99" s="40">
        <v>-15.308989</v>
      </c>
      <c r="H99" s="40">
        <v>-6.5585079999999998</v>
      </c>
      <c r="I99" s="40">
        <v>-26.958597000000001</v>
      </c>
      <c r="J99" s="40">
        <v>-13.576579000000001</v>
      </c>
      <c r="K99" s="47">
        <v>-14.373308</v>
      </c>
      <c r="L99" s="47">
        <v>-28.792349999999999</v>
      </c>
      <c r="M99" s="47">
        <v>-26.871227000000001</v>
      </c>
      <c r="N99" s="47">
        <v>-17.113721999999999</v>
      </c>
    </row>
    <row r="100" spans="1:14" x14ac:dyDescent="0.35">
      <c r="A100" s="2">
        <v>44904</v>
      </c>
      <c r="B100" s="40">
        <v>-13.236737</v>
      </c>
      <c r="C100" s="40">
        <v>-1.6259729999999999</v>
      </c>
      <c r="D100" s="40">
        <v>-9.262556</v>
      </c>
      <c r="E100" s="40">
        <v>-19.230174999999999</v>
      </c>
      <c r="F100" s="40">
        <v>-17.252289999999999</v>
      </c>
      <c r="G100" s="40">
        <v>-14.3558445</v>
      </c>
      <c r="H100" s="40">
        <v>-0.14573336000000001</v>
      </c>
      <c r="I100" s="40">
        <v>-27.922893999999999</v>
      </c>
      <c r="J100" s="40">
        <v>-14.389431</v>
      </c>
      <c r="K100" s="47">
        <v>-8.5081939999999996</v>
      </c>
      <c r="L100" s="47">
        <v>-19.519901000000001</v>
      </c>
      <c r="M100" s="47">
        <v>-22.220504999999999</v>
      </c>
      <c r="N100" s="47">
        <v>-11.833095999999999</v>
      </c>
    </row>
    <row r="101" spans="1:14" x14ac:dyDescent="0.35">
      <c r="A101" s="2">
        <v>44936</v>
      </c>
      <c r="B101" s="40">
        <v>-11.647349</v>
      </c>
      <c r="C101" s="40">
        <v>-0.82991720000000002</v>
      </c>
      <c r="D101" s="40">
        <v>-9.2477499999999999</v>
      </c>
      <c r="E101" s="40">
        <v>-15.197879</v>
      </c>
      <c r="F101" s="40">
        <v>-16.676265999999998</v>
      </c>
      <c r="G101" s="40">
        <v>-11.302524999999999</v>
      </c>
      <c r="H101" s="40">
        <v>-2.802813</v>
      </c>
      <c r="I101" s="40">
        <v>-27.696110000000001</v>
      </c>
      <c r="J101" s="40">
        <v>-14.731299999999999</v>
      </c>
      <c r="K101" s="47">
        <v>-6.1730980000000004</v>
      </c>
      <c r="L101" s="47">
        <v>-14.04956</v>
      </c>
      <c r="M101" s="47">
        <v>-19.906669999999998</v>
      </c>
      <c r="N101" s="47">
        <v>-8.4778900000000004</v>
      </c>
    </row>
    <row r="102" spans="1:14" x14ac:dyDescent="0.35">
      <c r="A102" s="2">
        <v>44967</v>
      </c>
      <c r="B102" s="40">
        <v>-4.3887080000000003</v>
      </c>
      <c r="C102" s="40">
        <v>6.3409209999999998</v>
      </c>
      <c r="D102" s="40">
        <v>-6.7945840000000004</v>
      </c>
      <c r="E102" s="40">
        <v>-11.199135</v>
      </c>
      <c r="F102" s="40">
        <v>-8.7794249999999998</v>
      </c>
      <c r="G102" s="40">
        <v>-7.6659439999999996</v>
      </c>
      <c r="H102" s="40">
        <v>-3.357774</v>
      </c>
      <c r="I102" s="40">
        <v>-15.771079</v>
      </c>
      <c r="J102" s="40">
        <v>-7.7097774000000001</v>
      </c>
      <c r="K102" s="47">
        <v>-2.3639559999999999</v>
      </c>
      <c r="L102" s="47">
        <v>-8.7666690000000003</v>
      </c>
      <c r="M102" s="47">
        <v>-13.809562</v>
      </c>
      <c r="N102" s="47">
        <v>-3.7998080000000001</v>
      </c>
    </row>
    <row r="103" spans="1:14" x14ac:dyDescent="0.35">
      <c r="A103" s="2">
        <v>44995</v>
      </c>
      <c r="B103" s="40">
        <v>-11.30147</v>
      </c>
      <c r="C103" s="40">
        <v>-5.0464989999999998</v>
      </c>
      <c r="D103" s="40">
        <v>-13.22946</v>
      </c>
      <c r="E103" s="40">
        <v>5.0114869999999998</v>
      </c>
      <c r="F103" s="40">
        <v>-3.4236789000000001</v>
      </c>
      <c r="G103" s="40">
        <v>-4.4069586000000003</v>
      </c>
      <c r="H103" s="40">
        <v>2.903378</v>
      </c>
      <c r="I103" s="40">
        <v>-12.2559185</v>
      </c>
      <c r="J103" s="40">
        <v>-7.8244866999999996</v>
      </c>
      <c r="K103" s="47">
        <v>13.574446</v>
      </c>
      <c r="L103" s="47">
        <v>3.4733295000000002</v>
      </c>
      <c r="M103" s="47">
        <v>-3.9682029999999999</v>
      </c>
      <c r="N103" s="47">
        <v>13.878655</v>
      </c>
    </row>
    <row r="104" spans="1:14" x14ac:dyDescent="0.35">
      <c r="A104" s="2">
        <v>45026</v>
      </c>
      <c r="B104" s="40">
        <v>-7.5681567000000003</v>
      </c>
      <c r="C104" s="40">
        <v>-8.6745850000000004</v>
      </c>
      <c r="D104" s="40">
        <v>-11.418443999999999</v>
      </c>
      <c r="E104" s="40">
        <v>6.4785719999999998</v>
      </c>
      <c r="F104" s="40">
        <v>-1.7602979999999999</v>
      </c>
      <c r="G104" s="40">
        <v>-5.5144729999999997</v>
      </c>
      <c r="H104" s="40">
        <v>-5.5396556999999999E-2</v>
      </c>
      <c r="I104" s="40">
        <v>-8.2621870000000008</v>
      </c>
      <c r="J104" s="40">
        <v>-6.9192704999999997</v>
      </c>
      <c r="K104" s="47">
        <v>15.510189</v>
      </c>
      <c r="L104" s="47">
        <v>4.500413</v>
      </c>
      <c r="M104" s="47">
        <v>-7.8541699999999999</v>
      </c>
      <c r="N104" s="47">
        <v>11.007714</v>
      </c>
    </row>
    <row r="105" spans="1:14" x14ac:dyDescent="0.35">
      <c r="A105" s="2">
        <v>45056</v>
      </c>
      <c r="B105" s="40">
        <v>11.911296999999999</v>
      </c>
      <c r="C105" s="40">
        <v>4.8372270000000004</v>
      </c>
      <c r="D105" s="40">
        <v>2.7948499</v>
      </c>
      <c r="E105" s="40">
        <v>19.252980000000001</v>
      </c>
      <c r="F105" s="40">
        <v>9.5858690000000006</v>
      </c>
      <c r="G105" s="40">
        <v>13.151956</v>
      </c>
      <c r="H105" s="40">
        <v>12.209569999999999</v>
      </c>
      <c r="I105" s="40">
        <v>8.9334489999999995</v>
      </c>
      <c r="J105" s="40">
        <v>5.2135467999999996</v>
      </c>
      <c r="K105" s="47">
        <v>26.743853000000001</v>
      </c>
      <c r="L105" s="47">
        <v>18.269836000000002</v>
      </c>
      <c r="M105" s="47">
        <v>12.55424</v>
      </c>
      <c r="N105" s="47">
        <v>24.424911000000002</v>
      </c>
    </row>
    <row r="106" spans="1:14" x14ac:dyDescent="0.35">
      <c r="A106" s="2">
        <v>45086</v>
      </c>
      <c r="B106" s="40">
        <v>3.7522196999999999</v>
      </c>
      <c r="C106" s="40">
        <v>0.85567236000000002</v>
      </c>
      <c r="D106" s="40">
        <v>-5.5985569999999996</v>
      </c>
      <c r="E106" s="40">
        <v>11.408984999999999</v>
      </c>
      <c r="F106" s="40">
        <v>12.542152</v>
      </c>
      <c r="G106" s="40">
        <v>11.12628</v>
      </c>
      <c r="H106" s="40">
        <v>5.2681922999999999</v>
      </c>
      <c r="I106" s="40">
        <v>19.309593</v>
      </c>
      <c r="J106" s="40">
        <v>8.917332</v>
      </c>
      <c r="K106" s="47">
        <v>17.667925</v>
      </c>
      <c r="L106" s="47">
        <v>13.539516000000001</v>
      </c>
      <c r="M106" s="47">
        <v>3.5046816000000001</v>
      </c>
      <c r="N106" s="47">
        <v>18.269575</v>
      </c>
    </row>
    <row r="107" spans="1:14" x14ac:dyDescent="0.35">
      <c r="A107" s="2">
        <v>45117</v>
      </c>
      <c r="B107" s="40">
        <v>10.037565000000001</v>
      </c>
      <c r="C107" s="40">
        <v>7.0491194999999998</v>
      </c>
      <c r="D107" s="40">
        <v>4.0944934000000002</v>
      </c>
      <c r="E107" s="40">
        <v>26.558292000000002</v>
      </c>
      <c r="F107" s="40">
        <v>15.640890000000001</v>
      </c>
      <c r="G107" s="40">
        <v>11.555648</v>
      </c>
      <c r="H107" s="40">
        <v>10.449958000000001</v>
      </c>
      <c r="I107" s="40">
        <v>24.929189999999998</v>
      </c>
      <c r="J107" s="40">
        <v>14.983212999999999</v>
      </c>
      <c r="K107" s="47">
        <v>30.287434000000001</v>
      </c>
      <c r="L107" s="47">
        <v>25.753032999999999</v>
      </c>
      <c r="M107" s="47">
        <v>11.812818999999999</v>
      </c>
      <c r="N107" s="47">
        <v>38.527453999999999</v>
      </c>
    </row>
    <row r="108" spans="1:14" x14ac:dyDescent="0.35">
      <c r="A108" s="2">
        <v>45148</v>
      </c>
      <c r="B108" s="40">
        <v>-3.7087083000000001</v>
      </c>
      <c r="C108" s="40">
        <v>1.1725307</v>
      </c>
      <c r="D108" s="40">
        <v>0.15915631999999999</v>
      </c>
      <c r="E108" s="40">
        <v>21.300566</v>
      </c>
      <c r="F108" s="40">
        <v>10.178554999999999</v>
      </c>
      <c r="G108" s="40">
        <v>8.9318989999999996</v>
      </c>
      <c r="H108" s="40">
        <v>8.034122</v>
      </c>
      <c r="I108" s="40">
        <v>13.896941999999999</v>
      </c>
      <c r="J108" s="40">
        <v>7.9212069999999999</v>
      </c>
      <c r="K108" s="47">
        <v>22.295833999999999</v>
      </c>
      <c r="L108" s="47">
        <v>16.230345</v>
      </c>
      <c r="M108" s="47">
        <v>2.5222540000000002</v>
      </c>
      <c r="N108" s="47">
        <v>33.766376000000001</v>
      </c>
    </row>
    <row r="109" spans="1:14" x14ac:dyDescent="0.35">
      <c r="A109" s="2">
        <v>45177</v>
      </c>
      <c r="B109" s="40">
        <v>-3.9458752000000001</v>
      </c>
      <c r="C109" s="40">
        <v>3.9791941999999998</v>
      </c>
      <c r="D109" s="40">
        <v>2.3947596999999998</v>
      </c>
      <c r="E109" s="40">
        <v>27.932822999999999</v>
      </c>
      <c r="F109" s="40">
        <v>19.375778</v>
      </c>
      <c r="G109" s="40">
        <v>13.431919000000001</v>
      </c>
      <c r="H109" s="40">
        <v>14.823687</v>
      </c>
      <c r="I109" s="40">
        <v>24.864505999999999</v>
      </c>
      <c r="J109" s="40">
        <v>13.108003999999999</v>
      </c>
      <c r="K109" s="47">
        <v>27.994287</v>
      </c>
      <c r="L109" s="47">
        <v>19.212364000000001</v>
      </c>
      <c r="M109" s="47">
        <v>10.318588999999999</v>
      </c>
      <c r="N109" s="47">
        <v>39.978504000000001</v>
      </c>
    </row>
    <row r="110" spans="1:14" x14ac:dyDescent="0.35">
      <c r="A110" s="2">
        <v>45209</v>
      </c>
      <c r="B110" s="40">
        <v>13.458872</v>
      </c>
      <c r="C110" s="40">
        <v>13.331783</v>
      </c>
      <c r="D110" s="40">
        <v>10.953569</v>
      </c>
      <c r="E110" s="40">
        <v>35.056423000000002</v>
      </c>
      <c r="F110" s="40">
        <v>22.739256000000001</v>
      </c>
      <c r="G110" s="40">
        <v>21.457100000000001</v>
      </c>
      <c r="H110" s="40">
        <v>25.131247999999999</v>
      </c>
      <c r="I110" s="40">
        <v>39.296374999999998</v>
      </c>
      <c r="J110" s="40">
        <v>22.618269999999999</v>
      </c>
      <c r="K110" s="47">
        <v>34.044623999999999</v>
      </c>
      <c r="L110" s="47">
        <v>27.293002999999999</v>
      </c>
      <c r="M110" s="47">
        <v>25.742553999999998</v>
      </c>
      <c r="N110" s="47">
        <v>45.238388</v>
      </c>
    </row>
    <row r="111" spans="1:14" x14ac:dyDescent="0.35">
      <c r="A111" s="2">
        <v>45240</v>
      </c>
      <c r="B111" s="40">
        <v>-1.2876570000000001</v>
      </c>
      <c r="C111" s="40">
        <v>-0.62798259999999995</v>
      </c>
      <c r="D111" s="40">
        <v>-1.6509354000000001</v>
      </c>
      <c r="E111" s="40">
        <v>12.240290999999999</v>
      </c>
      <c r="F111" s="40">
        <v>13.295436</v>
      </c>
      <c r="G111" s="40">
        <v>4.7749160000000002</v>
      </c>
      <c r="H111" s="40">
        <v>7.8094599999999996</v>
      </c>
      <c r="I111" s="40">
        <v>34.736072999999998</v>
      </c>
      <c r="J111" s="40">
        <v>13.409720999999999</v>
      </c>
      <c r="K111" s="47">
        <v>13.845646</v>
      </c>
      <c r="L111" s="47">
        <v>11.475682000000001</v>
      </c>
      <c r="M111" s="47">
        <v>0.26730300000000001</v>
      </c>
      <c r="N111" s="47">
        <v>21.054659999999998</v>
      </c>
    </row>
    <row r="112" spans="1:14" x14ac:dyDescent="0.35">
      <c r="A112" s="2">
        <v>45268</v>
      </c>
      <c r="B112" s="40">
        <v>-4.2146682999999996</v>
      </c>
      <c r="C112" s="40">
        <v>2.0875454000000002</v>
      </c>
      <c r="D112" s="40">
        <v>5.4012180000000001</v>
      </c>
      <c r="E112" s="40">
        <v>18.044816999999998</v>
      </c>
      <c r="F112" s="40">
        <v>15.018558499999999</v>
      </c>
      <c r="G112" s="40">
        <v>10.207712000000001</v>
      </c>
      <c r="H112" s="40">
        <v>6.8457723000000001</v>
      </c>
      <c r="I112" s="40">
        <v>39.101660000000003</v>
      </c>
      <c r="J112" s="40">
        <v>17.988693000000001</v>
      </c>
      <c r="K112" s="47">
        <v>16.570996999999998</v>
      </c>
      <c r="L112" s="47">
        <v>12.038064</v>
      </c>
      <c r="M112" s="47">
        <v>11.825943000000001</v>
      </c>
      <c r="N112" s="47">
        <v>26.146495999999999</v>
      </c>
    </row>
    <row r="113" spans="1:14" x14ac:dyDescent="0.35">
      <c r="A113" s="2">
        <v>45301</v>
      </c>
      <c r="B113" s="40">
        <v>-1.4767408</v>
      </c>
      <c r="C113" s="40">
        <v>6.8780539999999997</v>
      </c>
      <c r="D113" s="40">
        <v>10.063446000000001</v>
      </c>
      <c r="E113" s="40">
        <v>11.586809000000001</v>
      </c>
      <c r="F113" s="40">
        <v>21.632946</v>
      </c>
      <c r="G113" s="40">
        <v>11.047173000000001</v>
      </c>
      <c r="H113" s="40">
        <v>7.4318530000000003</v>
      </c>
      <c r="I113" s="40">
        <v>50.758564</v>
      </c>
      <c r="J113" s="40">
        <v>23.881375999999999</v>
      </c>
      <c r="K113" s="47">
        <v>11.394215000000001</v>
      </c>
      <c r="L113" s="47">
        <v>8.3088040000000003</v>
      </c>
      <c r="M113" s="47">
        <v>11.763310000000001</v>
      </c>
      <c r="N113" s="47">
        <v>21.461677999999999</v>
      </c>
    </row>
    <row r="114" spans="1:14" x14ac:dyDescent="0.35">
      <c r="A114" s="2">
        <v>45331</v>
      </c>
      <c r="B114" s="40">
        <v>-6.625718</v>
      </c>
      <c r="C114" s="40">
        <v>1.2912034999999999</v>
      </c>
      <c r="D114" s="40">
        <v>6.0671210000000002</v>
      </c>
      <c r="E114" s="40">
        <v>6.9153665999999996</v>
      </c>
      <c r="F114" s="40">
        <v>17.747295000000001</v>
      </c>
      <c r="G114" s="40">
        <v>6.5644980000000004</v>
      </c>
      <c r="H114" s="40">
        <v>3.5190462999999998</v>
      </c>
      <c r="I114" s="40">
        <v>45.870220000000003</v>
      </c>
      <c r="J114" s="40">
        <v>25.002611000000002</v>
      </c>
      <c r="K114" s="47">
        <v>8.9891799999999993</v>
      </c>
      <c r="L114" s="47">
        <v>14.585436</v>
      </c>
      <c r="M114" s="47">
        <v>8.2196829999999999</v>
      </c>
      <c r="N114" s="47">
        <v>15.485358</v>
      </c>
    </row>
    <row r="115" spans="1:14" x14ac:dyDescent="0.35">
      <c r="A115" s="2">
        <v>45359</v>
      </c>
      <c r="B115" s="40">
        <v>-1.481849</v>
      </c>
      <c r="C115" s="40">
        <v>12.38302</v>
      </c>
      <c r="D115" s="40">
        <v>13.561476000000001</v>
      </c>
      <c r="E115" s="40">
        <v>14.86361</v>
      </c>
      <c r="F115" s="40">
        <v>26.268673</v>
      </c>
      <c r="G115" s="40">
        <v>14.364445</v>
      </c>
      <c r="H115" s="40">
        <v>8.4545019999999997</v>
      </c>
      <c r="I115" s="40">
        <v>48.426839999999999</v>
      </c>
      <c r="J115" s="40">
        <v>30.240176999999999</v>
      </c>
      <c r="K115" s="47">
        <v>14.646471</v>
      </c>
      <c r="L115" s="47">
        <v>22.209942000000002</v>
      </c>
      <c r="M115" s="47">
        <v>19.631077000000001</v>
      </c>
      <c r="N115" s="47">
        <v>24.856449999999999</v>
      </c>
    </row>
    <row r="116" spans="1:14" x14ac:dyDescent="0.35">
      <c r="A116" s="2">
        <v>45392</v>
      </c>
      <c r="B116" s="40">
        <v>-6.6148280000000002</v>
      </c>
      <c r="C116" s="40">
        <v>9.5836880000000004</v>
      </c>
      <c r="D116" s="40">
        <v>12.430037</v>
      </c>
      <c r="E116" s="40">
        <v>11.304867</v>
      </c>
      <c r="F116" s="40">
        <v>22.819592</v>
      </c>
      <c r="G116" s="40">
        <v>2.0233989000000001</v>
      </c>
      <c r="H116" s="40">
        <v>7.5060963999999997</v>
      </c>
      <c r="I116" s="40">
        <v>38.826537999999999</v>
      </c>
      <c r="J116" s="40">
        <v>27.342915000000001</v>
      </c>
      <c r="K116" s="47">
        <v>8.6137770000000007</v>
      </c>
      <c r="L116" s="47">
        <v>19.854127999999999</v>
      </c>
      <c r="M116" s="47">
        <v>16.630436</v>
      </c>
      <c r="N116" s="47">
        <v>22.999549999999999</v>
      </c>
    </row>
    <row r="117" spans="1:14" x14ac:dyDescent="0.35">
      <c r="A117" s="2">
        <v>45422</v>
      </c>
      <c r="B117" s="40">
        <v>-8.6578429999999997</v>
      </c>
      <c r="C117" s="40">
        <v>9.5379470000000008</v>
      </c>
      <c r="D117" s="40">
        <v>10.58414</v>
      </c>
      <c r="E117" s="40">
        <v>13.198757000000001</v>
      </c>
      <c r="F117" s="40">
        <v>16.160381000000001</v>
      </c>
      <c r="G117" s="40">
        <v>1.3360023000000001</v>
      </c>
      <c r="H117" s="40">
        <v>12.204254000000001</v>
      </c>
      <c r="I117" s="40">
        <v>36.864863999999997</v>
      </c>
      <c r="J117" s="40">
        <v>27.994955000000001</v>
      </c>
      <c r="K117" s="47">
        <v>10.930788</v>
      </c>
      <c r="L117" s="47">
        <v>23.071515999999999</v>
      </c>
      <c r="M117" s="47">
        <v>15.536189</v>
      </c>
      <c r="N117" s="47">
        <v>25.381983000000002</v>
      </c>
    </row>
    <row r="118" spans="1:14" x14ac:dyDescent="0.35">
      <c r="A118" s="2">
        <v>45453</v>
      </c>
      <c r="B118" s="40">
        <v>-1.3984025</v>
      </c>
      <c r="C118" s="40">
        <v>13.06057</v>
      </c>
      <c r="D118" s="40">
        <v>11.558223</v>
      </c>
      <c r="E118" s="40">
        <v>14.559305</v>
      </c>
      <c r="F118" s="40">
        <v>13.014054</v>
      </c>
      <c r="G118" s="40">
        <v>9.2839960000000001</v>
      </c>
      <c r="H118" s="40">
        <v>14.580965000000001</v>
      </c>
      <c r="I118" s="40">
        <v>31.995487000000001</v>
      </c>
      <c r="J118" s="40">
        <v>26.416170000000001</v>
      </c>
      <c r="K118" s="47">
        <v>11.707376999999999</v>
      </c>
      <c r="L118" s="47">
        <v>24.960995</v>
      </c>
      <c r="M118" s="47">
        <v>21.226942000000001</v>
      </c>
      <c r="N118" s="47">
        <v>28.117370000000001</v>
      </c>
    </row>
    <row r="119" spans="1:14" x14ac:dyDescent="0.35">
      <c r="A119" s="2">
        <v>45483</v>
      </c>
      <c r="B119" s="40">
        <v>-3.9581716</v>
      </c>
      <c r="C119" s="40">
        <v>18.953811999999999</v>
      </c>
      <c r="D119" s="40">
        <v>13.784254000000001</v>
      </c>
      <c r="E119" s="40">
        <v>14.633381</v>
      </c>
      <c r="F119" s="40">
        <v>18.318294999999999</v>
      </c>
      <c r="G119" s="40">
        <v>10.732079000000001</v>
      </c>
      <c r="H119" s="40">
        <v>17.724812</v>
      </c>
      <c r="I119" s="40">
        <v>38.231704999999998</v>
      </c>
      <c r="J119" s="40">
        <v>29.466974</v>
      </c>
      <c r="K119" s="47">
        <v>6.0646534000000001</v>
      </c>
      <c r="L119" s="47">
        <v>24.411892000000002</v>
      </c>
      <c r="M119" s="47">
        <v>21.546782</v>
      </c>
      <c r="N119" s="47">
        <v>22.6694</v>
      </c>
    </row>
    <row r="120" spans="1:14" x14ac:dyDescent="0.35">
      <c r="A120" s="2">
        <v>45513</v>
      </c>
      <c r="B120" s="40">
        <v>-0.30345917</v>
      </c>
      <c r="C120" s="40">
        <v>12.576938</v>
      </c>
      <c r="D120" s="40">
        <v>11.199389999999999</v>
      </c>
      <c r="E120" s="40">
        <v>9.6718899999999994</v>
      </c>
      <c r="F120" s="40">
        <v>9.1109639999999992</v>
      </c>
      <c r="G120" s="40">
        <v>9.5130204999999997</v>
      </c>
      <c r="H120" s="40">
        <v>13.090897</v>
      </c>
      <c r="I120" s="40">
        <v>23.267544000000001</v>
      </c>
      <c r="J120" s="40">
        <v>21.253181000000001</v>
      </c>
      <c r="K120" s="47">
        <v>1.3192773</v>
      </c>
      <c r="L120" s="47">
        <v>12.735594000000001</v>
      </c>
      <c r="M120" s="47">
        <v>17.075527000000001</v>
      </c>
      <c r="N120" s="47">
        <v>15.2777195</v>
      </c>
    </row>
    <row r="121" spans="1:14" x14ac:dyDescent="0.35">
      <c r="A121" s="2">
        <v>45545</v>
      </c>
      <c r="B121" s="40">
        <v>14.344215</v>
      </c>
      <c r="C121" s="40">
        <v>22.029924000000001</v>
      </c>
      <c r="D121" s="40">
        <v>18.98986</v>
      </c>
      <c r="E121" s="40">
        <v>19.481300000000001</v>
      </c>
      <c r="F121" s="40">
        <v>14.654325999999999</v>
      </c>
      <c r="G121" s="40">
        <v>16.135597000000001</v>
      </c>
      <c r="H121" s="40">
        <v>19.943200999999998</v>
      </c>
      <c r="I121" s="40">
        <v>23.952030000000001</v>
      </c>
      <c r="J121" s="40">
        <v>24.912071000000001</v>
      </c>
      <c r="K121" s="47">
        <v>8.4542750000000009</v>
      </c>
      <c r="L121" s="47">
        <v>22.572469999999999</v>
      </c>
      <c r="M121" s="47">
        <v>27.866803999999998</v>
      </c>
      <c r="N121" s="47">
        <v>25.777018000000002</v>
      </c>
    </row>
    <row r="122" spans="1:14" x14ac:dyDescent="0.35">
      <c r="A122" s="2">
        <v>45575</v>
      </c>
      <c r="B122">
        <v>10.984014999999999</v>
      </c>
      <c r="C122">
        <v>26.027249999999999</v>
      </c>
      <c r="D122">
        <v>26.792622000000001</v>
      </c>
      <c r="E122">
        <v>28.362476000000001</v>
      </c>
      <c r="F122">
        <v>20.067416999999999</v>
      </c>
      <c r="G122">
        <v>17.877949000000001</v>
      </c>
      <c r="H122">
        <v>19.234324000000001</v>
      </c>
      <c r="I122">
        <v>34.556747000000001</v>
      </c>
      <c r="J122">
        <v>34.381709999999998</v>
      </c>
      <c r="K122" s="47">
        <v>13.317394</v>
      </c>
      <c r="L122" s="47">
        <v>32.011856000000002</v>
      </c>
      <c r="M122" s="47">
        <v>27.183104</v>
      </c>
      <c r="N122" s="47">
        <v>29.856850000000001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-32.786430000000003</v>
      </c>
      <c r="C126" s="40" cm="1">
        <f t="array" ref="C126">MIN(_xlfn._xlws.FILTER(C2:C122, ISNUMBER(C2:C122)))</f>
        <v>-27.062380000000001</v>
      </c>
      <c r="D126" s="40" cm="1">
        <f t="array" ref="D126">MIN(_xlfn._xlws.FILTER(D2:D122, ISNUMBER(D2:D122)))</f>
        <v>-26.546794999999999</v>
      </c>
      <c r="E126" s="40" cm="1">
        <f t="array" ref="E126">MIN(_xlfn._xlws.FILTER(E2:E122, ISNUMBER(E2:E122)))</f>
        <v>-36.364227</v>
      </c>
      <c r="F126" s="40" cm="1">
        <f t="array" ref="F126">MIN(_xlfn._xlws.FILTER(F2:F122, ISNUMBER(F2:F122)))</f>
        <v>-25.503195000000002</v>
      </c>
      <c r="G126" s="40" cm="1">
        <f t="array" ref="G126">MIN(_xlfn._xlws.FILTER(G2:G122, ISNUMBER(G2:G122)))</f>
        <v>-20.304466000000001</v>
      </c>
      <c r="H126" s="40" cm="1">
        <f t="array" ref="H126">MIN(_xlfn._xlws.FILTER(H2:H122, ISNUMBER(H2:H122)))</f>
        <v>-22.542137</v>
      </c>
      <c r="I126" s="40" cm="1">
        <f t="array" ref="I126">MIN(_xlfn._xlws.FILTER(I2:I122, ISNUMBER(I2:I122)))</f>
        <v>-27.922893999999999</v>
      </c>
      <c r="J126" s="40" cm="1">
        <f t="array" ref="J126">MIN(_xlfn._xlws.FILTER(J2:J122, ISNUMBER(J2:J122)))</f>
        <v>-16.5303</v>
      </c>
      <c r="K126" s="40" cm="1">
        <f t="array" ref="K126">MIN(_xlfn._xlws.FILTER(K2:K122, ISNUMBER(K2:K122)))</f>
        <v>-23.181861999999999</v>
      </c>
      <c r="L126" s="40" cm="1">
        <f t="array" ref="L126">MIN(_xlfn._xlws.FILTER(L2:L122, ISNUMBER(L2:L122)))</f>
        <v>-36.667614</v>
      </c>
      <c r="M126" s="40" cm="1">
        <f t="array" ref="M126">MIN(_xlfn._xlws.FILTER(M2:M122, ISNUMBER(M2:M122)))</f>
        <v>-36.199359999999999</v>
      </c>
      <c r="N126" s="40" cm="1">
        <f t="array" ref="N126">MIN(_xlfn._xlws.FILTER(N2:N122, ISNUMBER(N2:N122)))</f>
        <v>-29.575026000000001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53.034652999999999</v>
      </c>
      <c r="C127" s="42" cm="1">
        <f t="array" ref="C127">MAX(_xlfn._xlws.FILTER(C1:C122, ISNUMBER(C1:C122)))</f>
        <v>62.286079999999998</v>
      </c>
      <c r="D127" s="42" cm="1">
        <f t="array" ref="D127">MAX(_xlfn._xlws.FILTER(D1:D122, ISNUMBER(D1:D122)))</f>
        <v>54.997109999999999</v>
      </c>
      <c r="E127" s="42" cm="1">
        <f t="array" ref="E127">MAX(_xlfn._xlws.FILTER(E1:E122, ISNUMBER(E1:E122)))</f>
        <v>53.651429999999998</v>
      </c>
      <c r="F127" s="42" cm="1">
        <f t="array" ref="F127">MAX(_xlfn._xlws.FILTER(F1:F122, ISNUMBER(F1:F122)))</f>
        <v>39.943919999999999</v>
      </c>
      <c r="G127" s="42" cm="1">
        <f t="array" ref="G127">MAX(_xlfn._xlws.FILTER(G1:G122, ISNUMBER(G1:G122)))</f>
        <v>29.537223999999998</v>
      </c>
      <c r="H127" s="42" cm="1">
        <f t="array" ref="H127">MAX(_xlfn._xlws.FILTER(H1:H122, ISNUMBER(H1:H122)))</f>
        <v>37.391292999999997</v>
      </c>
      <c r="I127" s="42" cm="1">
        <f t="array" ref="I127">MAX(_xlfn._xlws.FILTER(I1:I122, ISNUMBER(I1:I122)))</f>
        <v>68.880775</v>
      </c>
      <c r="J127" s="42" cm="1">
        <f t="array" ref="J127">MAX(_xlfn._xlws.FILTER(J1:J122, ISNUMBER(J1:J122)))</f>
        <v>50.297927999999999</v>
      </c>
      <c r="K127" s="42" cm="1">
        <f t="array" ref="K127">MAX(_xlfn._xlws.FILTER(K1:K122, ISNUMBER(K1:K122)))</f>
        <v>57.471359999999997</v>
      </c>
      <c r="L127" s="42" cm="1">
        <f t="array" ref="L127">MAX(_xlfn._xlws.FILTER(L1:L122, ISNUMBER(L1:L122)))</f>
        <v>75.711039999999997</v>
      </c>
      <c r="M127" s="42" cm="1">
        <f t="array" ref="M127">MAX(_xlfn._xlws.FILTER(M1:M122, ISNUMBER(M1:M122)))</f>
        <v>78.848519999999994</v>
      </c>
      <c r="N127" s="42" cm="1">
        <f t="array" ref="N127">MAX(_xlfn._xlws.FILTER(N1:N122, ISNUMBER(N1:N122)))</f>
        <v>60.196376999999998</v>
      </c>
    </row>
    <row r="128" spans="1:14" x14ac:dyDescent="0.35">
      <c r="A128" s="2" t="s">
        <v>394</v>
      </c>
      <c r="B128" s="40" cm="1">
        <f t="array" ref="B128">MEDIAN(_xlfn._xlws.FILTER(B1:B122, ISNUMBER(B1:B122)))</f>
        <v>7.0621489999999998</v>
      </c>
      <c r="C128" s="40" cm="1">
        <f t="array" ref="C128">MEDIAN(_xlfn._xlws.FILTER(C1:C122, ISNUMBER(C1:C122)))</f>
        <v>3.4971236999999999</v>
      </c>
      <c r="D128" s="40" cm="1">
        <f t="array" ref="D128">MEDIAN(_xlfn._xlws.FILTER(D1:D122, ISNUMBER(D1:D122)))</f>
        <v>4.0280339999999999</v>
      </c>
      <c r="E128" s="40" cm="1">
        <f t="array" ref="E128">MEDIAN(_xlfn._xlws.FILTER(E1:E122, ISNUMBER(E1:E122)))</f>
        <v>3.5149574000000001</v>
      </c>
      <c r="F128" s="40" cm="1">
        <f t="array" ref="F128">MEDIAN(_xlfn._xlws.FILTER(F1:F122, ISNUMBER(F1:F122)))</f>
        <v>7.7351929999999998</v>
      </c>
      <c r="G128" s="40" cm="1">
        <f t="array" ref="G128">MEDIAN(_xlfn._xlws.FILTER(G1:G122, ISNUMBER(G1:G122)))</f>
        <v>8.6060160000000003</v>
      </c>
      <c r="H128" s="40" cm="1">
        <f t="array" ref="H128">MEDIAN(_xlfn._xlws.FILTER(H1:H122, ISNUMBER(H1:H122)))</f>
        <v>-0.14573336000000001</v>
      </c>
      <c r="I128" s="40" cm="1">
        <f t="array" ref="I128">MEDIAN(_xlfn._xlws.FILTER(I1:I122, ISNUMBER(I1:I122)))</f>
        <v>22.075939999999999</v>
      </c>
      <c r="J128" s="40" cm="1">
        <f t="array" ref="J128">MEDIAN(_xlfn._xlws.FILTER(J1:J122, ISNUMBER(J1:J122)))</f>
        <v>14.282298000000001</v>
      </c>
      <c r="K128" s="40" cm="1">
        <f t="array" ref="K128">MEDIAN(_xlfn._xlws.FILTER(K1:K122, ISNUMBER(K1:K122)))</f>
        <v>4.5638439999999996</v>
      </c>
      <c r="L128" s="40" cm="1">
        <f t="array" ref="L128">MEDIAN(_xlfn._xlws.FILTER(L1:L122, ISNUMBER(L1:L122)))</f>
        <v>9.4965569999999992</v>
      </c>
      <c r="M128" s="40" cm="1">
        <f t="array" ref="M128">MEDIAN(_xlfn._xlws.FILTER(M1:M122, ISNUMBER(M1:M122)))</f>
        <v>2.2567868</v>
      </c>
      <c r="N128" s="40" cm="1">
        <f t="array" ref="N128">MEDIAN(_xlfn._xlws.FILTER(N1:N122, ISNUMBER(N1:N122)))</f>
        <v>3.2683610000000001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15</v>
      </c>
      <c r="D130">
        <f>COUNTIF(D2:D122, "&lt;"&amp;Assumption!$F$50)</f>
        <v>19</v>
      </c>
      <c r="E130">
        <f>COUNTIF(E2:E122, "&lt;"&amp;Assumption!$F$50)</f>
        <v>31</v>
      </c>
      <c r="F130">
        <f>COUNTIF(F2:F122, "&lt;"&amp;Assumption!$F$50)</f>
        <v>14</v>
      </c>
      <c r="G130">
        <f>COUNTIF(G2:G122, "&lt;"&amp;Assumption!$F$50)</f>
        <v>11</v>
      </c>
      <c r="H130">
        <f>COUNTIF(H2:H122, "&lt;"&amp;Assumption!$F$50)</f>
        <v>20</v>
      </c>
      <c r="I130">
        <f>COUNTIF(I2:I122, "&lt;"&amp;Assumption!$F$50)</f>
        <v>10</v>
      </c>
      <c r="J130">
        <f>COUNTIF(J2:J122, "&lt;"&amp;Assumption!$F$50)</f>
        <v>4</v>
      </c>
      <c r="K130">
        <f>COUNTIF(K2:K122, "&lt;"&amp;Assumption!$F$50)</f>
        <v>16</v>
      </c>
      <c r="L130">
        <f>COUNTIF(L2:L122, "&lt;"&amp;Assumption!$F$50)</f>
        <v>13</v>
      </c>
      <c r="M130">
        <f>COUNTIF(M2:M122, "&lt;"&amp;Assumption!$F$50)</f>
        <v>21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0.12396694214876033</v>
      </c>
      <c r="D133" s="9">
        <f t="shared" si="2"/>
        <v>0.15702479338842976</v>
      </c>
      <c r="E133" s="9">
        <f t="shared" si="2"/>
        <v>0.256198347107438</v>
      </c>
      <c r="F133" s="9">
        <f t="shared" si="2"/>
        <v>0.11570247933884298</v>
      </c>
      <c r="G133" s="9">
        <f t="shared" si="2"/>
        <v>9.0909090909090912E-2</v>
      </c>
      <c r="H133" s="9">
        <f t="shared" si="2"/>
        <v>0.16528925619834711</v>
      </c>
      <c r="I133" s="9">
        <f t="shared" si="2"/>
        <v>8.2644628099173556E-2</v>
      </c>
      <c r="J133" s="9">
        <f t="shared" si="2"/>
        <v>3.3057851239669422E-2</v>
      </c>
      <c r="K133" s="9">
        <f t="shared" ref="K133:N133" si="3">K130/K131</f>
        <v>0.13223140495867769</v>
      </c>
      <c r="L133" s="9">
        <f t="shared" si="3"/>
        <v>0.10743801652892562</v>
      </c>
      <c r="M133" s="9">
        <f t="shared" si="3"/>
        <v>0.17355371900826447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0.34399999999999997</v>
      </c>
      <c r="C136" s="40" cm="1">
        <f t="array" ref="C136">_xlfn.PERCENTRANK.EXC(_xlfn._xlws.FILTER(C2:C122, ISNUMBER(C2:C122)),C120)</f>
        <v>0.72899999999999998</v>
      </c>
      <c r="D136" s="40" cm="1">
        <f t="array" ref="D136">_xlfn.PERCENTRANK.EXC(_xlfn._xlws.FILTER(D2:D122, ISNUMBER(D2:D122)),D120)</f>
        <v>0.71299999999999997</v>
      </c>
      <c r="E136" s="40" cm="1">
        <f t="array" ref="E136">_xlfn.PERCENTRANK.EXC(_xlfn._xlws.FILTER(E2:E122, ISNUMBER(E2:E122)),E120)</f>
        <v>0.58099999999999996</v>
      </c>
      <c r="F136" s="40" cm="1">
        <f t="array" ref="F136">_xlfn.PERCENTRANK.EXC(_xlfn._xlws.FILTER(F2:F122, ISNUMBER(F2:F122)),F120)</f>
        <v>0.52400000000000002</v>
      </c>
      <c r="G136" s="40" cm="1">
        <f t="array" ref="G136">_xlfn.PERCENTRANK.EXC(_xlfn._xlws.FILTER(G2:G122, ISNUMBER(G2:G122)),G120)</f>
        <v>0.53200000000000003</v>
      </c>
      <c r="H136" s="40" cm="1">
        <f t="array" ref="H136">_xlfn.PERCENTRANK.EXC(_xlfn._xlws.FILTER(H2:H122, ISNUMBER(H2:H122)),H120)</f>
        <v>0.76200000000000001</v>
      </c>
      <c r="I136" s="40" cm="1">
        <f t="array" ref="I136">_xlfn.PERCENTRANK.EXC(_xlfn._xlws.FILTER(I2:I122, ISNUMBER(I2:I122)),I120)</f>
        <v>0.54</v>
      </c>
      <c r="J136" s="40" cm="1">
        <f t="array" ref="J136">_xlfn.PERCENTRANK.EXC(_xlfn._xlws.FILTER(J2:J122, ISNUMBER(J2:J122)),J120)</f>
        <v>0.76200000000000001</v>
      </c>
      <c r="K136" s="40" cm="1">
        <f t="array" ref="K136">_xlfn.PERCENTRANK.EXC(_xlfn._xlws.FILTER(K2:K122, ISNUMBER(K2:K122)),K120)</f>
        <v>0.45900000000000002</v>
      </c>
      <c r="L136" s="40" cm="1">
        <f t="array" ref="L136">_xlfn.PERCENTRANK.EXC(_xlfn._xlws.FILTER(L2:L122, ISNUMBER(L2:L122)),L120)</f>
        <v>0.56499999999999995</v>
      </c>
      <c r="M136" s="40" cm="1">
        <f t="array" ref="M136">_xlfn.PERCENTRANK.EXC(_xlfn._xlws.FILTER(M2:M122, ISNUMBER(M2:M122)),M120)</f>
        <v>0.70399999999999996</v>
      </c>
      <c r="N136" s="40" cm="1">
        <f t="array" ref="N136">_xlfn.PERCENTRANK.EXC(_xlfn._xlws.FILTER(N2:N122, ISNUMBER(N2:N122)),N120)</f>
        <v>0.63900000000000001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0.73699999999999999</v>
      </c>
      <c r="C137" s="40" cm="1">
        <f t="array" ref="C137">_xlfn.PERCENTRANK.EXC(_xlfn._xlws.FILTER(C2:C122, ISNUMBER(C2:C122)),C121)</f>
        <v>0.89300000000000002</v>
      </c>
      <c r="D137" s="40" cm="1">
        <f t="array" ref="D137">_xlfn.PERCENTRANK.EXC(_xlfn._xlws.FILTER(D2:D122, ISNUMBER(D2:D122)),D121)</f>
        <v>0.85199999999999998</v>
      </c>
      <c r="E137" s="40" cm="1">
        <f t="array" ref="E137">_xlfn.PERCENTRANK.EXC(_xlfn._xlws.FILTER(E2:E122, ISNUMBER(E2:E122)),E121)</f>
        <v>0.81899999999999995</v>
      </c>
      <c r="F137" s="40" cm="1">
        <f t="array" ref="F137">_xlfn.PERCENTRANK.EXC(_xlfn._xlws.FILTER(F2:F122, ISNUMBER(F2:F122)),F121)</f>
        <v>0.68799999999999994</v>
      </c>
      <c r="G137" s="40" cm="1">
        <f t="array" ref="G137">_xlfn.PERCENTRANK.EXC(_xlfn._xlws.FILTER(G2:G122, ISNUMBER(G2:G122)),G121)</f>
        <v>0.81100000000000005</v>
      </c>
      <c r="H137" s="40" cm="1">
        <f t="array" ref="H137">_xlfn.PERCENTRANK.EXC(_xlfn._xlws.FILTER(H2:H122, ISNUMBER(H2:H122)),H121)</f>
        <v>0.90100000000000002</v>
      </c>
      <c r="I137" s="40" cm="1">
        <f t="array" ref="I137">_xlfn.PERCENTRANK.EXC(_xlfn._xlws.FILTER(I2:I122, ISNUMBER(I2:I122)),I121)</f>
        <v>0.55700000000000005</v>
      </c>
      <c r="J137" s="40" cm="1">
        <f t="array" ref="J137">_xlfn.PERCENTRANK.EXC(_xlfn._xlws.FILTER(J2:J122, ISNUMBER(J2:J122)),J121)</f>
        <v>0.82699999999999996</v>
      </c>
      <c r="K137" s="40" cm="1">
        <f t="array" ref="K137">_xlfn.PERCENTRANK.EXC(_xlfn._xlws.FILTER(K2:K122, ISNUMBER(K2:K122)),K121)</f>
        <v>0.56499999999999995</v>
      </c>
      <c r="L137" s="40" cm="1">
        <f t="array" ref="L137">_xlfn.PERCENTRANK.EXC(_xlfn._xlws.FILTER(L2:L122, ISNUMBER(L2:L122)),L121)</f>
        <v>0.72899999999999998</v>
      </c>
      <c r="M137" s="40" cm="1">
        <f t="array" ref="M137">_xlfn.PERCENTRANK.EXC(_xlfn._xlws.FILTER(M2:M122, ISNUMBER(M2:M122)),M121)</f>
        <v>0.90100000000000002</v>
      </c>
      <c r="N137" s="40" cm="1">
        <f t="array" ref="N137">_xlfn.PERCENTRANK.EXC(_xlfn._xlws.FILTER(N2:N122, ISNUMBER(N2:N122)),N121)</f>
        <v>0.77800000000000002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0.63100000000000001</v>
      </c>
      <c r="C138" s="40" cm="1">
        <f t="array" ref="C138">_xlfn.PERCENTRANK.EXC(_xlfn._xlws.FILTER(C2:C122, ISNUMBER(C2:C122)),C122)</f>
        <v>0.91800000000000004</v>
      </c>
      <c r="D138" s="40" cm="1">
        <f t="array" ref="D138">_xlfn.PERCENTRANK.EXC(_xlfn._xlws.FILTER(D2:D122, ISNUMBER(D2:D122)),D122)</f>
        <v>0.90100000000000002</v>
      </c>
      <c r="E138" s="40" cm="1">
        <f t="array" ref="E138">_xlfn.PERCENTRANK.EXC(_xlfn._xlws.FILTER(E2:E122, ISNUMBER(E2:E122)),E122)</f>
        <v>0.90900000000000003</v>
      </c>
      <c r="F138" s="40" cm="1">
        <f t="array" ref="F138">_xlfn.PERCENTRANK.EXC(_xlfn._xlws.FILTER(F2:F122, ISNUMBER(F2:F122)),F122)</f>
        <v>0.83599999999999997</v>
      </c>
      <c r="G138" s="40" cm="1">
        <f t="array" ref="G138">_xlfn.PERCENTRANK.EXC(_xlfn._xlws.FILTER(G2:G122, ISNUMBER(G2:G122)),G122)</f>
        <v>0.83599999999999997</v>
      </c>
      <c r="H138" s="40" cm="1">
        <f t="array" ref="H138">_xlfn.PERCENTRANK.EXC(_xlfn._xlws.FILTER(H2:H122, ISNUMBER(H2:H122)),H122)</f>
        <v>0.89300000000000002</v>
      </c>
      <c r="I138" s="40" cm="1">
        <f t="array" ref="I138">_xlfn.PERCENTRANK.EXC(_xlfn._xlws.FILTER(I2:I122, ISNUMBER(I2:I122)),I122)</f>
        <v>0.76200000000000001</v>
      </c>
      <c r="J138" s="40" cm="1">
        <f t="array" ref="J138">_xlfn.PERCENTRANK.EXC(_xlfn._xlws.FILTER(J2:J122, ISNUMBER(J2:J122)),J122)</f>
        <v>0.94199999999999995</v>
      </c>
      <c r="K138" s="40" cm="1">
        <f t="array" ref="K138">_xlfn.PERCENTRANK.EXC(_xlfn._xlws.FILTER(K2:K122, ISNUMBER(K2:K122)),K122)</f>
        <v>0.65500000000000003</v>
      </c>
      <c r="L138" s="40" cm="1">
        <f t="array" ref="L138">_xlfn.PERCENTRANK.EXC(_xlfn._xlws.FILTER(L2:L122, ISNUMBER(L2:L122)),L122)</f>
        <v>0.89300000000000002</v>
      </c>
      <c r="M138" s="40" cm="1">
        <f t="array" ref="M138">_xlfn.PERCENTRANK.EXC(_xlfn._xlws.FILTER(M2:M122, ISNUMBER(M2:M122)),M122)</f>
        <v>0.877</v>
      </c>
      <c r="N138" s="40" cm="1">
        <f t="array" ref="N138">_xlfn.PERCENTRANK.EXC(_xlfn._xlws.FILTER(N2:N122, ISNUMBER(N2:N122)),N122)</f>
        <v>0.81899999999999995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0.57066666666666666</v>
      </c>
      <c r="C140" s="40">
        <f t="shared" si="4"/>
        <v>0.84666666666666668</v>
      </c>
      <c r="D140" s="40">
        <f t="shared" si="4"/>
        <v>0.82200000000000006</v>
      </c>
      <c r="E140" s="40">
        <f t="shared" si="4"/>
        <v>0.76966666666666672</v>
      </c>
      <c r="F140" s="40">
        <f t="shared" si="4"/>
        <v>0.68266666666666664</v>
      </c>
      <c r="G140" s="40">
        <f t="shared" si="4"/>
        <v>0.72633333333333328</v>
      </c>
      <c r="H140" s="40">
        <f t="shared" si="4"/>
        <v>0.85199999999999998</v>
      </c>
      <c r="I140" s="40">
        <f t="shared" si="4"/>
        <v>0.6196666666666667</v>
      </c>
      <c r="J140" s="40">
        <f t="shared" si="4"/>
        <v>0.84366666666666656</v>
      </c>
      <c r="K140" s="40">
        <f t="shared" ref="K140:N140" si="5">AVERAGE(K136:K138)</f>
        <v>0.55966666666666665</v>
      </c>
      <c r="L140" s="40">
        <f t="shared" si="5"/>
        <v>0.72900000000000009</v>
      </c>
      <c r="M140" s="40">
        <f t="shared" si="5"/>
        <v>0.82733333333333337</v>
      </c>
      <c r="N140" s="40">
        <f t="shared" si="5"/>
        <v>0.74533333333333329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2.2473256352981301</v>
      </c>
      <c r="C17">
        <v>1.3179969844239301</v>
      </c>
      <c r="D17">
        <v>2.0689557982431301</v>
      </c>
      <c r="E17">
        <v>2.0881582969700099</v>
      </c>
      <c r="F17">
        <v>4.0763824705400697</v>
      </c>
      <c r="G17">
        <v>2.2808425238276202</v>
      </c>
      <c r="H17">
        <v>2.5350927063705502</v>
      </c>
      <c r="I17">
        <v>9.3523186181100009</v>
      </c>
      <c r="J17">
        <v>17.729435576752199</v>
      </c>
      <c r="K17">
        <v>2.1970597067867201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1.9852261665465201</v>
      </c>
      <c r="C18">
        <v>1.26256164128892</v>
      </c>
      <c r="D18">
        <v>1.9523429653106701</v>
      </c>
      <c r="E18">
        <v>1.98003612030208</v>
      </c>
      <c r="F18">
        <v>3.6778955695063602</v>
      </c>
      <c r="G18">
        <v>2.3686407868237098</v>
      </c>
      <c r="H18">
        <v>2.0353592344840301</v>
      </c>
      <c r="I18">
        <v>10.426078419994299</v>
      </c>
      <c r="J18">
        <v>16.6617704734143</v>
      </c>
      <c r="K18">
        <v>1.8510975044873099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1.8209369089118099</v>
      </c>
      <c r="C19">
        <v>1.41909398824033</v>
      </c>
      <c r="D19">
        <v>2.6588130081685701</v>
      </c>
      <c r="E19">
        <v>2.4494459059837599</v>
      </c>
      <c r="F19">
        <v>4.6161386957606796</v>
      </c>
      <c r="G19">
        <v>2.66234515884581</v>
      </c>
      <c r="H19">
        <v>2.7145545164983602</v>
      </c>
      <c r="I19">
        <v>13.640269815163901</v>
      </c>
      <c r="J19">
        <v>22.276701045882</v>
      </c>
      <c r="K19">
        <v>2.4608174872531499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2.1103784337403799</v>
      </c>
      <c r="C20">
        <v>1.5685033677051301</v>
      </c>
      <c r="D20">
        <v>2.7437140216779898</v>
      </c>
      <c r="E20">
        <v>2.3638684012565601</v>
      </c>
      <c r="F20">
        <v>4.4608955609159597</v>
      </c>
      <c r="G20">
        <v>2.5838872063229701</v>
      </c>
      <c r="H20">
        <v>3.1278508503090099</v>
      </c>
      <c r="I20">
        <v>12.7503134076109</v>
      </c>
      <c r="J20">
        <v>22.968710553754502</v>
      </c>
      <c r="K20">
        <v>2.80266519059803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2.1110661944484499</v>
      </c>
      <c r="C21">
        <v>1.47895581929429</v>
      </c>
      <c r="D21">
        <v>2.6777089727063799</v>
      </c>
      <c r="E21">
        <v>2.6563617282417602</v>
      </c>
      <c r="F21">
        <v>4.5667320288081603</v>
      </c>
      <c r="G21">
        <v>2.8647085842717601</v>
      </c>
      <c r="H21">
        <v>3.0029399050437098</v>
      </c>
      <c r="I21">
        <v>16.325735645340298</v>
      </c>
      <c r="J21">
        <v>24.345268158817699</v>
      </c>
      <c r="K21">
        <v>2.9207046794115401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-9.3828156139095231E-3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4.0814241598043699E-2</v>
      </c>
      <c r="E25" s="48" cm="1">
        <f t="array" ref="E25">(E21/INDEX(E2:E21,MATCH(TRUE,INDEX(ISNUMBER(E2:E21),0),0)))^(1/E23)-1</f>
        <v>2.8283094678403842E-2</v>
      </c>
      <c r="F25" s="48" cm="1">
        <f t="array" ref="F25">(F21/INDEX(F2:F21,MATCH(TRUE,INDEX(ISNUMBER(F2:F21),0),0)))^(1/F23)-1</f>
        <v>2.4111183294471816E-2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3.714974898957335E-3</v>
      </c>
      <c r="I25" s="48" cm="1">
        <f t="array" ref="I25">(I21/INDEX(I2:I21,MATCH(TRUE,INDEX(ISNUMBER(I2:I21),0),0)))^(1/I23)-1</f>
        <v>0.12989456714169711</v>
      </c>
      <c r="J25" s="48" cm="1">
        <f t="array" ref="J25">(J21/INDEX(J2:J21,MATCH(TRUE,INDEX(ISNUMBER(J2:J21),0),0)))^(1/J23)-1</f>
        <v>5.9885244145746919E-2</v>
      </c>
      <c r="K25" s="48" cm="1">
        <f t="array" ref="K25">(K21/INDEX(K2:K21,MATCH(TRUE,INDEX(ISNUMBER(K2:K21),0),0)))^(1/K23)-1</f>
        <v>1.8533351250322294E-2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1.6456842</v>
      </c>
      <c r="E3" cm="1">
        <f t="array" ref="E3">_xll.FDSB(B3,"FG_PRICE_CHANGE(0,-1AY)")</f>
        <v>-0.82283616000000004</v>
      </c>
      <c r="F3" cm="1">
        <f t="array" ref="F3">_xll.FDSB(B3,"FG_PRICE_CHANGE(0,-1AM)")</f>
        <v>1.2013555</v>
      </c>
      <c r="G3" cm="1">
        <f t="array" ref="G3">_xll.FDSB(B3,"FG_PRICE_CHANGE(0,-3AM)")</f>
        <v>8.2290169999999996E-2</v>
      </c>
      <c r="H3" cm="1">
        <f t="array" ref="H3">_xll.FDSB(B3,"FG_PRICE_CHANGE(0,-6AM)")</f>
        <v>-1.4235139000000001</v>
      </c>
      <c r="I3" cm="1">
        <f t="array" ref="I3">_xll.FDS(B3,"STD(FG_PRICE_CHANGE(0,-1AY,AM))")</f>
        <v>2.0704493249158</v>
      </c>
      <c r="J3" cm="1">
        <f t="array" ref="J3">_xll.FDS(B3,"STD(FG_PRICE_CHANGE(0,-3AY,M))")*SQRT(12)</f>
        <v>12.473274600440492</v>
      </c>
      <c r="L3">
        <f>(1-(_xlfn.PERCENTRANK.EXC($F$3:$F$15,F3)))*100</f>
        <v>28.6</v>
      </c>
      <c r="M3">
        <f>(1-(_xlfn.PERCENTRANK.EXC($G$3:$G$15,G3)))*100</f>
        <v>21.499999999999996</v>
      </c>
      <c r="N3">
        <f>(1-(_xlfn.PERCENTRANK.EXC($H$3:$H$15,H3)))*100</f>
        <v>35.799999999999997</v>
      </c>
      <c r="O3">
        <f>SUMPRODUCT($L$1:$N$1,L3:N3)</f>
        <v>28.64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17.899999999999999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1.4876525</v>
      </c>
      <c r="E4" cm="1">
        <f t="array" ref="E4">_xll.FDSB(B4,"FG_PRICE_CHANGE(0,-1AY)")</f>
        <v>-4.6042800000000002</v>
      </c>
      <c r="F4" cm="1">
        <f t="array" ref="F4">_xll.FDSB(B4,"FG_PRICE_CHANGE(0,-1AM)")</f>
        <v>-1.0934174000000001</v>
      </c>
      <c r="G4" cm="1">
        <f t="array" ref="G4">_xll.FDSB(B4,"FG_PRICE_CHANGE(0,-3AM)")</f>
        <v>0.31241180000000002</v>
      </c>
      <c r="H4" cm="1">
        <f t="array" ref="H4">_xll.FDSB(B4,"FG_PRICE_CHANGE(0,-6AM)")</f>
        <v>-2.9157937</v>
      </c>
      <c r="I4" cm="1">
        <f t="array" ref="I4">_xll.FDS(B4,"STD(FG_PRICE_CHANGE(0,-1AY,AM))")</f>
        <v>1.8835259908879201</v>
      </c>
      <c r="J4" cm="1">
        <f t="array" ref="J4">_xll.FDS(B4,"STD(FG_PRICE_CHANGE(0,-3AY,M))")*SQRT(12)</f>
        <v>10.952512833738925</v>
      </c>
      <c r="L4">
        <f t="shared" ref="L4:L15" si="1">(1-(_xlfn.PERCENTRANK.EXC($F$3:$F$15,F4)))*100</f>
        <v>92.9</v>
      </c>
      <c r="M4">
        <f t="shared" ref="M4:M15" si="2">(1-(_xlfn.PERCENTRANK.EXC($G$3:$G$15,G4)))*100</f>
        <v>14.3</v>
      </c>
      <c r="N4">
        <f t="shared" ref="N4:N15" si="3">(1-(_xlfn.PERCENTRANK.EXC($H$3:$H$15,H4)))*100</f>
        <v>71.500000000000014</v>
      </c>
      <c r="O4">
        <f t="shared" ref="O4:O11" si="4">SUMPRODUCT($L$1:$N$1,L4:N4)</f>
        <v>52.900000000000013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41.460000000000008</v>
      </c>
      <c r="U4" cm="1">
        <f t="array" ref="U4">_xlfn.PERCENTRANK.EXC(_xlfn._xlws.FILTER(S$3:S$15, ISNUMBER(S$3:S$15)),S4)*100</f>
        <v>21.4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1.3755500000000001</v>
      </c>
      <c r="E5" cm="1">
        <f t="array" ref="E5">_xll.FDSB(B5,"FG_PRICE_CHANGE(0,-1AY)")</f>
        <v>1.1619805999999999</v>
      </c>
      <c r="F5" cm="1">
        <f t="array" ref="F5">_xll.FDSB(B5,"FG_PRICE_CHANGE(0,-1AM)")</f>
        <v>1.1024951999999999</v>
      </c>
      <c r="G5" cm="1">
        <f t="array" ref="G5">_xll.FDSB(B5,"FG_PRICE_CHANGE(0,-3AM)")</f>
        <v>0.99856853000000001</v>
      </c>
      <c r="H5" cm="1">
        <f t="array" ref="H5">_xll.FDSB(B5,"FG_PRICE_CHANGE(0,-6AM)")</f>
        <v>0.59970619999999997</v>
      </c>
      <c r="I5" cm="1">
        <f t="array" ref="I5">_xll.FDS(B5,"STD(FG_PRICE_CHANGE(0,-1AY,AM))")</f>
        <v>1.1659172761054499</v>
      </c>
      <c r="J5" cm="1">
        <f t="array" ref="J5">_xll.FDS(B5,"STD(FG_PRICE_CHANGE(0,-3AY,M))")*SQRT(12)</f>
        <v>6.3538238934881157</v>
      </c>
      <c r="L5">
        <f t="shared" si="1"/>
        <v>35.799999999999997</v>
      </c>
      <c r="M5">
        <f t="shared" si="2"/>
        <v>7.1999999999999957</v>
      </c>
      <c r="N5">
        <f t="shared" si="3"/>
        <v>7.1999999999999957</v>
      </c>
      <c r="O5">
        <f t="shared" si="4"/>
        <v>12.919999999999998</v>
      </c>
      <c r="P5">
        <f t="shared" si="5"/>
        <v>71.5</v>
      </c>
      <c r="Q5">
        <f>VLOOKUP(A5,CAD!$A$3:$J$15, 10, FALSE)</f>
        <v>35.699999999999996</v>
      </c>
      <c r="S5">
        <f t="shared" si="0"/>
        <v>35.049999999999997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0.91549939999999996</v>
      </c>
      <c r="E6" cm="1">
        <f t="array" ref="E6">_xll.FDSB(B6,"FG_PRICE_CHANGE(0,-1AY)")</f>
        <v>-2.9799519999999999</v>
      </c>
      <c r="F6" cm="1">
        <f t="array" ref="F6">_xll.FDSB(B6,"FG_PRICE_CHANGE(0,-1AM)")</f>
        <v>0.86972713000000001</v>
      </c>
      <c r="G6" cm="1">
        <f t="array" ref="G6">_xll.FDSB(B6,"FG_PRICE_CHANGE(0,-3AM)")</f>
        <v>-0.90634820000000005</v>
      </c>
      <c r="H6" cm="1">
        <f t="array" ref="H6">_xll.FDSB(B6,"FG_PRICE_CHANGE(0,-6AM)")</f>
        <v>-1.5517711999999999</v>
      </c>
      <c r="I6" cm="1">
        <f t="array" ref="I6">_xll.FDS(B6,"STD(FG_PRICE_CHANGE(0,-1AY,AM))")</f>
        <v>1.21308000708563</v>
      </c>
      <c r="J6" cm="1">
        <f t="array" ref="J6">_xll.FDS(B6,"STD(FG_PRICE_CHANGE(0,-3AY,M))")*SQRT(12)</f>
        <v>7.5230849582827322</v>
      </c>
      <c r="L6">
        <f t="shared" si="1"/>
        <v>50</v>
      </c>
      <c r="M6">
        <f t="shared" si="2"/>
        <v>57.2</v>
      </c>
      <c r="N6">
        <f t="shared" si="3"/>
        <v>50</v>
      </c>
      <c r="O6">
        <f t="shared" si="4"/>
        <v>52.88</v>
      </c>
      <c r="P6">
        <f t="shared" si="5"/>
        <v>64.300000000000011</v>
      </c>
      <c r="Q6">
        <f>VLOOKUP(A6,CAD!$A$3:$J$15, 10, FALSE)</f>
        <v>78.5</v>
      </c>
      <c r="S6">
        <f t="shared" si="0"/>
        <v>61.430000000000007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148.72499999999999</v>
      </c>
      <c r="E7" cm="1">
        <f t="array" ref="E7">_xll.FDSB(B7,"FG_PRICE_CHANGE(0,-1AY)")</f>
        <v>-7.3909760000000005E-2</v>
      </c>
      <c r="F7" cm="1">
        <f t="array" ref="F7">_xll.FDSB(B7,"FG_PRICE_CHANGE(0,-1AM)")</f>
        <v>4.2184949999999999</v>
      </c>
      <c r="G7" cm="1">
        <f t="array" ref="G7">_xll.FDSB(B7,"FG_PRICE_CHANGE(0,-3AM)")</f>
        <v>-7.9985084999999998</v>
      </c>
      <c r="H7" cm="1">
        <f t="array" ref="H7">_xll.FDSB(B7,"FG_PRICE_CHANGE(0,-6AM)")</f>
        <v>-2.6445805999999998</v>
      </c>
      <c r="I7" cm="1">
        <f t="array" ref="I7">_xll.FDS(B7,"STD(FG_PRICE_CHANGE(0,-1AY,AM))")</f>
        <v>3.81529190459367</v>
      </c>
      <c r="J7" cm="1">
        <f t="array" ref="J7">_xll.FDS(B7,"STD(FG_PRICE_CHANGE(0,-3AY,M))")*SQRT(12)</f>
        <v>11.700505672378897</v>
      </c>
      <c r="L7">
        <f t="shared" si="1"/>
        <v>7.1999999999999957</v>
      </c>
      <c r="M7">
        <f t="shared" si="2"/>
        <v>92.9</v>
      </c>
      <c r="N7">
        <f t="shared" si="3"/>
        <v>57.2</v>
      </c>
      <c r="O7">
        <f t="shared" si="4"/>
        <v>61.480000000000004</v>
      </c>
      <c r="P7">
        <f t="shared" si="5"/>
        <v>14.299999999999997</v>
      </c>
      <c r="Q7">
        <f>VLOOKUP(A7,CAD!$A$3:$J$15, 10, FALSE)</f>
        <v>64.2</v>
      </c>
      <c r="S7">
        <f t="shared" si="0"/>
        <v>47.870000000000005</v>
      </c>
      <c r="U7" cm="1">
        <f t="array" ref="U7">_xlfn.PERCENTRANK.EXC(_xlfn._xlws.FILTER(S$3:S$15, ISNUMBER(S$3:S$15)),S7)*100</f>
        <v>28.499999999999996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0.85809999999999997</v>
      </c>
      <c r="E8" cm="1">
        <f t="array" ref="E8">_xll.FDSB(B8,"FG_PRICE_CHANGE(0,-1AY)")</f>
        <v>-5.2503767000000003</v>
      </c>
      <c r="F8" cm="1">
        <f t="array" ref="F8">_xll.FDSB(B8,"FG_PRICE_CHANGE(0,-1AM)")</f>
        <v>1.2208819</v>
      </c>
      <c r="G8" cm="1">
        <f t="array" ref="G8">_xll.FDSB(B8,"FG_PRICE_CHANGE(0,-3AM)")</f>
        <v>-4.5972530000000003</v>
      </c>
      <c r="H8" cm="1">
        <f t="array" ref="H8">_xll.FDSB(B8,"FG_PRICE_CHANGE(0,-6AM)")</f>
        <v>-5.899769</v>
      </c>
      <c r="I8" cm="1">
        <f t="array" ref="I8">_xll.FDS(B8,"STD(FG_PRICE_CHANGE(0,-1AY,AM))")</f>
        <v>2.33315713376982</v>
      </c>
      <c r="J8" cm="1">
        <f t="array" ref="J8">_xll.FDS(B8,"STD(FG_PRICE_CHANGE(0,-3AY,M))")*SQRT(12)</f>
        <v>8.5104461616916627</v>
      </c>
      <c r="L8">
        <f t="shared" si="1"/>
        <v>21.499999999999996</v>
      </c>
      <c r="M8">
        <f t="shared" si="2"/>
        <v>85.8</v>
      </c>
      <c r="N8">
        <f t="shared" si="3"/>
        <v>92.9</v>
      </c>
      <c r="O8">
        <f t="shared" si="4"/>
        <v>75.78</v>
      </c>
      <c r="P8">
        <f t="shared" si="5"/>
        <v>42.900000000000006</v>
      </c>
      <c r="Q8">
        <f>VLOOKUP(A8,CAD!$A$3:$J$15, 10, FALSE)</f>
        <v>85.7</v>
      </c>
      <c r="S8">
        <f t="shared" si="0"/>
        <v>67.900000000000006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0.7662542</v>
      </c>
      <c r="E9" cm="1">
        <f t="array" ref="E9">_xll.FDSB(B9,"FG_PRICE_CHANGE(0,-1AY)")</f>
        <v>-6.0687303999999997</v>
      </c>
      <c r="F9" cm="1">
        <f t="array" ref="F9">_xll.FDSB(B9,"FG_PRICE_CHANGE(0,-1AM)")</f>
        <v>3.8313866000000002E-2</v>
      </c>
      <c r="G9" cm="1">
        <f t="array" ref="G9">_xll.FDSB(B9,"FG_PRICE_CHANGE(0,-3AM)")</f>
        <v>-1.6934156</v>
      </c>
      <c r="H9" cm="1">
        <f t="array" ref="H9">_xll.FDSB(B9,"FG_PRICE_CHANGE(0,-6AM)")</f>
        <v>-3.7163257999999999</v>
      </c>
      <c r="I9" cm="1">
        <f t="array" ref="I9">_xll.FDS(B9,"STD(FG_PRICE_CHANGE(0,-1AY,AM))")</f>
        <v>1.63153969450195</v>
      </c>
      <c r="J9" cm="1">
        <f t="array" ref="J9">_xll.FDS(B9,"STD(FG_PRICE_CHANGE(0,-3AY,M))")*SQRT(12)</f>
        <v>8.2808375226256974</v>
      </c>
      <c r="L9">
        <f t="shared" si="1"/>
        <v>64.3</v>
      </c>
      <c r="M9">
        <f t="shared" si="2"/>
        <v>71.500000000000014</v>
      </c>
      <c r="N9">
        <f t="shared" si="3"/>
        <v>78.600000000000009</v>
      </c>
      <c r="O9">
        <f>SUMPRODUCT($L$1:$N$1,L9:N9)</f>
        <v>72.900000000000006</v>
      </c>
      <c r="P9">
        <f t="shared" si="5"/>
        <v>50</v>
      </c>
      <c r="Q9">
        <f>VLOOKUP(A9,CAD!$A$3:$J$15, 10, FALSE)</f>
        <v>28.499999999999996</v>
      </c>
      <c r="S9">
        <f t="shared" si="0"/>
        <v>57.150000000000006</v>
      </c>
      <c r="U9" cm="1">
        <f t="array" ref="U9">_xlfn.PERCENTRANK.EXC(_xlfn._xlws.FILTER(S$3:S$15, ISNUMBER(S$3:S$15)),S9)*100</f>
        <v>64.2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85.8</v>
      </c>
      <c r="M10">
        <f t="shared" si="2"/>
        <v>42.900000000000006</v>
      </c>
      <c r="N10">
        <f t="shared" si="3"/>
        <v>28.6</v>
      </c>
      <c r="O10">
        <f t="shared" si="4"/>
        <v>45.760000000000005</v>
      </c>
      <c r="P10">
        <f t="shared" si="5"/>
        <v>92.9</v>
      </c>
      <c r="Q10">
        <f>VLOOKUP(A10,CAD!$A$3:$J$15, 10, FALSE)</f>
        <v>14.2</v>
      </c>
      <c r="S10">
        <f t="shared" si="0"/>
        <v>53.59</v>
      </c>
      <c r="U10" cm="1">
        <f t="array" ref="U10">_xlfn.PERCENTRANK.EXC(_xlfn._xlws.FILTER(S$3:S$15, ISNUMBER(S$3:S$15)),S10)*100</f>
        <v>42.8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85.8</v>
      </c>
      <c r="M11">
        <f t="shared" si="2"/>
        <v>42.900000000000006</v>
      </c>
      <c r="N11">
        <f t="shared" si="3"/>
        <v>28.6</v>
      </c>
      <c r="O11">
        <f t="shared" si="4"/>
        <v>45.760000000000005</v>
      </c>
      <c r="P11">
        <f t="shared" si="5"/>
        <v>92.9</v>
      </c>
      <c r="Q11">
        <f>VLOOKUP(A11,CAD!$A$3:$J$15, 10, FALSE)</f>
        <v>14.2</v>
      </c>
      <c r="S11">
        <f t="shared" si="0"/>
        <v>53.59</v>
      </c>
      <c r="U11" cm="1">
        <f t="array" ref="U11">_xlfn.PERCENTRANK.EXC(_xlfn._xlws.FILTER(S$3:S$15, ISNUMBER(S$3:S$15)),S11)*100</f>
        <v>42.8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0.85809999999999997</v>
      </c>
      <c r="E12" cm="1">
        <f t="array" ref="E12">_xll.FDSB(B12,"FG_PRICE_CHANGE(0,-1AY)")</f>
        <v>-5.2503767000000003</v>
      </c>
      <c r="F12" cm="1">
        <f t="array" ref="F12">_xll.FDSB(B12,"FG_PRICE_CHANGE(0,-1AM)")</f>
        <v>1.2208819</v>
      </c>
      <c r="G12" cm="1">
        <f t="array" ref="G12">_xll.FDSB(B12,"FG_PRICE_CHANGE(0,-3AM)")</f>
        <v>-4.5972530000000003</v>
      </c>
      <c r="H12" cm="1">
        <f t="array" ref="H12">_xll.FDSB(B12,"FG_PRICE_CHANGE(0,-6AM)")</f>
        <v>-5.899769</v>
      </c>
      <c r="I12" cm="1">
        <f t="array" ref="I12">_xll.FDS(B12,"STD(FG_PRICE_CHANGE(0,-1AY,AM))")</f>
        <v>2.33315713376982</v>
      </c>
      <c r="J12" cm="1">
        <f t="array" ref="J12">_xll.FDS(B12,"STD(FG_PRICE_CHANGE(0,-3AY,M))")*SQRT(12)</f>
        <v>8.5104461616916627</v>
      </c>
      <c r="L12">
        <f t="shared" si="1"/>
        <v>21.499999999999996</v>
      </c>
      <c r="M12">
        <f t="shared" si="2"/>
        <v>85.8</v>
      </c>
      <c r="N12">
        <f t="shared" si="3"/>
        <v>92.9</v>
      </c>
      <c r="O12">
        <f t="shared" ref="O12:O15" si="6">SUMPRODUCT($L$1:$N$1,L12:N12)</f>
        <v>75.78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60.760000000000005</v>
      </c>
      <c r="U12" cm="1">
        <f t="array" ref="U12">_xlfn.PERCENTRANK.EXC(_xlfn._xlws.FILTER(S$3:S$15, ISNUMBER(S$3:S$15)),S12)*100</f>
        <v>71.399999999999991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85.8</v>
      </c>
      <c r="M13" s="183">
        <f t="shared" si="2"/>
        <v>42.900000000000006</v>
      </c>
      <c r="N13" s="183">
        <f t="shared" si="3"/>
        <v>28.6</v>
      </c>
      <c r="O13" s="183">
        <f t="shared" si="6"/>
        <v>45.760000000000005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65.02000000000001</v>
      </c>
      <c r="U13" s="183" cm="1">
        <f t="array" ref="U13">_xlfn.PERCENTRANK.EXC(_xlfn._xlws.FILTER(S$3:S$15, ISNUMBER(S$3:S$15)),S13)*100</f>
        <v>85.7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10.40465</v>
      </c>
      <c r="E14" cm="1">
        <f t="array" ref="E14">_xll.FDSB(B14,"FG_PRICE_CHANGE(0,-1AY)")</f>
        <v>-4.4888554000000003</v>
      </c>
      <c r="F14" cm="1">
        <f t="array" ref="F14">_xll.FDSB(B14,"FG_PRICE_CHANGE(0,-1AM)")</f>
        <v>6.8283079999999996E-2</v>
      </c>
      <c r="G14" cm="1">
        <f t="array" ref="G14">_xll.FDSB(B14,"FG_PRICE_CHANGE(0,-3AM)")</f>
        <v>-1.3379812</v>
      </c>
      <c r="H14" cm="1">
        <f t="array" ref="H14">_xll.FDSB(B14,"FG_PRICE_CHANGE(0,-6AM)")</f>
        <v>-2.8174996000000001</v>
      </c>
      <c r="I14" cm="1">
        <f t="array" ref="I14">_xll.FDS(B14,"STD(FG_PRICE_CHANGE(0,-1AY,AM))")</f>
        <v>2.5005618481748701</v>
      </c>
      <c r="J14" cm="1">
        <f t="array" ref="J14">_xll.FDS(B14,"STD(FG_PRICE_CHANGE(0,-3AY,M))")*SQRT(12)</f>
        <v>10.727926343788484</v>
      </c>
      <c r="L14">
        <f t="shared" si="1"/>
        <v>57.2</v>
      </c>
      <c r="M14">
        <f t="shared" si="2"/>
        <v>64.3</v>
      </c>
      <c r="N14">
        <f t="shared" si="3"/>
        <v>64.3</v>
      </c>
      <c r="O14">
        <f t="shared" si="6"/>
        <v>62.879999999999995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54.3</v>
      </c>
      <c r="U14" cm="1">
        <f t="array" ref="U14">_xlfn.PERCENTRANK.EXC(_xlfn._xlws.FILTER(S$3:S$15, ISNUMBER(S$3:S$15)),S14)*100</f>
        <v>57.099999999999994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1772.654</v>
      </c>
      <c r="E15" cm="1">
        <f t="array" ref="E15">_xll.FDSB(B15,"FG_PRICE_CHANGE(0,-1AY)")</f>
        <v>-2.9799460999999998</v>
      </c>
      <c r="F15" cm="1">
        <f t="array" ref="F15">_xll.FDSB(B15,"FG_PRICE_CHANGE(0,-1AM)")</f>
        <v>0.86972713000000001</v>
      </c>
      <c r="G15" cm="1">
        <f t="array" ref="G15">_xll.FDSB(B15,"FG_PRICE_CHANGE(0,-3AM)")</f>
        <v>-0.90634227000000001</v>
      </c>
      <c r="H15" cm="1">
        <f t="array" ref="H15">_xll.FDSB(B15,"FG_PRICE_CHANGE(0,-6AM)")</f>
        <v>-1.5517711999999999</v>
      </c>
      <c r="I15" cm="1">
        <f t="array" ref="I15">_xll.FDS(B15,"STD(FG_PRICE_CHANGE(0,-1AY,AM))")</f>
        <v>1.21308057096045</v>
      </c>
      <c r="J15" cm="1">
        <f t="array" ref="J15">_xll.FDS(B15,"STD(FG_PRICE_CHANGE(0,-3AY,M))")*SQRT(12)</f>
        <v>7.5230856816040532</v>
      </c>
      <c r="L15">
        <f t="shared" si="1"/>
        <v>50</v>
      </c>
      <c r="M15">
        <f t="shared" si="2"/>
        <v>50</v>
      </c>
      <c r="N15">
        <f t="shared" si="3"/>
        <v>50</v>
      </c>
      <c r="O15">
        <f t="shared" si="6"/>
        <v>50</v>
      </c>
      <c r="P15">
        <f t="shared" si="5"/>
        <v>57.2</v>
      </c>
      <c r="Q15">
        <f>VLOOKUP(A15,CAD!$A$3:$J$15, 10, FALSE)</f>
        <v>57.099999999999994</v>
      </c>
      <c r="S15">
        <f t="shared" si="7"/>
        <v>53.58</v>
      </c>
      <c r="U15" cm="1">
        <f t="array" ref="U15">_xlfn.PERCENTRANK.EXC(_xlfn._xlws.FILTER(S$3:S$15, ISNUMBER(S$3:S$15)),S15)*100</f>
        <v>35.699999999999996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-7.1</v>
      </c>
      <c r="H3" cm="1">
        <f t="array" ref="H3">IFERROR(_xll.FDS($F3,"EE_ACTUAL_ANNUAL(MED,+1)"),0)</f>
        <v>-6.4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-0.95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7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6.5138108890660602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-3.2679156583067601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-3.2679156583067601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-1.0185177977909401</v>
      </c>
      <c r="H12" cm="1">
        <f t="array" ref="H12">IFERROR(_xll.FDS($F12,"EE_ACTUAL_ANNUAL(MED,+1)"),0)</f>
        <v>-0.2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6.3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-1.42515894002661E-2</v>
      </c>
      <c r="H15" cm="1">
        <f t="array" ref="H15">IFERROR(_xll.FDS($F15,"EE_ACTUAL_ANNUAL(MED,+1)"),0)</f>
        <v>1.4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9.00388709577871</v>
      </c>
      <c r="C17">
        <v>11.7272452683733</v>
      </c>
      <c r="D17">
        <v>11.975727756343399</v>
      </c>
      <c r="E17">
        <v>10.447567210817001</v>
      </c>
      <c r="F17">
        <v>8.35596275667646</v>
      </c>
      <c r="G17">
        <v>14.538819869127099</v>
      </c>
      <c r="H17">
        <v>12.870966472555001</v>
      </c>
      <c r="I17">
        <v>25.0117290637019</v>
      </c>
      <c r="J17">
        <v>18.292929298971799</v>
      </c>
      <c r="K17">
        <v>10.914009645072801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7.5322638854437498</v>
      </c>
      <c r="C18">
        <v>11.0508592022587</v>
      </c>
      <c r="D18">
        <v>11.1869789498459</v>
      </c>
      <c r="E18">
        <v>9.7147154363071397</v>
      </c>
      <c r="F18">
        <v>7.4385992524735203</v>
      </c>
      <c r="G18">
        <v>14.667779515581</v>
      </c>
      <c r="H18">
        <v>11.207712202749599</v>
      </c>
      <c r="I18">
        <v>24.5344428355254</v>
      </c>
      <c r="J18">
        <v>17.2298191699104</v>
      </c>
      <c r="K18">
        <v>8.9422344840982699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6.4440018443672704</v>
      </c>
      <c r="C19">
        <v>12.8471719199911</v>
      </c>
      <c r="D19">
        <v>14.105928515653099</v>
      </c>
      <c r="E19">
        <v>12.199709394090799</v>
      </c>
      <c r="F19">
        <v>9.2207655509659396</v>
      </c>
      <c r="G19">
        <v>16.3837417700753</v>
      </c>
      <c r="H19">
        <v>13.922736684393399</v>
      </c>
      <c r="I19">
        <v>26.6372020899856</v>
      </c>
      <c r="J19">
        <v>20.686284214699398</v>
      </c>
      <c r="K19">
        <v>12.253955548111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7.7689689945967704</v>
      </c>
      <c r="C20">
        <v>14.658060585061</v>
      </c>
      <c r="D20">
        <v>14.0067090394672</v>
      </c>
      <c r="E20">
        <v>11.818711551999799</v>
      </c>
      <c r="F20">
        <v>9.2254454729258004</v>
      </c>
      <c r="G20">
        <v>16.690651733527702</v>
      </c>
      <c r="H20">
        <v>15.858347905759301</v>
      </c>
      <c r="I20">
        <v>24.048321566420601</v>
      </c>
      <c r="J20">
        <v>20.598310597585201</v>
      </c>
      <c r="K20">
        <v>13.153419453009199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6.5791075223619204</v>
      </c>
      <c r="C21">
        <v>13.226394097123199</v>
      </c>
      <c r="D21">
        <v>13.1479323697033</v>
      </c>
      <c r="E21">
        <v>11.938792865095699</v>
      </c>
      <c r="F21">
        <v>9.2997686176437409</v>
      </c>
      <c r="G21">
        <v>19.302463641340701</v>
      </c>
      <c r="H21">
        <v>14.7202942014685</v>
      </c>
      <c r="I21">
        <v>25.30628712435</v>
      </c>
      <c r="J21">
        <v>20.344268503591</v>
      </c>
      <c r="K21">
        <v>13.2312741384504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6.4440018443672704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8.9422344840982699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11.98362890343655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6.5791075223619204</v>
      </c>
      <c r="C25" s="8">
        <f t="shared" si="2"/>
        <v>13.226394097123199</v>
      </c>
      <c r="D25" s="8">
        <f t="shared" si="2"/>
        <v>13.1479323697033</v>
      </c>
      <c r="E25" s="8">
        <f t="shared" si="2"/>
        <v>11.938792865095699</v>
      </c>
      <c r="F25" s="8">
        <f t="shared" si="2"/>
        <v>9.2997686176437409</v>
      </c>
      <c r="G25" s="8">
        <f t="shared" si="2"/>
        <v>19.302463641340701</v>
      </c>
      <c r="H25" s="8">
        <f t="shared" si="2"/>
        <v>14.7202942014685</v>
      </c>
      <c r="I25" s="8">
        <f t="shared" si="2"/>
        <v>25.30628712435</v>
      </c>
      <c r="J25" s="8">
        <f t="shared" si="2"/>
        <v>20.344268503591</v>
      </c>
      <c r="K25" s="8">
        <f t="shared" si="2"/>
        <v>13.2312741384504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45546</v>
      </c>
      <c r="M1" s="116"/>
    </row>
    <row r="2" spans="1:20" ht="15" thickBot="1" x14ac:dyDescent="0.4">
      <c r="K2" s="12" t="s">
        <v>772</v>
      </c>
      <c r="L2" s="187">
        <f ca="1">EDATE(TODAY(), -4)</f>
        <v>45454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46.885586000000004</v>
      </c>
      <c r="N4" cm="1">
        <f t="array" aca="1" ref="N4" ca="1">_xll.FDSRC("-","DUMMY","ECON_EXPR_DATA('FDS_ECON["&amp;H4&amp;"]',"&amp;$N$3&amp;",,Q)")</f>
        <v>45.848022</v>
      </c>
      <c r="O4" cm="1">
        <f t="array" aca="1" ref="O4" ca="1">_xll.FDSRC("-","DUMMY","ECON_EXPR_DATA('FDS_ECON["&amp;H4&amp;"]',"&amp;$O$3&amp;",,Q)")</f>
        <v>45.543390000000002</v>
      </c>
      <c r="P4">
        <f t="shared" ref="P4:P12" ca="1" si="0">IFERROR(N4-O4,$M$20)</f>
        <v>0.30463199999999802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71.399999999999991</v>
      </c>
      <c r="S4">
        <f ca="1">Q4*Assumption!$E$27 + R4*Assumption!$F$27</f>
        <v>45.66</v>
      </c>
      <c r="T4" cm="1">
        <f t="array" aca="1" ref="T4" ca="1">_xlfn.PERCENTRANK.EXC(_xlfn._xlws.FILTER(S$4:S$16, ISNUMBER(S$4:S$16)),S4)*100</f>
        <v>57.099999999999994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46.746516999999997</v>
      </c>
      <c r="N5" cm="1">
        <f t="array" aca="1" ref="N5" ca="1">_xll.FDSRC("-","DUMMY","ECON_EXPR_DATA('FDS_ECON["&amp;H5&amp;"]',"&amp;$N$3&amp;",,Q)")</f>
        <v>47.567889999999998</v>
      </c>
      <c r="O5" cm="1">
        <f t="array" aca="1" ref="O5" ca="1">_xll.FDSRC("-","DUMMY","ECON_EXPR_DATA('FDS_ECON["&amp;H5&amp;"]',"&amp;$O$3&amp;",,Q)")</f>
        <v>48.811332999999998</v>
      </c>
      <c r="P5">
        <f t="shared" ca="1" si="0"/>
        <v>-1.2434429999999992</v>
      </c>
      <c r="Q5" cm="1">
        <f t="array" ref="Q5">_xlfn.PERCENTRANK.EXC(_xlfn._xlws.FILTER(M$4:M$16, ISNUMBER(M$4:M$16)),M5)*100</f>
        <v>21.4</v>
      </c>
      <c r="R5" cm="1">
        <f t="array" aca="1" ref="R5" ca="1">_xlfn.PERCENTRANK.EXC(_xlfn._xlws.FILTER(P$4:P$16, ISNUMBER(P$4:P$16)),P5)*100</f>
        <v>50</v>
      </c>
      <c r="S5">
        <f ca="1">Q5*Assumption!$E$27 + R5*Assumption!$F$27</f>
        <v>32.839999999999996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50.366905000000003</v>
      </c>
      <c r="N6" cm="1">
        <f t="array" aca="1" ref="N6" ca="1">_xll.FDSRC("-","DUMMY","ECON_EXPR_DATA('FDS_ECON["&amp;H6&amp;"]',"&amp;$N$3&amp;",,Q)")</f>
        <v>49.193686999999997</v>
      </c>
      <c r="O6" cm="1">
        <f t="array" aca="1" ref="O6" ca="1">_xll.FDSRC("-","DUMMY","ECON_EXPR_DATA('FDS_ECON["&amp;H6&amp;"]',"&amp;$O$3&amp;",,Q)")</f>
        <v>49.331885999999997</v>
      </c>
      <c r="P6">
        <f t="shared" ca="1" si="0"/>
        <v>-0.13819900000000018</v>
      </c>
      <c r="Q6" cm="1">
        <f t="array" ref="Q6">_xlfn.PERCENTRANK.EXC(_xlfn._xlws.FILTER(M$4:M$16, ISNUMBER(M$4:M$16)),M6)*100</f>
        <v>85.7</v>
      </c>
      <c r="R6" cm="1">
        <f t="array" aca="1" ref="R6" ca="1">_xlfn.PERCENTRANK.EXC(_xlfn._xlws.FILTER(P$4:P$16, ISNUMBER(P$4:P$16)),P6)*100</f>
        <v>64.2</v>
      </c>
      <c r="S6">
        <f ca="1">Q6*Assumption!$E$27 + R6*Assumption!$F$27</f>
        <v>77.100000000000009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40.599674</v>
      </c>
      <c r="N7" cm="1">
        <f t="array" aca="1" ref="N7" ca="1">_xll.FDSRC("-","DUMMY","ECON_EXPR_DATA('FDS_ECON["&amp;H7&amp;"]',"&amp;$N$3&amp;",,Q)")</f>
        <v>42.065910000000002</v>
      </c>
      <c r="O7" cm="1">
        <f t="array" aca="1" ref="O7" ca="1">_xll.FDSRC("-","DUMMY","ECON_EXPR_DATA('FDS_ECON["&amp;H7&amp;"]',"&amp;$O$3&amp;",,Q)")</f>
        <v>43.781999999999996</v>
      </c>
      <c r="P7">
        <f t="shared" ca="1" si="0"/>
        <v>-1.7160899999999941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49.730063999999999</v>
      </c>
      <c r="N8" cm="1">
        <f t="array" aca="1" ref="N8" ca="1">_xll.FDSRC("-","DUMMY","ECON_EXPR_DATA('FDS_ECON["&amp;H8&amp;"]',"&amp;$N$3&amp;",,Q)")</f>
        <v>49.560065999999999</v>
      </c>
      <c r="O8" cm="1">
        <f t="array" aca="1" ref="O8" ca="1">_xll.FDSRC("-","DUMMY","ECON_EXPR_DATA('FDS_ECON["&amp;H8&amp;"]',"&amp;$O$3&amp;",,Q)")</f>
        <v>49.991356000000003</v>
      </c>
      <c r="P8">
        <f t="shared" ca="1" si="0"/>
        <v>-0.43129000000000417</v>
      </c>
      <c r="Q8" cm="1">
        <f t="array" ref="Q8">_xlfn.PERCENTRANK.EXC(_xlfn._xlws.FILTER(M$4:M$16, ISNUMBER(M$4:M$16)),M8)*100</f>
        <v>71.399999999999991</v>
      </c>
      <c r="R8" cm="1">
        <f t="array" aca="1" ref="R8" ca="1">_xlfn.PERCENTRANK.EXC(_xlfn._xlws.FILTER(P$4:P$16, ISNUMBER(P$4:P$16)),P8)*100</f>
        <v>57.099999999999994</v>
      </c>
      <c r="S8">
        <f ca="1">Q8*Assumption!$E$27 + R8*Assumption!$F$27</f>
        <v>65.679999999999993</v>
      </c>
      <c r="T8" cm="1">
        <f t="array" aca="1" ref="T8" ca="1">_xlfn.PERCENTRANK.EXC(_xlfn._xlws.FILTER(S$4:S$16, ISNUMBER(S$4:S$16)),S8)*100</f>
        <v>64.2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49.874554000000003</v>
      </c>
      <c r="N9" cm="1">
        <f t="array" aca="1" ref="N9" ca="1">_xll.FDSRC("-","DUMMY","ECON_EXPR_DATA('FDS_ECON["&amp;H9&amp;"]',"&amp;$N$3&amp;",,Q)")</f>
        <v>47.458323999999998</v>
      </c>
      <c r="O9" cm="1">
        <f t="array" aca="1" ref="O9" ca="1">_xll.FDSRC("-","DUMMY","ECON_EXPR_DATA('FDS_ECON["&amp;H9&amp;"]',"&amp;$O$3&amp;",,Q)")</f>
        <v>43.896877000000003</v>
      </c>
      <c r="P9">
        <f t="shared" ca="1" si="0"/>
        <v>3.561446999999994</v>
      </c>
      <c r="Q9" cm="1">
        <f t="array" ref="Q9">_xlfn.PERCENTRANK.EXC(_xlfn._xlws.FILTER(M$4:M$16, ISNUMBER(M$4:M$16)),M9)*100</f>
        <v>78.5</v>
      </c>
      <c r="R9" cm="1">
        <f t="array" aca="1" ref="R9" ca="1">_xlfn.PERCENTRANK.EXC(_xlfn._xlws.FILTER(P$4:P$16, ISNUMBER(P$4:P$16)),P9)*100</f>
        <v>92.800000000000011</v>
      </c>
      <c r="S9">
        <f ca="1">Q9*Assumption!$E$27 + R9*Assumption!$F$27</f>
        <v>84.22</v>
      </c>
      <c r="T9" cm="1">
        <f t="array" aca="1" ref="T9" ca="1">_xlfn.PERCENTRANK.EXC(_xlfn._xlws.FILTER(S$4:S$16, ISNUMBER(S$4:S$16)),S9)*100</f>
        <v>85.7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51.538494</v>
      </c>
      <c r="N10" cm="1">
        <f t="array" aca="1" ref="N10" ca="1">_xll.FDSRC("-","DUMMY","ECON_EXPR_DATA('FDS_ECON["&amp;H10&amp;"]',"&amp;$N$3&amp;",,Q)")</f>
        <v>52.055466000000003</v>
      </c>
      <c r="O10" cm="1">
        <f t="array" aca="1" ref="O10" ca="1">_xll.FDSRC("-","DUMMY","ECON_EXPR_DATA('FDS_ECON["&amp;H10&amp;"]',"&amp;$O$3&amp;",,Q)")</f>
        <v>50.395269999999996</v>
      </c>
      <c r="P10">
        <f t="shared" ca="1" si="0"/>
        <v>1.6601960000000062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47.257956999999998</v>
      </c>
      <c r="N11" cm="1">
        <f t="array" aca="1" ref="N11" ca="1">_xll.FDSRC("-","DUMMY","ECON_EXPR_DATA('FDS_ECON["&amp;H11&amp;"]',"&amp;$N$3&amp;",,Q)")</f>
        <v>48.261749999999999</v>
      </c>
      <c r="O11" cm="1">
        <f t="array" aca="1" ref="O11" ca="1">_xll.FDSRC("-","DUMMY","ECON_EXPR_DATA('FDS_ECON["&amp;H11&amp;"]',"&amp;$O$3&amp;",,Q)")</f>
        <v>50.939391999999998</v>
      </c>
      <c r="P11">
        <f t="shared" ca="1" si="0"/>
        <v>-2.6776419999999987</v>
      </c>
      <c r="Q11" cm="1">
        <f t="array" ref="Q11">_xlfn.PERCENTRANK.EXC(_xlfn._xlws.FILTER(M$4:M$16, ISNUMBER(M$4:M$16)),M11)*100</f>
        <v>35.699999999999996</v>
      </c>
      <c r="R11" cm="1">
        <f t="array" aca="1" ref="R11" ca="1">_xlfn.PERCENTRANK.EXC(_xlfn._xlws.FILTER(P$4:P$16, ISNUMBER(P$4:P$16)),P11)*100</f>
        <v>14.2</v>
      </c>
      <c r="S11">
        <f ca="1">Q11*Assumption!$E$27 + R11*Assumption!$F$27</f>
        <v>27.099999999999998</v>
      </c>
      <c r="T11" cm="1">
        <f t="array" aca="1" ref="T11" ca="1">_xlfn.PERCENTRANK.EXC(_xlfn._xlws.FILTER(S$4:S$16, ISNUMBER(S$4:S$16)),S11)*100</f>
        <v>21.4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47.257956999999998</v>
      </c>
      <c r="N12" cm="1">
        <f t="array" aca="1" ref="N12" ca="1">_xll.FDSRC("-","DUMMY","ECON_EXPR_DATA('FDS_ECON["&amp;H12&amp;"]',"&amp;$N$3&amp;",,Q)")</f>
        <v>48.261749999999999</v>
      </c>
      <c r="O12" cm="1">
        <f t="array" aca="1" ref="O12" ca="1">_xll.FDSRC("-","DUMMY","ECON_EXPR_DATA('FDS_ECON["&amp;H12&amp;"]',"&amp;$O$3&amp;",,Q)")</f>
        <v>50.939391999999998</v>
      </c>
      <c r="P12">
        <f t="shared" ca="1" si="0"/>
        <v>-2.6776419999999987</v>
      </c>
      <c r="Q12" cm="1">
        <f t="array" ref="Q12">_xlfn.PERCENTRANK.EXC(_xlfn._xlws.FILTER(M$4:M$16, ISNUMBER(M$4:M$16)),M12)*100</f>
        <v>35.699999999999996</v>
      </c>
      <c r="R12" cm="1">
        <f t="array" aca="1" ref="R12" ca="1">_xlfn.PERCENTRANK.EXC(_xlfn._xlws.FILTER(P$4:P$16, ISNUMBER(P$4:P$16)),P12)*100</f>
        <v>14.2</v>
      </c>
      <c r="S12">
        <f ca="1">Q12*Assumption!$E$27 + R12*Assumption!$F$27</f>
        <v>27.099999999999998</v>
      </c>
      <c r="T12" cm="1">
        <f t="array" aca="1" ref="T12" ca="1">_xlfn.PERCENTRANK.EXC(_xlfn._xlws.FILTER(S$4:S$16, ISNUMBER(S$4:S$16)),S12)*100</f>
        <v>21.4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44.596164999999999</v>
      </c>
      <c r="N13" cm="1">
        <f t="array" aca="1" ref="N13" ca="1">_xll.FDSRC("-","DUMMY","ECON_EXPR_DATA('FDS_ECON["&amp;H13&amp;"]',"&amp;$N$3&amp;",,Q)")</f>
        <v>44.157119999999999</v>
      </c>
      <c r="O13" cm="1">
        <f t="array" aca="1" ref="O13" ca="1">_xll.FDSRC("-","DUMMY","ECON_EXPR_DATA('FDS_ECON["&amp;H13&amp;"]',"&amp;$O$3&amp;",,Q)")</f>
        <v>45.684513000000003</v>
      </c>
      <c r="P13">
        <f t="shared" ref="P13:P16" ca="1" si="1">IFERROR(N13-O13,$M$20)</f>
        <v>-1.5273930000000036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42.8</v>
      </c>
      <c r="S13">
        <f ca="1">Q13*Assumption!$E$27 + R13*Assumption!$F$27</f>
        <v>25.64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48.150829999999999</v>
      </c>
      <c r="N14" cm="1">
        <f t="array" aca="1" ref="N14" ca="1">_xll.FDSRC("-","DUMMY","ECON_EXPR_DATA('FDS_ECON["&amp;H14&amp;"]',"&amp;$N$3&amp;",,Q)")</f>
        <v>48.353454999999997</v>
      </c>
      <c r="O14" cm="1">
        <f t="array" aca="1" ref="O14" ca="1">_xll.FDSRC("-","DUMMY","ECON_EXPR_DATA('FDS_ECON["&amp;H14&amp;"]',"&amp;$O$3&amp;",,Q)")</f>
        <v>51.493879999999997</v>
      </c>
      <c r="P14">
        <f t="shared" ca="1" si="1"/>
        <v>-3.1404250000000005</v>
      </c>
      <c r="Q14" cm="1">
        <f t="array" ref="Q14">_xlfn.PERCENTRANK.EXC(_xlfn._xlws.FILTER(M$4:M$16, ISNUMBER(M$4:M$16)),M14)*100</f>
        <v>57.099999999999994</v>
      </c>
      <c r="R14" cm="1">
        <f t="array" aca="1" ref="R14" ca="1">_xlfn.PERCENTRANK.EXC(_xlfn._xlws.FILTER(P$4:P$16, ISNUMBER(P$4:P$16)),P14)*100</f>
        <v>7.1</v>
      </c>
      <c r="S14">
        <f ca="1">Q14*Assumption!$E$27 + R14*Assumption!$F$27</f>
        <v>37.099999999999994</v>
      </c>
      <c r="T14" cm="1">
        <f t="array" aca="1" ref="T14" ca="1">_xlfn.PERCENTRANK.EXC(_xlfn._xlws.FILTER(S$4:S$16, ISNUMBER(S$4:S$16)),S14)*100</f>
        <v>42.8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47.520110000000003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-1.5814669999999964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35.699999999999996</v>
      </c>
      <c r="S15">
        <f ca="1">Q15*Assumption!$E$27 + R15*Assumption!$F$27</f>
        <v>44.28</v>
      </c>
      <c r="T15" cm="1">
        <f t="array" aca="1" ref="T15" ca="1">_xlfn.PERCENTRANK.EXC(_xlfn._xlws.FILTER(S$4:S$16, ISNUMBER(S$4:S$16)),S15)*100</f>
        <v>50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48.309246000000002</v>
      </c>
      <c r="N16" cm="1">
        <f t="array" aca="1" ref="N16" ca="1">_xll.FDSRC("-","DUMMY","ECON_EXPR_DATA('FDS_ECON["&amp;H16&amp;"]',"&amp;$N$3&amp;",,Q)")</f>
        <v>48.375774</v>
      </c>
      <c r="O16" cm="1">
        <f t="array" aca="1" ref="O16" ca="1">_xll.FDSRC("-","DUMMY","ECON_EXPR_DATA('FDS_ECON["&amp;H16&amp;"]',"&amp;$O$3&amp;",,Q)")</f>
        <v>46.215786000000001</v>
      </c>
      <c r="P16">
        <f t="shared" ca="1" si="1"/>
        <v>2.1599879999999985</v>
      </c>
      <c r="Q16" cm="1">
        <f t="array" ref="Q16">_xlfn.PERCENTRANK.EXC(_xlfn._xlws.FILTER(M$4:M$16, ISNUMBER(M$4:M$16)),M16)*100</f>
        <v>64.2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72.800000000000011</v>
      </c>
      <c r="T16" cm="1">
        <f t="array" aca="1" ref="T16" ca="1">_xlfn.PERCENTRANK.EXC(_xlfn._xlws.FILTER(S$4:S$16, ISNUMBER(S$4:S$16)),S16)*100</f>
        <v>71.399999999999991</v>
      </c>
    </row>
    <row r="18" spans="8:13" x14ac:dyDescent="0.35">
      <c r="K18" t="str" cm="1">
        <f t="array" aca="1" ref="K18" ca="1">_xll.FDSRC("-","DUMMY","ECON_DATE("&amp;$L$1&amp;",,, 'MM/YYYY')")</f>
        <v>09/2024</v>
      </c>
      <c r="L18" t="str" cm="1">
        <f t="array" aca="1" ref="L18" ca="1">_xll.FDSRC("-","DUMMY","ECON_DATE("&amp;$L$2&amp;",,, 'MM/YYYY')")</f>
        <v>06/2024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47.520110000000003</v>
      </c>
      <c r="K19" cm="1">
        <f t="array" aca="1" ref="K19" ca="1">_xll.FDSRC("-","DUMMY","ECON_EXPR_DATA('FDS_ECON["&amp;H19&amp;"]',"&amp;$K$18&amp;",,Q)")</f>
        <v>48.213496999999997</v>
      </c>
      <c r="L19" cm="1">
        <f t="array" aca="1" ref="L19" ca="1">_xll.FDSRC("-","DUMMY","ECON_EXPR_DATA('FDS_ECON["&amp;H19&amp;"]',"&amp;$L$18&amp;",,Q)")</f>
        <v>49.418635999999999</v>
      </c>
      <c r="M19">
        <f ca="1">K19-L19</f>
        <v>-1.2051390000000026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49.800199999999997</v>
      </c>
      <c r="K20" cm="1">
        <f t="array" aca="1" ref="K20" ca="1">_xll.FDSRC("-","DUMMY","ECON_EXPR_DATA('FDS_ECON["&amp;H20&amp;"]',"&amp;$K$18&amp;",,Q)")</f>
        <v>50.418407000000002</v>
      </c>
      <c r="L20" cm="1">
        <f t="array" aca="1" ref="L20" ca="1">_xll.FDSRC("-","DUMMY","ECON_EXPR_DATA('FDS_ECON["&amp;H20&amp;"]',"&amp;$L$18&amp;",,Q)")</f>
        <v>51.999873999999998</v>
      </c>
      <c r="M20">
        <f ca="1">K20-L20</f>
        <v>-1.5814669999999964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100.01949999999999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99515.08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1526.56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1802580.6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2889.72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2961441.3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900.08100000000002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2363407.5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14995.35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6639800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1275.5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2295681.7999999998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3317.806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3282035.8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295184.5575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59975580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584185.50727299997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59975580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642.38800000000003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3172412.5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278.93599999999998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1108898.8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312.46875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1048546.5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504.84825000000001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880973.9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368945.25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630778"><![CDATA[{"FC0000ZA^FG_MCAP_IDX(0,,,USD)":368945.25,"EWI^FREF_MARKET_VALUE_COMPANY(0,,,USD,,0,,\"LEGACY\")":504.84825,"FC0000IT^FMA_MCAP(0,,,USD,\"PORTAGG\")":880973.9,"EWD^FREF_MARKET_VALUE_COMPANY(0,,,USD,,0,,\"LEGACY\")":312.46875,"FC0000SE^FMA_MCAP(0,,,USD,\"PORTAGG\")":1048546.5,"EWN^FREF_MARKET_VALUE_COMPANY(0,,,USD,,0,,\"LEGACY\")":278.936,"FC0000NL^FMA_MCAP(0,,,USD,\"PORTAGG\")":1108898.8,"EWQ^FREF_MARKET_VALUE_COMPANY(0,,,USD,,0,,\"LEGACY\")":642.388,"FC0000FR^FMA_MCAP(0,,,USD,\"PORTAGG\")":3172412.5,"SPY^FREF_MARKET_VALUE_COMPANY(0,,,USD,,0,,\"LEGACY\")":584185.507273,"FC0000US^FMA_MCAP(0,,,USD,\"PORTAGG\")":59975580.0,"FC0000GB^FMA_MCAP(0,,,USD,\"PORTAGG\")":3282035.8,"FC0000CH^FMA_MCAP(0,,,USD,\"PORTAGG\")":2295681.8,"EWG^FREF_MARKET_VALUE_COMPANY(0,,,USD,,0,,\"LEGACY\")":900.081,"FC0000DE^FMA_MCAP(0,,,USD,\"PORTAGG\")":2363407.5,"EWC^FREF_MARKET_VALUE_COMPANY(0,,,USD,,0,,\"LEGACY\")":2889.72,"FC0000CA^FMA_MCAP(0,,,USD,\"PORTAGG\")":2961441.3,"EWA^FREF_MARKET_VALUE_COMPANY(0,,,USD,,0,,\"LEGACY\")":1526.56,"FC0000AU^FMA_MCAP(0,,,USD,\"PORTAGG\")":1802580.6,"ENZL^FREF_MARKET_VALUE_COMPANY(0,,,USD,,0,,\"LEGACY\")":100.0195,"FC0000NZ^FMA_MCAP(0,,,USD,\"PORTAGG\")":99515.08,"NQG00809^FG_COMPANY_NAME":"Nasdaq South Africa","CC_ZA^FG_COMPANY_NAME":"South Africa","NQG00809^FMA_MCAP(0,,,USD,\"PORTAGG\")":null,"QQQ^FREF_MARKET_VALUE_COMPANY(0,,,USD,,0,,\"LEGACY\")":295184.5575,"EWU^FREF_MARKET_VALUE_COMPANY(0,,,USD,,0,,\"LEGACY\")":3317.806,"EWL^FREF_MARKET_VALUE_COMPANY(0,,,USD,,0,,\"LEGACY\")":1275.5,"EWJ^FREF_MARKET_VALUE_COMPANY(0,,,USD,,0,,\"LEGACY\")":14995.35,"FC0000JP^FMA_MCAP(0,,,USD,\"PORTAGG\")":6639800.0,"DUMMY^ECON_EXPR_DATA('FDS_ECON[]',,,M)":null,"DUMMY^ECON_EXPR_DATA('FDS_ECON[NTCPMIMFGSA@NL]',,,M)":48.15083,"DUMMY^ECON_EXPR_DATA('FDS_ECON[NTCPMIMFGSA@FR]',,,M)":44.596165,"DUMMY^ECON_EXPR_DATA('FDS_ECON[NTCPMIMFGMESA@US]',,,M)":47.257957,"DUMMY^ECON_EXPR_DATA('FDS_ECON[NTCPMIMFGSA@CH]',,,M)":49.874554,"DUMMY^ECON_EXPR_DATA('FDS_ECON[NTCPMIMFGSA@JP]',,,M)":49.730064,"DUMMY^ECON_EXPR_DATA('FDS_ECON[NTCPMIMFGSA@CA]',,,M)":50.366905,"DUMMY^ECON_EXPR_DATA('FDS_ECON[NTCPMIMFGSA@NZ]',,,M)":46.885586,"DUMMY^ECON_EXPR_DATA('FDS_ECON[NTCPMIMFGSA@IT]',,,M)":48.309246,"DUMMY^ECON_EXPR_DATA('FDS_ECON[NTCPMIMFGSA@GB]',,,M)":51.538494,"DUMMY^ECON_EXPR_DATA('FDS_ECON[NTCPMIMFGSA@DE]',,,M)":40.599674,"DUMMY^ECON_EXPR_DATA('FDS_ECON[NTCPMIMFGSA@AU]',,,M)":46.746517,"CAGDPY@FR^EE_ACTUAL_ANNUAL(MED,+1)":-0.2,"CAGDPY@AU^EE_ACTUAL_ANNUAL(MED,+1)":-0.95,"USDITL^FG_PRICE_CHANGE(0,-3AM)":-0.90634227,"USDANG^FG_PRICE_CHANGE(0,-3AM)":0.0,"USDUSD^FG_PRICE_CHANGE(0,-3AM)":0.0,"USDGBP^FG_PRICE_CHANGE(0,-3AM)":-1.6934156,"USDJPY^FG_PRICE_CHANGE(0,-3AM)":-7.9985085,"USDCAD^FG_PRICE_CHANGE(0,-3AM)":0.99856853,"USDNZD^FG_PRICE_CHANGE(0,-3AM)":0.0822901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JULIAN(P_PRICE_RETURNS_PR('52W',2,-10AY,0,AM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5],"EWD^FMA_DIV_YLD(NTMA,-10AY,0,AM,\"PORTAGG\",\"MEANR\")":[4.53040002480111,4.16221476523303,4.10449787387969,4.1537943816742,3.77053937039368,3.72665422544009,3.6075712904039,3.842182667258,3.89272251520782,3.96182290230141,3.92138618345557,4.31390155465975,4.31015168727001,4.20572679264249,4.36159496723049,4.60362251734442,4.62033831641612,4.3471054558986,4.39523332943867,4.40540267566593,4.55788981641595,4.50718948749514,4.24063867195989,4.22129046246409,4.11003645922668,4.07235605775042,3.8795934791461,3.91853989821481,3.66795642893299,3.63027584186662,3.65977397137511,3.50071743108476,3.53038431692621,3.56637883682227,3.73406721084445,3.76128239325648,3.54938619492959,3.60234192890126,3.68967703110684,3.64170307036956,4.02556926118666,3.83733383035062,4.10262143772494,3.94661573995278,4.11126866658142,4.15484805058109,4.10030847819855,4.10909179589366,4.1836630433092,4.38320485486567,4.68744493328049,4.53202465506859,4.30921531394334,4.21106658217359,4.05646838875903,4.20659666126445,4.26658045637335,4.1561890592119,4.27445585710311,4.03717402276519,3.95313268603987,3.65843978707427,3.71173026202192,3.58278924176226,3.46683167245765,4.19509167905825,3.61668053943421,3.30557704432185,2.96801133270454,2.98890258385145,3.02130402100338,2.98389143727819,2.982772332735,3.05338272513246,3.04235741895468,2.9946680577473,3.01741830375259,2.82469602227387,2.70146301846704,2.79082221979801,2.67981232615456,2.67209223714433,2.72269849586961,2.75867244469713,2.93146243874012,2.99081508242222,2.92537469820634,2.95168042013467,2.88791920891731,3.26673799760018,3.10341377305367,3.56066000231452,3.3929252975751,3.6277070140978,3.4728794771824,3.66011656520569,3.80938636068104,3.56026287660869,3.59551094918579,3.54628566649539,3.56694476812716,3.64822333509868,3.73848073202407,3.76115250969737,3.7027030680989,3.82992535595011,3.83775590440611,3.96927758132237,3.7518092667886,3.87324110349945,3.04454858379499,3.01080946064914,3.37988393501869,3.22854014829869,3.25873310593097,3.16917448826822,3.20413999234199,3.23719567415478,3.38765972335266,3.32513443716638,3.16999196079178],"EWQ^FMA_PE(NTMA,-10AY,0,AM,\"PORTAGG\",\"MEANR\")":[12.6193460181865,13.2166333959565,13.5382044072804,13.5183553642329,15.5966709330333,16.0693051690907,17.1212684363433,16.4598808836378,15.8414255477056,15.5027022901504,15.9928722431893,14.2469040618953,14.6264557862971,15.2179089584933,14.5154255576792,13.6482204024616,13.2362338680317,14.2201390360053,14.0965319396562,14.2164338128747,13.8916468252149,13.4433692054303,14.071011193418,14.0818527749777,13.9275382093289,13.8074160488588,14.3963557909099,14.606852108756,14.2086830911331,14.5204791092236,14.8274291027537,15.4420951533017,15.0857833266054,14.6671903610003,14.5266539053119,14.5938546318309,15.181976625911,15.0117688428659,15.0807403721605,15.2233093882206,14.0302646214365,14.5561082665678,14.5211620566446,14.872637461286,14.360214453195,14.1535918060352,13.8598306658398,13.4091684181942,13.0242887050954,12.8255122560701,11.9257368373604,12.2764025083788,12.7518756264487,13.389551665396,13.8417914711488,13.4933522370889,13.5722726158725,13.9451615646324,13.5032006484124,14.0374251876923,13.937264481656,14.7464585099916,14.6093041143762,14.998734210636,14.982990546702,12.0007794751946,14.4908623991801,16.808393213263,19.110635466124,19.1810581877785,19.6077840080507,19.2615100032863,18.4475063787322,19.1304383322303,18.6475847890076,18.2940849330013,17.8939394735471,18.3693195486095,18.3359406617786,17.9201710267312,17.8708431058937,17.2489959409964,16.8040119605594,16.2113077794285,15.4921927393993,15.9258752104854,15.5560726408029,15.6199700723769,14.9106679773089,12.9174659146995,13.1845818213338,11.8594507303167,11.7505288159776,11.212534531489,11.8378159627497,11.2171228602018,10.3728840882925,11.7792208877023,12.1441439351193,12.5658722966601,13.1139805173375,13.1455568005883,13.3063256757357,13.3281063468313,13.0086664506343,12.8267540497767,13.2624346705844,12.7954337779076,12.508880406036,12.4338646719306,13.286684698084,13.2398465369851,13.7989093970325,14.4731417682778,14.401093875014,14.7600639061406,14.1095277813994,13.5655161929839,13.2026124203679,13.4295164582927,13.8176776458992],"QQQ^FMA_PE(LTMA,-10AY,0,AM,\"PORTAGG\",\"MEANR\")":[18.6598352652074,19.8176708567082,20.0539852124651,19.9467153214544,19.9684552136977,20.6170470568226,20.5165934784295,20.3269239913662,20.1709637192962,19.8486398494081,20.3629764733999,19.4561289961951,19.5756943326247,20.3118701898547,20.3005679247328,18.8909591873629,17.377373604206,18.210987382253,18.3871666874088,18.4250038698238,18.5419207711197,18.8651845983645,19.5174499690515,19.3011734708972,20.0841352287125,19.5946624458386,20.2460574627044,20.9550100283323,21.5272966967445,21.7012824691961,21.6147480617866,21.8362291341801,21.8748013587034,21.7193753450977,21.8547717192634,22.1178180849743,22.5550393284225,22.9601709104262,23.1165535866492,24.466027251162,22.7594555680994,24.1766392763791,23.5309095384573,23.3964917372297,23.31499405032,23.270639665005,23.1162351815135,22.9675861269558,21.8730150814671,21.1929705968218,19.8993152506081,19.6105937443105,20.356916201376,20.8384295460104,21.2217716128668,21.2836194710615,21.2563689602832,21.9959719970124,21.6847636818609,22.1230652492787,22.1218609409928,23.4354245567167,24.1222716697168,26.0678807637301,26.9151139742376,23.7103607332633,23.9586365959477,25.6723463681525,27.4073898931373,28.9351541395156,29.0798240213996,29.8716264726473,31.7159200519237,31.2164440349449,33.7652130803398,35.6737004269844,35.2200702877984,32.6927600979578,32.8854906224219,31.6073915632322,31.5384318429899,32.0521815114596,31.2749120110133,31.4491931211923,30.4639809733194,31.5675539162829,31.8912178197578,30.4094441818781,27.7775709903219,26.4330130187362,26.5723986280538,25.36578442856,24.588492086928,24.6037718556525,26.2181566935683,25.0694818325439,22.5267481721661,23.5881930141344,23.1611527446583,23.2362045679019,25.6388270133331,25.1199688186376,25.6346200807502,25.7425819066666,26.6445190905435,27.2430702199569,26.4408822481324,26.5615652576326,26.5501724939112,26.9988685401076,27.910124692739,29.0188104307035,30.4408647330281,30.2220539971785,29.8523401013731,29.6247975570445,29.7995245546304,30.8324939572516,29.3686095626441,29.4113394492045,30.8954924578038],"DDR3512M-FDS^FG_PRICE(0)":0.87525415,"PASP-FDS^FG_PRICE(0)":1069.0,"PLATI-FDS^FG_PRICE(0)":960.0,"W-FDS^FG_PRICE(0)":6.0375,"COPP-FDS^FG_PRICE(0)":4.385,"FC0000US^FG_PRICE(0)":431.74844,"FC0000GR^FG_PRICE(0)":9.5069275,"EWI^FG_PRICE(0)":38.03,"SPY^FG_PRICE(0)":576.13,"EWJ^FG_PRICE(0)":70.9,"ENZL^FG_PRICE(0)":48.79,"EWA^FG_COMPANY_NAME":"iShares MSCI Australia ETF","FXI^P_PRICE(0)/P_PRICE_LOW_PR(0,,,,,,\"PRICE\",\"INTRA\",\"52W\")-1":0.59252155,"SPY^FMA_PCT_ABOVE_MAVG(200,0,,,,\"PORTAGG\")":72.8,"URTH^PERCENT_CHANGE(FMA_EPS(+1,0,,,,\"PORTAGG\",\"MEAN\"),FMA_EPS(+1,-3AM,,,,\"PORTAGG\",\"MEAN\"))":0.564302144206768,"VGK^FG_TOTAL_RETURNC(0,-3AM)":1.5499711,"EWD^P_PRICE(0)/P_PRICE_HIGH_PR(0,,,,,,\"PRICE\",\"INTRA\",\"52W\")":0.93835306,"EWQ^FG_TOTAL_RETURNC(0,-12AM)":13.317394,"SPY^PERCENT_CHANGE(FMA_EPS(+1,0,,,,\"PORTAGG\",\"MEAN\"),FMA_EPS(+1,-1AM,,,,\"PORTAGG\",\"MEAN\"))":-1.18526631329981,"EWU^FG_TOTAL_RETURNC(0,-1AM)":0.19173622,"EWJ^FG_TOTAL_RETURNC(0,-6AM)":2.9545665,"EWC^P_PRICE(0)/P_PRICE_LOW_PR(0,,,,,,\"PRICE\",\"INTRA\",\"52W\")-1":0.31805158,"EWA^FMA_PCT_ABOVE_MAVG(200,0,,,,\"PORTAGG\")":68.9655172413793,"EWJ^SIZE(FG_CONSTITUENTS)":199,"EWD^FMA_COS_DOWN(\"EPS\",\"1M\",+1,0,,,\"PORTAGG\",\"MEANR\")":22.0,"EWU^FMA_COS_UP(\"EPS\",\"1M\",+1,0,,,\"PORTAGG\",\"MEANR\")":33.0,"ENZL^SIZE(FG_CONSTITUENTS)":26,"EWI^FMA_RBICS_REV_CURRENT(30, LOC, \"PORTAGG\")":39.9503615126749,"EWQ^FG_ROE(0)":12.1372775385682,"TRYGB10Y-FDS^FG_YIELD_NAME":"United Kingdom Benchmark Bond - 10 Year","EWG^FG_COMPANY_NAME":"iShares MSCI Germany ETF","REFFFUND-FDS^(SUBARRAY(NOT_NA(NO_REPEAT_F(FG_YIELD(NOW,-10AY,D))),0,1)-SUBARRAY(NOT_NA(NO_REPEAT_F(FG_YIELD(NOW,-10AY,D))),1,1))*100":-50.0,"REFEUREFI-FDS^FG_YIELD(NOW,,,0)":3.65,"TRYNL10Y-FDS^PCTCHG(FG_YIELD(0,,,,\"YTM\"),FG_YIELD(-1AM,,,,\"YTM\"))":4.071657,"TRYCA10Y-FDS^PCTCHG(FG_YIELD(0,,,,\"YTM\"),FG_YIELD(-1AM,,,,\"YTM\"))":11.730159,"TRYUS10Y-FDS^FG_YIELD_NAME":"US Benchmark Bond - 10 Year","TRYNZ10Y-FDS^FG_YIELD_NAME":"New Zealand Benchmark Bond - 10 Year","VWO^FG_FCF_YIELD_NTM(0)":5.36906998689637,"EWI^FMA_PE(NTMA,0,,,\"PORTAGG\",\"MEANR\")":10.2748890249973,"EWN^JULIAN(FMA_DIV_YLD(NTMA,NOW,NOW,M,\"PORTAGG\",\"MEANR\").DATES)":45565,"QQQ^FMA_EVAL_EBITDA(NTMA,0,,,\"PORTAGG\",\"MEANR\")":16.7692411229244,"EWL^FMA_DIV_YLD(NTMA,NOW,NOW,M,\"PORTAGG\",\"MEANR\")":3.13847140499757,"EWG^FMA_PE(LTM,0,,,\"PORTAGG\",\"MEANR\")":15.5679795337788,"ENZL^FMA_EVAL_EBIT(LTMA,NOW,NOW,M,\"PORTAGG\",\"MEANR\")":19.7849457837534,"EWJ^FG_COMPANY_NAME":"iShares MSCI Japan ETF","EWD^FG_COMPANY_NAME":"iShares MSCI Sweden ETF","VGK^P_PRICE(0)/P_PRICE_HIGH_PR(0,,,USD,,,\"PRICE\",\"INTRA\",\"52W\")":0.9605993,"QQQ^P_PRICE(0)/P_PRICE_HIGH_PR(0,,,USD,,,\"PRICE\",\"INTRA\",\"52W\")":0.9782928,"VWO^P_PRICE(0)/P_PRICE_HIGH_PR(0,,,USD,,,\"PRICE\",\"INTRA\",\"52W\")":0.9644947,"DUMMY^ECON_EXPR_DATA('FDS_ECON[NTCPMIMFGSA@EME]',,,M)":49.8002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IT^EE_ACTUAL_ANNUAL(MED,+1)":1.4,"CAGDPY@JP^EE_ACTUAL_ANNUAL(MED,+1)":4.0,"CC_CA^FG_COMPANY_NAME":"Canada","USDSEK^FG_PRICE_CHANGE(0,-1AY)":-4.4888554,"USDCHF^FG_PRICE_CHANGE(0,-1AY)":-5.2503767,"USDUSD^FG_PRICE_CHANGE(0,-1AY)":0.0,"USDEUR^FG_PRICE_CHANGE(0,-1AY)":-2.979952,"USDAUD^FG_PRICE_CHANGE(0,-1AY)":-4.6042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61811,10.4260784199943,13.6402698151639,12.7503134076109,16.3257356453403],"EWL^P_PRICE_RETURNS_PR('52W',2,-10AY,0,AM)":[1.9650459,3.7765503,4.0619254,-1.1441171,1.5546083,-4.177541,2.5365233,3.1496644,1.4610648,2.6904225,6.1515093,-2.9456198,5.1244617,-1.3215601,-2.5338352,-4.7481594,-12.0734215,-6.6993356,-9.7456455,-11.834658,-11.972207,-7.360637,-7.9225183,-0.85659623,-2.8427958,-3.110969,-3.3436477,6.310892,12.506151,10.660601,8.606016,15.3249855,14.132822,19.01455,14.758229,14.52285,19.472504,18.835281,23.937057,21.822893,14.797651,14.363373,10.850525,3.3411384,-0.3545165,0.1642704,2.3272038,1.5910625,-4.1460633,-0.27011633,-5.6423783,-6.640786,-1.466918,0.9754658,5.9562564,6.624639,14.1687155,13.83996,10.281897,12.03475,14.800239,17.979097,24.362612,25.441265,28.659307,11.733377,3.6839724,6.4263105,8.631253,9.878564,11.489737,12.537646,16.144062,10.603893,13.09408,13.487207,9.545433,19.05024,29.537224,28.429626,29.020536,26.042128,24.82034,20.48664,16.3324,22.83026,20.056057,13.762927,10.579801,6.0406685,10.34627,-5.5801034,-15.38474,-13.926906,-11.217249,-14.36016,-20.304466,-15.308989,-14.3558445,-11.302525,-7.665944,-4.4069586,-5.514473,13.151956,11.12628,11.555648,8.931899,13.431919,21.4571,4.774916,10.207712,11.047173,6.564498,14.364445,2.0233989,1.3360023,9.283996,10.732079,9.5130205,16.135597,17.877949],"EWG^FG_TOTAL_RETURNC(-10AY,0,AM)":[-11.706143,4.976678,4.1481495,-4.8719826,6.3551426,0.738132,6.5945506,-0.556463,-2.6991427,-0.5704522,0.86535215,-9.128344,-0.83081126,0.57121515,0.0,-8.027256,-5.1461515,5.2517295,3.1752586,4.2765737,-3.602916,-3.6791742,11.543333,-1.1751294,0.6904483,-2.5904775,2.033639,2.8333306,1.8269897,2.7096272,0.9982228,7.0596576,3.1322122,-0.95318556,-0.6251991,4.602647,3.4821153,0.15295744,1.2217402,2.6119947,-5.4245176,2.2132158,-0.09149909,1.3431072,-3.0120492,-1.6248763,-3.9120615,-1.2113035,-4.3596745,-2.136755,-7.2416306,3.5308003,-1.8188715,3.78232,3.5701036,1.7594218,-1.5172899,2.078116,-5.265051,3.3878922,-2.1723151,9.220934,-0.65472126,3.2258034,-1.7473161,-16.073864,-6.1124682,2.34375,19.211197,0.86313486,4.062724,3.1164408,0.29890537,-1.5562952,5.045414,6.739521,-1.0935485,1.5663385,4.6265483,1.473999,2.8577447,-1.6615033,-0.54409504,-0.71983933,-5.075407,3.8496852,-3.854078,1.2664199,-1.7068028,-16.868216,3.2823563,-8.775735,1.3370991,-8.779705,6.0927153,-6.6999617,-10.660124,20.41937,4.726362,6.845069,2.928102,-1.6924798,4.7252774,2.1685839,-2.354467,0.46830177,1.6852021,-4.4076147,-2.9140592,0.075984,10.098707,1.0397673,-0.1023829,5.9446573,-0.12899637,3.907013,-1.1808634,0.5332589,-3.333336,4.8076987,4.302442],"EWA^FMA_DIV_YLD(NTMA,-10AY,0,AM,\"PORTAGG\",\"MEANR\")":[5.16716047928794,4.85158674362895,5.09243402934835,4.92127442003952,4.67856716352415,4.66090975159952,4.54105170690197,4.76821810593173,4.96439242194132,4.96635628879482,4.97018007244165,5.41765432390307,5.15528970427274,5.39096189280616,5.40434718562378,5.46118944138663,5.35638855266335,4.75069716511667,5.00007836423593,4.56803790125543,4.60917488292773,4.69685002756172,4.43715158533246,4.62050310787135,4.50830037226149,4.64751492097832,4.52908905740887,4.44558538272333,4.5227661126483,4.53558253191133,4.49486088638081,4.54200600865759,4.69411972917047,4.63045661930354,4.57757843025013,4.61846359626082,4.60028261228287,4.41404577305548,4.50835986724268,4.44031925877903,4.69933442738275,4.64656496734572,4.75160781272045,4.60415206820843,4.7309522319428,4.56133748259431,4.59308548319681,4.79580979124495,4.89953585267703,5.04993086166187,5.4338041435937,5.19168002292128,4.95220145604464,4.93604532574986,4.92643516071217,4.84504176839794,4.75850017962334,4.62617176108355,4.66313952740548,4.52200802030137,4.53468375704486,4.34359251903341,4.33505535609262,4.18574384544493,4.16528507173566,4.85662245785484,4.62239148243582,3.87098455102447,3.27067491923198,3.48245516335955,3.35442503375071,3.5621317283212,3.55089826666055,3.53111790470676,3.4830800967428,3.48645609739439,3.59214963179364,3.91749445451055,3.87995382843894,3.83002528969166,3.87480937148013,4.12660362420256,4.03840212882443,4.08612980110215,4.04961273160139,3.96119065137849,3.96358462700685,3.87950007012454,4.21586527911489,4.30701712926812,4.34148961046536,4.77777016532426,4.93217703429246,5.17432759812901,4.76742388969493,4.84058991054272,5.1006445022063,4.7771888129794,4.4680186705936,4.57406881133833,4.33437063611905,4.58719711770496,4.51802150518025,4.40587734573498,4.42272102440087,4.41666211640677,4.15550392284326,4.23036400377696,4.34891730836761,4.40617627294354,4.23824593486419,4.07911342169707,3.98663989973339,3.8871686638012,3.91952168082422,3.98163848789145,3.89997272475036,3.90579756219162,3.89191286056543,3.73300096634873,3.63177658181547],"ENZL^JULIAN(FMA_DIV_YLD(NTMA,-10AY,0,AM,\"PORTAGG\",\"MEANR\"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3],"DDR3512M-FDS^FG_PRICE(0)/MAX(FG_PRICE(0,-1AY))":0.841590528846154,"PASP-FDS^FG_PRICE(0)/MAX(FG_PRICE(0,-1AY))":0.848412698412698,"PLATI-FDS^FG_PRICE(0)/MAX(FG_PRICE(0,-1AY))":0.898035547240412,"W-FDS^FG_PRICE(0)/MAX(FG_PRICE(0,-1AY))":0.862192074259193,"COPP-FDS^FG_PRICE(0)/MAX(FG_PRICE(0,-1AY))":0.856612619652276,"FC0000JP^FG_PRICE(0)":179.78249,"FC0000NZ^FG_PRICE(0)":412.2421,"EWQ^FG_PRICE_MAVG(0,,,,60)":39.000168,"EWL^FG_PRICE_MAVG(0,,,,60)":50.931168,"EWA^FG_PRICE_MAVG(0,,,,60)":25.502832,"QQQ^FG_COMPANY_NAME":"Invesco QQQ Trust Series I","SPY^P_PRICE(0)/P_PRICE_HIGH_PR(0,,,,,,\"PRICE\",\"INTRA\",\"52W\")":0.99726504,"URTH^FG_TOTAL_RETURNC(0,-12AM)":30.754793,"VWO^PERCENT_CHANGE(FMA_EPS(+1,0,,,,\"PORTAGG\",\"MEAN\"),FMA_EPS(+1,-1AM,,,,\"PORTAGG\",\"MEAN\"))":0.0,"EWI^FG_TOTAL_RETURNC(0,-1AM)":0.82184076,"EWN^FG_TOTAL_RETURNC(0,-6AM)":1.9261837,"SPY^P_PRICE(0)/P_PRICE_LOW_PR(0,,,,,,\"PRICE\",\"INTRA\",\"52W\")-1":0.40790796,"QQQ^FMA_PCT_ABOVE_MAVG(200,0,,,,\"PORTAGG\")":61.7647058823529,"EWL^PERCENT_CHANGE(FMA_EPS(+1,0,,,,\"PORTAGG\",\"MEAN\"),FMA_EPS(+1,-3AM,,,,\"PORTAGG\",\"MEAN\"))":3.26901559040301,"EWG^FG_TOTAL_RETURNC(0,-3AM)":5.6730747,"EWA^P_PRICE(0)/P_PRICE_HIGH_PR(0,,,,,,\"PRICE\",\"INTRA\",\"52W\")":0.966581,"FXI^SIZE(FG_CONSTITUENTS)":53,"VGK^FMA_COS_DOWN(\"EPS\",\"1M\",+1,0,,,\"PORTAGG\",\"MEANR\")":601.0,"SPY^FMA_COS_UP(\"EPS\",\"1M\",+1,0,,,\"PORTAGG\",\"MEANR\")":144.0,"EWC^SIZE(FG_CONSTITUENTS)":8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TRYIN10Y-FDS^FG_YIELD(-10AY,0,Y,,\"YTM\")":[7.86,7.89,6.63,7.35,7.35,6.55,5.9,6.45,7.33,7.19],"TRYFR10Y-FDS^FG_YIELD(-10AY,0,Y,,\"YTM\")":[0.837,0.9989,0.682,0.785,0.71,0.118,-0.344,0.201,3.07,2.534],"CAGDPY@IT^EE_ACTUAL_ANNUAL(MED,0)":-0.0142515894002661,"CAGDPY@JP^EE_ACTUAL_ANNUAL(MED,0)":3.60658196299853,"CC_AU^FG_COMPANY_NAME":"Australia","USDSEK^FG_PRICE(0)":10.40465,"USDCHF^FG_PRICE(0)":0.8581,"USDUSD^FG_PRICE(0)":1.0,"USDEUR^FG_PRICE(0)":0.9154994,"USDAUD^FG_PRICE(0)":1.4876525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509270637055,2.03535923448403,2.71455451649836,3.12785085030901,3.00293990504371],"EWJ^P_PRICE_RETURNS_PR('52W',2,-10AY,0,AM)":[-6.229651,0.9523511,-2.9814005,-6.065649,3.9444447,5.646074,20.896996,20.43246,12.270236,7.3720574,13.065588,-0.012171268,9.415138,8.205628,7.8121424,2.991736,-8.809489,-5.96506,-11.222434,-8.933658,-9.066952,-4.575908,-4.890662,6.629598,4.799652,0.53071976,7.5945616,12.137604,24.394835,16.550123,14.643884,12.975597,16.27034,16.257858,12.069178,11.677969,15.07243,21.703386,18.762184,26.527382,17.304718,20.500887,20.269787,17.644024,12.939178,10.924578,7.735193,4.8360944,3.5789013,-6.0759487,-9.555578,-13.595563,-8.421463,-10.393876,-7.7217817,-9.707183,-8.802003,-3.2381773,-6.623864,-0.9054005,-0.40886998,9.491837,15.394772,13.680649,15.022087,-1.6066551,-6.368482,-1.124078,7.601309,3.5203695,7.1396947,6.513679,7.3044896,7.3770404,11.337566,17.807806,20.516087,34.600876,39.94392,33.2533,21.789122,25.662601,21.886456,27.390718,15.395951,10.089123,5.154836,-2.0237207,-6.9611015,-11.18375,-12.326789,-18.292433,-18.492859,-17.518312,-15.0459175,-25.503195,-25.198227,-19.744795,-17.25229,-16.676266,-8.779425,-3.4236789,-1.760298,9.585869,12.542152,15.64089,10.178555,19.375778,22.739256,13.295436,15.0185585,21.632946,17.747295,26.268673,22.819592,16.160381,13.014054,18.318295,9.110964,14.654326,20.067417],"EWC^FG_TOTAL_RETURNC(-10AY,0,AM)":[-10.110969,2.194786,-6.3758373,0.43615103,-0.14471412,-3.6594212,6.242943,2.407086,-3.4566224,-6.04918,-1.382488,-7.827103,5.2809477,-6.4205465,-5.3173246,-7.9605637,-0.29925108,14.6573305,2.530539,3.1489372,3.3415794,-0.8556068,3.6120176,-0.7050514,0.23669004,-0.43290257,6.4822197,0.24936199,3.1787634,-3.8419724,2.148509,-2.6937246,0.5308986,2.308023,1.0037184,4.085386,2.9349327,0.721395,-0.6139159,3.783214,-8.004022,2.0021915,-0.17845035,3.8255334,0.034427643,1.0368466,-1.1675835,-2.2585154,-2.2395968,-2.6181817,-4.6303215,2.5899887,4.578972,1.3729095,3.623724,-1.1656642,0.78628063,3.6638975,-2.7614772,2.0944238,-1.5646756,4.062164,0.06788969,3.1566858,0.73308945,-18.954681,-5.5510225,6.1365604,9.039092,-1.2564659,7.4866295,-1.2082458,2.8777003,1.1188745,9.232367,2.9182196,2.024281,2.9914618,3.9419055,4.9615145,3.512895,-1.6107738,0.9661794,-1.0100961,1.2620807,4.693711,-3.6727488,1.6672969,1.964891,-0.5138695,3.0216932,-11.857605,3.8113475,-6.8451524,5.748141,-2.241522,-11.550581,12.410879,-2.4214506,1.5770316,4.7211647,-7.382369,5.171895,2.2852182,-2.5862694,0.52785873,1.7503023,-2.4942756,-1.7641842,-0.35917163,5.3169129999999996,5.3233385,-0.24704933,3.4947753,0.9305954,0.60590506,-1.7282009,2.5337934,-0.760746,4.546654,4.6776295],"ENZL^FMA_DIV_YLD(NTMA,-10AY,0,AM,\"PORTAGG\",\"MEANR\")":[4.60804294886135,4.45415420827267,4.48248001040599,4.42916115987728,4.28390309573631,4.27732751488421,4.43109586472914,4.49794976265339,4.49928491435052,4.71045703063957,4.601923321143,5.12687247724132,5.25610306562709,4.90050284432619,4.84429380087766,4.86879400199452,4.96028495092613,4.69320986597194,4.56786187682055,4.51184290853695,4.36495976201959,4.34831305239146,4.143500053194,4.15035892748783,4.47425924384547,4.72836833308894,4.6078893654269,4.52298040871349,4.50667709990805,4.56289658551886,4.54815424712202,4.46217403152772,4.45983933935568,4.4243008329293,4.33732561258442,4.3716332364446,4.38127829522374,4.46071557559729,4.323959131258,4.23880014523521,4.56959119117219,4.21231062148988,4.23273643680641,4.18671693443111,4.02876136001886,4.03150732710809,4.06509938421979,4.048063402095,4.13340821914025,4.16232154472356,4.21620884508493,4.12146589501381,4.01629781746386,3.87700978697509,3.81576900980483,3.69133867957838,3.7424923247758,3.46403359255409,3.39516552295264,3.25420548643833,3.35361685793869,3.3417044045978,3.2630618938731,3.16115836959196,3.09484629852521,3.27481751990317,2.99315351827277,2.64325409117421,2.54420659167294,2.48601789967298,2.36784486276127,2.40844548440481,2.35745166024548,2.37147913026698,2.38566244040939,2.33709414348483,2.54476426372633,2.60991159570341,2.58053085717825,2.60878357093241,2.68850091047967,2.61377344995347,2.65935117412741,2.60295708584754,2.66338142329113,2.68027907464165,2.78182117383517,2.80642564176586,2.91782021728626,3.06457471958569,3.08951799673979,3.2203571026946,3.2704017939411,3.28893934180277,3.19480063943491,3.18309614436295,3.461512833119,3.43946487997118,3.42404910684955,3.39620861869628,3.27312817338828,3.43694005449514,3.40091187781202,3.401555364285,3.4959824490547,3.43528506665211,3.45861868777743,3.38417184156553,3.42429086493373,3.46446846050103,3.08733886672348,2.99034787402029,2.98975730644541,2.74374244409766,2.76002114117714,2.7733518130699,2.74341579374842,2.71667477151527,2.60385993362954,3.03249168173727,3.05297533510851],"EWI^FMA_PE(LTMA,-10AY,0,AM,\"PORTAGG\",\"MEANR\")":[16.6057970202461,17.2315910435505,18.0903703036489,17.9847340611129,25.8349795371611,44.2928839678598,41.630709008208,39.0103002593332,35.7434112288035,32.8268562504785,30.7090253759885,26.9884481864461,24.7980715969217,22.550882173783,19.7405921678959,16.9106685130241,13.7203311480756,15.3663753515082,15.1288093531516,15.2793239681744,14.7941789169836,14.3120535116153,15.0571723179012,15.0932806233599,14.7413509177446,14.719741088475,15.600308867887,28.1419495191346,20.2113008032908,83.6936885776985,76.3954207485121,69.6144057208176,62.4456491444949,55.2211128063819,48.0280372680491,41.2034559082728,34.0636638839954,27.0356986220154,20.9907625514815,15.8042935454229,14.2880606067901,14.213166354276,14.1343701222616,14.1448573713838,13.3380397091967,13.3399158780633,12.9147783640993,12.548947729031,11.8737390878584,11.4554618129675,10.6110283031401,10.906421381508,10.7399408502187,11.2641008276793,11.3318120102735,11.1527200179335,10.963888846782,11.3140670997876,10.8206329945518,11.2740341169221,11.261260450819,12.001388835943,11.8535451330866,12.3495105864705,12.6727509876463,10.970345277721,11.3594125527211,13.4476460483447,15.8441582442781,16.8457097275075,17.5033685294395,18.2037766145879,18.7647342688994,20.4665684500003,22.557438163568,23.8226769907425,21.4345609742454,20.1580625267803,19.5983226751671,18.917448315612,18.5371671387978,17.703134076901,16.3607780521246,15.2641800257466,14.6235703659098,13.9200714173492,12.3618843121288,12.1212324280656,11.8712636325936,10.4856998284272,10.5389922310933,10.1636245148115,9.67727762348045,9.32628435033607,8.88966621198122,8.47891126965454,7.96964348577756,8.45674707321473,7.71614793984135,7.84803642779382,8.26053351230494,8.29206594207187,8.33537326093632,8.29052273421194,8.44372267252691,8.53560528188618,8.29591914860069,8.30332205051294,8.23960098705099,8.11106250986128,8.79526286438488,8.94239704001556,9.0846110574636,9.38632434125416,9.43627550855,9.55563810039548,9.58767508016421,9.63407798270081,9.46304624037155,9.94611442941338,10.4237325842683],"DDR3512M-FDS^FG_PRICE_CHANGE(0,-1AY)":-12.3521936031474,"PASP-FDS^FG_PRICE_CHANGE(0,-1AY)":-6.22807017543859,"PLATI-FDS^FG_PRICE_CHANGE(0,-1AY)":7.50279955207167,"W-FDS^FG_PRICE_CHANGE(0,-1AY)":8.10205908683974,"COPP-FDS^FG_PRICE_CHANGE(0,-1AY)":20.7323788546255,"EWQ^FG_PRICE_MAVG(0,,,,30)":39.514,"EWL^FG_PRICE_MAVG(0,,,,30)":51.457,"EWA^FG_PRICE_MAVG(0,,,,30)":26.248333,"EWU^FG_COMPANY_NAME":"iShares MSCI United Kingdom ETF","SPY^FG_TOTAL_RETURNC(0,-6AM)":12.768734,"URTH^P_PRICE(0)/P_PRICE_LOW_PR(0,,,,,,\"PRICE\",\"INTRA\",\"52W\")-1":0.36564958,"VWO^FMA_PCT_ABOVE_MAVG(200,0,,,,\"PORTAGG\")":36.8833368621639,"EWI^PERCENT_CHANGE(FMA_EPS(+1,0,,,,\"PORTAGG\",\"MEAN\"),FMA_EPS(+1,-3AM,,,,\"PORTAGG\",\"MEAN\"))":-6.40363792583883,"EWN^FG_TOTAL_RETURNC(0,-3AM)":-4.6880903,"EWU^FG_TOTAL_RETURNC(0,-12AM)":19.234324,"EWL^PERCENT_CHANGE(FMA_EPS(+1,0,,,,\"PORTAGG\",\"MEAN\"),FMA_EPS(+1,-1AM,,,,\"PORTAGG\",\"MEAN\"))":-1.67209260923939,"EWG^FG_TOTAL_RETURNC(0,-1AM)":4.302442,"EWA^FG_TOTAL_RETURNC(0,-6AM)":10.468793,"FXI^FMA_COS_DOWN(\"EPS\",\"1M\",+1,0,,,\"PORTAGG\",\"MEANR\")":13.0,"VGK^FMA_COS_UP(\"EPS\",\"1M\",+1,0,,,\"PORTAGG\",\"MEANR\")":427.0,"QQQ^SIZE(FG_CONSTITUENTS)":102,"EWC^FMA_COS_DOWN(\"EPS\",\"1M\",+1,0,,,\"PORTAGG\",\"MEANR\")":40.0,"EWA^FMA_RBICS_REV_CURRENT(30, LOC, \"PORTAGG\")":43.2962109543241,"TRYSE10Y-FDS^FG_YIELD_NAME":"Sweden Benchmark Bond - 10 Year","SPY^FG_COMPANY_NAME":"SPDR S&P 500 ETF Trust","REFCHMPR-FDS^PROPER_NAME(0,,,\"SECURITY\",\"NAME\")":"Swiss Policy Rate - Sight Deposit Rate","TRYIT10Y-FDS^PCTCHG(FG_YIELD(0,,,,\"YTM\"),FG_YIELD(-3AM,,,,\"YTM\"))":-7.762202,"TRYJP10Y-FDS^PCTCHG(FG_YIELD(0,,,,\"YTM\"),FG_YIELD(-3AM,,,,\"YTM\"))":-12.937701,"TRYNL10Y-FDS^FG_YIELD(0,,,,\"YTM\")":2.556,"TRYCA10Y-FDS^FG_YIELD(0,,,,\"YTM\")":3.2347,"CC_CA^IMF_IFS_RCPI_Q(0)":null,"VGK^JULIAN(FMA_DIV_YLD(NTMA,NOW,NOW,M,\"PORTAGG\",\"MEANR\").DATES)":45504,"EWN^FMA_EVAL_EBITDA(NTMA,0,,,\"PORTAGG\",\"MEANR\")":12.015913510856,"SPY^FMA_DIV_YLD(NTMA,NOW,NOW,M,\"PORTAGG\",\"MEANR\")":1.346001568938,"EWU^FMA_PE(LTM,0,,,\"PORTAGG\",\"MEANR\")":13.8577746054872,"EWG^FMA_EVAL_EBIT(LTMA,NOW,NOW,M,\"PORTAGG\",\"MEANR\")":14.6994790732026,"EWA^FG_FCF_YIELD_NTM(0)":4.59401223020662,"EWQ^FG_COMPANY_NAME":"iShares MSCI France ETF","EWC^FG_COMPANY_NAME":"iShares MSCI Canada ETF","EWL^FG_COMPANY_NAME":"iShares MSCI Switzerland ETF","USO^FG_TOTAL_RETURNC(0,-1AM)":16.143967,"GLD^FG_TOTAL_RETURNC(0,-1AM)":4.3848395,"ENZL^FMA_ROE(NTMA,-20AY,NOW,FY,\"PORTAGG\",\"MEANR\")":[null,null,null,null,null,null,10.8532267295878,10.9048734413645,11.45876758647,11.0832589152415,9.94517431688139,9.90242652659034,9.79986582903071,9.84792896856594,9.52177142619013,9.00388709577871,7.53226388544375,6.44400184436727,7.76896899459677,6.57910752236192],"TRY10Y-FDS^FG_YIELD(-10AY,0,Y,,\"YTM\")":[null,null,null,null,null,null,null,null,null,null],"TRYCN10Y-FDS^FG_YIELD(-10AY,0,Y,,\"YTM\")":[3.653331,2.901145,3.070911,3.93859,3.259862,3.197311,3.1948,2.7893,2.855,2.574],"ENZL^FG_COMPANY_NAME":"iShares MSCI New Zealand ETF","TRYBR10Y-FDS^FG_YIELD(-10AY,0,Y,,\"YTM\")":[12.319731,15.989595,11.062725,9.887577,8.936093,6.883678,6.961219,10.970291,12.900059,10.455909],"CAGDPY@NL^EE_ACTUAL_ANNUAL(MED,0)":9.85408501996988,"CAGDPY@CA^EE_ACTUAL_ANNUAL(MED,0)":-0.725414399026327,"USDITL^FG_PRICE_CHANGE(0,-6AM)":-1.5517712,"USDANG^FG_PRICE_CHANGE(0,-6AM)":0.0,"USDUSD^FG_PRICE_CHANGE(0,-6AM)":0.0,"USDGBP^FG_PRICE_CHANGE(0,-6AM)":-3.7163258,"USDJPY^FG_PRICE_CHANGE(0,-6AM)":-2.6445806,"USDCAD^FG_PRICE_CHANGE(0,-6AM)":0.5997062,"USDNZD^FG_PRICE_CHANGE(0,-6AM)":-1.4235139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6895579824313,1.95234296531067,2.65881300816857,2.74371402167799,2.67770897270638],"ENZL^P_PRICE_RETURNS_PR('52W',2,-10AY,0,AM)":[2.547872,4.042423,11.326921,10.722601,9.093857,-0.9700358,0.3360629,-3.2344341,-3.4015834,-13.872492,-8.472085,-16.633093,-7.4837565,-7.714629,-5.1255283,-9.598226,-7.555908,1.3492584,3.5089493,8.861219,16.518938,34.62715,37.58583,53.034653,34.957348,22.738182,20.644928,23.692703,28.007317,14.201117,9.491897,10.196341,7.805431,7.062149,5.841875,1.6491652,11.470879,13.542867,13.02309,20.662094,12.236047,25.490284,24.200857,15.641546,15.865601,10.985697,4.527855,4.011011,1.1964798,8.789754,7.509136,2.495885,7.8752995,5.685854,4.2906404,11.012769,4.491997,14.362038,18.065548,19.816553,18.650305,14.6838665,22.295534,25.2195,19.955994,9.244013,-5.511469,1.3747811,12.68779,8.900285,12.943077,9.472239,20.517624,25.595402,22.802782,24.285078,19.877052,21.333038,38.204967,31.217348,14.619911,10.75486,6.668842,10.965765,4.4959188,-0.64839125,-10.822701,-15.889674,-14.930844,-10.683745,-11.181438,-26.615597,-24.37467,-23.475193,-16.494787,-22.73389,-32.78643,-26.142715,-13.236737,-11.647349,-4.388708,-11.30147,-7.5681567,11.911297,3.7522197,10.037565,-3.7087083,-3.9458752,13.458872,-1.287657,-4.2146683,-1.4767408,-6.625718,-1.481849,-6.614828,-8.657843,-1.3984025,-3.9581716,-0.30345917,14.344215,10.984015],"EWI^FMA_DIV_YLD(NTMA,-10AY,0,AM,\"PORTAGG\",\"MEANR\")":[3.97519122118323,3.98398093342353,3.97920018637299,4.27218270378016,3.73682426346107,3.47108243430565,3.08211052344215,3.16911240226874,3.26681827308061,3.27861299320685,3.06754566666219,3.38629213996149,3.55995799370087,3.584537135239,3.79846184513464,4.14061568249448,4.82568916860628,4.38208068044503,4.58294043507197,4.49913836372891,4.78788731735719,5.02362999610765,4.74285517267467,4.71948698640769,4.91411095733188,4.78595680942936,4.53550667294587,4.31690008032323,4.44599975976405,4.06750207002043,3.96810840537046,3.76006640885769,3.75897859432636,3.79947203627448,3.76814030713007,3.78081091724328,3.8120868528491,3.82206993493439,3.81493364075625,3.7943472617801,4.0296985547953,4.00243749414389,3.97876720954978,3.91280482176902,4.52327630867995,4.42331069616282,4.5769263603456,4.63233393959756,4.91864791561961,5.07712974022427,5.418433063506,5.16026244866482,5.1215540130128,4.83078534964413,4.63395676792351,4.86556204899233,5.00331996242368,4.65666732740647,5.09412920189894,4.76932548621143,4.8131987086444,4.52456206324014,4.5815494323944,4.42752191483507,4.45370748887988,6.09495300622027,5.87672825081317,5.04973448764846,4.18803302828043,4.31542851825517,3.99165980066744,4.02374536724231,4.11721819137055,4.00362450719883,3.95387094149777,3.8740387365484,3.92121879498627,4.1005594574133,4.06191685254827,4.15670777750603,4.05072324579591,4.19602155604014,4.30017367776347,4.50177636052082,4.43673380659429,4.3264691487803,4.6461787413316,4.62162655319557,4.75462307086516,5.56531317840342,5.03436826455756,5.35802474124,5.64574914330444,5.8266097635308,5.75137414359881,5.64700883993288,6.16150211895647,5.41473990539874,5.78300982870231,5.5130838212758,5.43309386819878,5.36210540883119,5.41087363199758,5.52892975980193,5.44352507918498,5.37532858874599,5.47622356783402,5.46531581909824,5.5361988867424,5.65643669854102,5.36980689362065,5.44326186176994,5.51378261351968,5.21351326736147,5.24042724591773,5.18614223012314,5.26419167069935,5.32603762699543,5.67117014800141,5.43519926966035,5.24581391440221],"EWN^FMA_PE(NTMA,-10AY,0,AM,\"PORTAGG\",\"MEANR\")":[13.8188359071062,14.7544838435385,14.8499034450886,14.594353983902,15.6636961879629,17.136316220442,17.7990555385529,16.9607465639944,16.495838302108,16.4491634238409,16.8304262913014,14.7616737972209,14.8640677897835,16.1335899046002,15.4667053090798,14.4164634935421,13.7834993392188,14.9346538777176,14.9467300116203,14.873805829601,14.5259455610511,14.0942057163934,14.852722884216,14.8742964634283,14.9000339434388,14.506540177089,14.7895848907391,14.9956439397936,15.2732373653177,16.0658307955633,16.0865490042617,16.566385689957,16.3278039027341,15.7730200369603,15.8698038631323,15.6713702265961,16.1161399693633,16.1161194546651,16.0424620439414,16.2461708433965,15.1646814553608,15.7741675501155,15.6136274323216,15.6896888373232,15.8585875964392,15.6705939058738,15.640740861733,15.019385424609,14.2760105471647,14.3697220663431,13.3720386690058,13.3617054341922,14.3944465028796,14.7021194548281,15.4753224199036,15.2539616935744,15.2558409406402,15.4841154329232,15.0337846097366,15.8129652120545,15.9171899304417,16.7012995816776,16.8002830820527,17.1620643650941,17.785293162483,14.3565281665453,15.8300240785872,17.529298364426,19.4264161900341,20.107883748229,19.7290384224939,19.4787295873508,19.893271946185,20.3511712519634,20.3918161836452,21.1819704112257,22.0211712559457,21.7025551463911,22.8845722833355,21.5069849028672,21.3961677355115,21.0945241265939,21.9074281235786,21.7374728885425,20.192968382275,21.3615065278661,20.2110599892131,19.5969793130157,18.6946209253788,16.5505671733605,17.8297762180442,15.7085188075079,16.6065288125373,16.2656088746868,17.8124749593509,16.2211275956255,14.2631099568841,16.0966507233554,16.3428475678625,16.620370322774,16.8701209075877,16.1868115184524,16.2410199229043,15.6922204115939,15.6413015935373,15.6017478939474,15.561632076492,14.2820983407612,13.714570492796,14.0557297633516,14.8794040134136,14.7541915375894,16.2987600168978,16.1827463299473,16.2716778048642,16.1569948179872,16.726997284855,16.6231398819174,14.7735025558865,14.4605893106628,15.1303784360714],"SPY^FMA_PE(LTMA,-10AY,0,AM,\"PORTAGG\",\"MEANR\")":[15.9764469536286,16.8777070422924,16.8562180982814,17.1803597250845,17.3113238259384,17.4880172873346,17.5603626447011,17.5654631512171,17.5023114669054,17.3775374761632,17.5363989215421,16.6899548784795,17.0854389424927,17.4388493430261,17.1861266252644,16.1338699993641,16.2966838906097,16.18819342752,16.4452153070474,16.565182572191,16.7903390909585,17.0754004946733,17.468314350518,17.3883673167525,17.7834710084041,17.9214254674198,18.7907440942411,19.0106702222571,19.1890335371885,19.4612423775783,19.2817060326588,19.2160733638627,19.1942620012913,19.0645065552121,18.989305410148,19.0000841852226,19.5449085807809,19.5975181931334,20.0643361478258,20.7289174229044,19.2822126347187,19.8054180333876,19.3446912833386,19.1268152747918,18.9802195687485,18.7551648421878,18.5812645833458,18.5250628231272,17.9192813850996,17.5514468335417,16.4696828375605,16.062910707094,16.6675667574381,17.0500356757658,17.2266776974111,17.1933090638041,17.2088125046244,17.6034611207956,17.4686743747154,17.7756887289858,17.7686171399736,18.6644309139383,19.1114781106439,20.0674131241989,20.3700268264001,17.8141092056438,18.2826225131304,19.6658028293394,21.1411139940903,21.7846466957716,22.6184805000635,23.0461556416892,24.3471161665182,24.5788362438544,25.8207481763028,27.7678600151286,27.2973058366244,26.2015905843348,26.087148818631,25.3988254735721,24.9935628622116,24.8770152832517,24.0648344669583,23.6659697963545,23.0863921558549,23.2847482709879,23.1564309968532,22.7033082154555,21.4759126301749,20.5627869159796,20.6197081232829,19.7200020394701,19.1923117941487,18.8970112504982,19.5240935003242,18.9155021398734,17.25635076163,18.3233416904707,17.9937708373081,17.7871234816596,18.584098659756,17.9533946717436,18.2470062020009,18.3131607298585,18.6646212695253,19.1263392694931,19.3690575908911,19.4493822744607,19.3532141035061,19.7380555988718,20.6809849576596,21.7710571109744,22.5949891129059,22.7430429889769,22.6018006293184,22.5255005821407,22.6003256729921,23.1312514509513,22.4801652560893,22.8015790085895,23.7574090078974],"DDR3512M-FDS^FG_PRICE_MAVG(0,,,,30)":0.8824327,"PASP-FDS^FG_PRICE_MAVG(0,,,,30)":1026.1,"PLATI-FDS^FG_PRICE_MAVG(0,,,,30)":972.4,"W-FDS^FG_PRICE_MAVG(0,,,,30)":5.753667,"COPP-FDS^FG_PRICE_MAVG(0,,,,30)":4.2925167,"CAGDPY@US^EE_ACTUAL_ANNUAL(MED,0)":-3.26791565830676,"CC_DE^FG_COMPANY_NAME":"Germany","USDANG^FG_PRICE_CHANGE(0,-1AM)":0.0,"USDUSD^STD(FG_PRICE_CHANGE(0,-3AY,M))":0.0,"USDCHF^FG_PRICE_CHANGE(0,-1AM)":1.2208819,"USDCAD^FG_PRICE_CHANGE(0,-1AM)":1.1024952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U^P_PRICE_RETURNS_PR('52W',2,-10AY,0,AM)":[0.6505251,-0.5333543,-3.1219244,-8.599299,-1.4447272,-6.661296,-3.382969,-3.4295738,-5.857319,-7.693529,-2.9721618,-12.399596,-1.8617809,-7.1893635,-7.405007,-11.719709,-19.564938,-11.906063,-13.239426,-16.175508,-15.454971,-11.255246,-12.494964,-1.9370139,-7.673633,-6.6381335,-1.4296293,7.1027517,14.896059,6.9957137,8.234668,11.222803,9.490776,14.841806,11.413372,10.157633,17.34208,18.155396,17.088055,22.238218,12.511563,15.981436,16.086174,12.641454,9.875309,11.011494,5.3990126,0.5962968,-2.8072894,-2.6892304,-10.894924,-12.022966,-3.3157647,-2.9847085,-1.9980252,-5.9817553,-5.8076677,-4.2175474,-8.615273,-1.3175428,-1.6860783,4.6800256,15.275299,14.845991,7.8527927,-12.05669,-22.542137,-19.709366,-12.533199,-16.590618,-8.481383,-14.51487,-10.074597,-10.870051,-6.838542,-5.2054462,-5.7234945,19.207191,31.933605,37.391293,27.317333,32.492935,28.780687,30.87703,29.070377,21.977806,14.4908905,13.246668,20.29971,4.8860073,10.944664,-4.659849,-3.6018848,-5.110204,-1.9750059,-6.233883,-15.5608835,-6.558508,-0.14573336,-2.802813,-3.357774,2.903378,-0.055396557,12.20957,5.2681923,10.449958,8.034122,14.823687,25.131248,7.80946,6.8457723,7.431853,3.5190463,8.454502,7.5060964,12.204254,14.580965,17.724812,13.090897,19.943201,19.234324],"ENZL^FMA_PE(LTMA,-10AY,0,AM,\"PORTAGG\",\"MEANR\")":[17.8689048706871,18.6829962268737,18.9145559288892,19.2938661591459,19.9731817767321,20.4870044440553,20.2042178295739,20.0486370879803,19.9018115376379,19.6258591634084,19.7292314600997,19.1149029595757,18.6646324256699,19.4764301102304,19.3569292818277,19.2829323334111,18.6762685834737,19.3364386486104,19.3363810249183,19.5926125172391,19.7688926499115,19.8396744477502,20.647960300759,21.2835286217647,20.4142149767103,19.5282676723517,19.9085519685142,20.4022892579612,20.5522290996097,19.7930368561237,19.8280262427462,19.9980928473947,19.946115112116,20.0355054894289,20.5970943449819,20.7030376270656,20.8157664538748,21.0391634695554,21.8003076342161,22.1936080858287,20.4918446230976,22.5603705497098,22.4356690311369,22.4193593652269,22.7313828253394,22.906464783928,23.0521914419907,23.173028050536,23.1348000944337,23.1008487815122,22.5469359658746,23.1929279420812,23.7647228636815,24.1803351618377,24.0343598245684,24.2429538514557,24.1065284449805,24.9643140866824,25.4422551338654,28.8782048369405,28.6397727565367,29.089780691178,31.3366963726101,32.3702856049271,32.6616546325669,30.7937770624389,30.7890894594022,31.8079860037424,32.3718607408029,33.2079645363401,33.9151121592607,33.8866487700892,35.0361356932188,35.5790970017591,36.907323160698,39.1768980369047,35.6265191538662,34.3698159448137,34.4754655042445,34.9308953909354,35.3062363097805,36.4228495059433,36.9119190867797,38.3842546739037,38.5008226753631,39.2407184902711,39.3060316100218,38.7459898052749,37.5551455012457,35.1289088054338,34.6115272278246,34.2644295831056,33.295324503754,33.1441432482083,33.4694404657929,34.3223273974581,31.3559800270843,30.8963849885309,29.5336255980242,29.5806091799266,30.11052394297,29.2819775620696,28.7617567254896,28.348462579352,26.476695648288,25.816993308794,24.8815995357235,24.2680256325974,23.5273584404731,22.6825771526342,23.61113123627,23.8934108487137,23.2942436175738,23.7962469642632,24.1358074983491,24.4741241620479,24.2415763112153,24.6306194305095,25.3085157448995,24.3331213592932,24.6163469015004],"BRENT-FDS^FG_PRICE_CHANGE(0,-3AM)":0.0,"FC0000CA^FG_PRICE(0)":316.26517,"EWN^FG_PRICE_MAVG(0,,,,200)":48.773277,"EWU^FG_PRICE(0)":36.58,"ENZL^FG_PRICE_MAVG(0,,,,200)":46.482437,"FXI^FG_TOTAL_RETURNC(0,-1AM)":30.479193,"VWO^PERCENT_CHANGE(FMA_EPS(+1,0,,,,\"PORTAGG\",\"MEAN\"),FMA_EPS(+1,-3AM,,,,\"PORTAGG\",\"MEAN\"))":0.983283136085123,"EWN^FMA_PCT_ABOVE_MAVG(200,0,,,,\"PORTAGG\")":55.5555555555556,"EWU^FMA_COS_DOWN(\"EPS\",\"1M\",+1,0,,,\"PORTAGG\",\"MEANR\")":31.0,"EWQ^FMA_RBICS_REV_CURRENT(30, LOC, \"PORTAGG\")":11.5124215499027,"REFCHMPR-FDS^(SUBARRAY(NOT_NA(NO_REPEAT_F(FG_YIELD(NOW,-10AY,D))),0,1)-SUBARRAY(NOT_NA(NO_REPEAT_F(FG_YIELD(NOW,-10AY,D))),1,1))*100":-25.0,"TRYFR10Y-FDS^FG_YIELD_NAME":"France Benchmark Bond - 10 Year","VWO^FG_PE_NTM(0,,,90,0)":12.8384353290412,"EWQ^FMA_PE(NTMA,0,,,\"PORTAGG\",\"MEANR\")":13.8176776458992,"EWJ^FMA_PE(NTMA,0,,,\"PORTAGG\",\"MEANR\")":14.6427122957341,"EWI^FG_COMPANY_NAME":"iShares MSCI Italy ETF","VGK^FG_TOTAL_RETURNC(0,-6AM)":6.5093637,"DUMMY^ECON_EXPR_DATA('FDS_ECON[PMIDMMANHE]',,,M)":47.52011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66472555,11.2077122027496,13.9227366843934,15.8583479057593,14.7202942014685],"TRYUS10Y-FDS^FG_YIELD(-10AY,0,Y,,\"YTM\")":[2.1881,2.2961,2.4752,2.4325,2.6836,1.9185,0.9174,1.5119,3.8776,3.8791],"TRYKR10Y-FDS^FG_YIELD(-10AY,0,Y,,\"YTM\")":[2.6272,2.0852,2.0916,2.4797,1.9804,1.6728,1.7238,2.2417,3.6906,3.1928],"EWL^FMA_PE(NTMA,-10AY,0,AM,\"PORTAGG\",\"MEANR\")":[15.1180215919904,15.9654544075771,15.8330109722697,15.7565158369341,16.8475443286737,17.284157458602,18.2873658413189,17.6011247078023,17.4507240567984,17.3141890608346,17.6676590829855,16.4594853936507,16.5148429239243,16.8260023510172,16.5939176863916,15.8580968414456,15.7721098463917,16.4341905957592,16.4853254928766,16.6681740008186,16.6654060352742,16.707304082633,17.423527966129,17.3492168529548,17.0470178924991,16.5691032740662,16.6379478574713,17.2065091199771,17.3800024830095,17.6390374546385,17.2825737031328,18.0259516534311,17.85127543502,17.7311509741055,17.5512101375863,17.5004270061688,17.9120637695898,17.6132197782747,17.5932464331134,17.8741525974281,16.2648856057421,16.4759389556176,16.0963553299124,16.2912594718584,15.5381965507117,15.891272362625,16.0272555606498,15.8755046646865,15.4967083751586,15.7763992586422,14.8166086845059,15.1803714911535,15.5480675608053,16.1344931768982,16.8246595888332,16.4548542669117,16.89120742128,17.1359863490197,16.8454919914567,17.1453781939803,16.8750214950741,17.4131128666556,17.4295037745276,17.7647889301834,18.3751167597722,15.6458827201396,17.201386624659,18.4695814286525,19.4956731152139,19.627224632589,19.3250025309501,19.5285592340829,19.1489146370552,18.8225423776886,18.4463997398269,19.0504584620459,18.9012645977939,18.616472935519,19.4318662139275,19.0463227976819,19.8700862512432,19.7674143893801,19.8806180692012,19.2911374042742,18.4288348270169,19.3235724575749,19.3398855423122,19.0314834683315,18.4707394053296,17.1589938588245,18.6778455814198,16.7903190078138,15.9733284461668,16.1552568439754,16.942066939752,16.20173530647,14.8832259860047,16.7820477926252,16.781087288449,16.9255729239169,17.0338052116019,16.6508081957951,17.2565068245308,17.4955864622395,16.4810585049268,16.1361004053016,16.7153264326635,16.3509211007367,16.2150039573916,15.7195907330994,16.5420613600371,17.0425860155495,17.0331664846492,17.7588005781545,17.181835282099,17.1567655764601,17.3660279904771,17.2737313840676,16.9367322766818,17.0293293580366,17.0969089519456],"PASP-FDS^FG_PRICE_CHANGE(0,-3AM)":6.15690168818273,"CPALM-FDS^FG_PRICE(0)/MAX(FG_PRICE(0,-1AY))":0.949989080585281,"EWJ^PERCENT_CHANGE(FMA_EPS(+1,0,,,,\"PORTAGG\",\"MEAN\"),FMA_EPS(+1,-3AM,,,,\"PORTAGG\",\"MEAN\"))":8.14604040250023,"EWI^FMA_PCT_ABOVE_MAVG(200,0,,,,\"PORTAGG\")":64.0,"QQQ^FG_TOTAL_RETURNC(0,-12AM)":34.556747,"EWL^FG_TOTAL_RETURNC(0,-12AM)":17.877949,"EWG^FG_TOTAL_RETURNC(0,-12AM)":28.362476,"CAGDPY@SE^EE_ACTUAL_ANNUAL(MED,0)":6.54758763985883,"CAGDPY@NZ^EE_ACTUAL_ANNUAL(MED,0)":-7.1,"USDSEK^FG_PRICE_CHANGE(0,-6AM)":-2.8174996,"USDGBP^FG_PRICE(0)":0.7662542,"USDEUR^FG_PRICE_CHANGE(0,-6AM)":-1.5517712,"USDNZD^STD(FG_PRICE_CHANGE(0,-3AY,M))":3.60072422412022,"EWI^P_PRICE_RETURNS_PR('52W',2,-10AY,0,AM)":[-3.4401894,-3.0783534,-2.73633,-16.682983,-10.569692,-15.319914,-11.398989,-9.937453,-12.066544,-6.457293,5.457413,-5.9859457,7.553613,3.2550335,0.9536147,0.51095486,-18.972927,-13.251906,-21.030611,-20.59102,-24.54905,-22.648357,-27.37227,-19.545109,-25.017685,-20.863104,-13.947892,-1.6331077,10.771108,6.208098,10.99168,18.010689,20.288288,37.824474,36.62982,34.482563,44.16046,42.66759,35.814213,34.373535,36.365734,36.285877,35.640656,23.709833,6.8599105,8.446503,-3.4802139,-5.6354227,-12.771708,-14.641464,-18.557484,-16.519165,-15.391427,-14.065165,-12.13274,-14.768988,-4.0121675,0.3545642,-5.4775057,3.6036253,9.360588,20.438862,22.240973,20.115936,21.668888,-9.174603,-20.528275,-21.05227,-5.119604,-10.991359,0.41553974,-6.2696037,-4.81236,-7.0800962,3.268361,4.4243574,4.2675495,36.291695,50.167538,60.196377,39.573036,34.666157,32.245148,29.371489,30.912853,27.853226,13.712776,11.750627,10.54976,-10.545719,-5.9240875,-16.558874,-21.45728,-21.646791,-21.155851,-23.75772,-29.575026,-17.113722,-11.833096,-8.47789,-3.799808,13.878655,11.007714,24.424911,18.269575,38.527454,33.766376,39.978504,45.238388,21.05466,26.146496,21.461678,15.485358,24.85645,22.99955,25.381983,28.11737,22.6694,15.2777195,25.777018,29.85685],"EWU^FMA_PE(LTMA,-10AY,0,AM,\"PORTAGG\",\"MEANR\")":[13.4268495849335,13.9093389912946,13.6634158849373,13.4770673405133,14.4623759855992,15.1052339657716,15.4653415263547,15.6949630011271,15.6870465930825,15.5822147632225,15.869355200284,15.0737925139144,15.7553625559977,15.6874613847882,15.3933606949016,14.838810247841,14.34829767706,15.5542080445869,15.7835128991294,15.8600801596787,15.8931277075778,16.2632225644992,16.9017165742431,16.851203979754,17.1527623009272,16.5143678178694,16.8868474178802,17.3034187166935,17.3356477048108,17.2791303258414,17.0426867287098,16.8801949522429,16.6940067692947,16.3893310562607,16.2577146988727,15.99755873736,15.9074849686633,15.4004427733942,15.1429189140729,15.6187766487161,14.2238916401885,13.9813350069092,13.9878509240191,14.1140007376438,13.9559792008164,13.8826875565406,13.7790666178708,13.3390058134062,13.1914490342448,12.8853225820427,11.9842934282292,12.3229073775767,12.6055372883771,12.9044151049543,13.0150177508547,12.8687263753885,12.9766395529294,13.0953246178509,12.7805164593504,12.9700062033963,12.8705578043882,13.3713981244649,13.4420642269539,14.2026786265225,13.9163066789729,12.1438349654029,12.7890470600447,13.8619513212032,15.1678878906886,15.2090678562616,16.0917950984534,16.733564821953,17.2103915694158,17.7423963569979,19.4586211833877,20.6652767948723,19.3817254166344,18.6878503530208,18.1145798667634,17.5931936042386,16.9345734529269,16.183774158564,15.2634408291103,14.403159123441,13.9019782093244,13.3694110492169,12.516932068212,12.5046335567764,12.9056929746565,12.3912279135317,12.2914850597269,11.7047688651694,11.4776487351241,11.0035523279174,10.9051263820014,10.2635475121035,9.44208245097541,9.73677530072348,9.88596326966747,9.95110814933409,10.1159774436115,10.231244065644,10.3158189352764,10.3778379359349,10.3113009682728,10.2144636237062,10.6130999035728,10.4915834668744,10.6454408476743,10.3955282351033,10.9125925243936,11.277665180717,11.1802917300525,11.4612716438943,11.5450857613451,11.7589322781366,11.6826062907713,11.7435068986545,11.7849855616598,11.9491274216378,12.1885794718096],"NI-FDS^FG_PRICE(0)":17150.0,"EWI^FG_PRICE_MAVG(0,,,,60)":37.639168,"QQQ^FG_PRICE_MAVG(0,,,,60)":471.016,"EWC^FG_PRICE_MAVG(0,,,,200)":37.9919,"VWO^FG_TOTAL_RETURNC(0,-12AM)":24.668144,"EWJ^P_PRICE(0)/P_PRICE_HIGH_PR(0,,,,,,\"PRICE\",\"INTRA\",\"52W\")":0.9680503,"TRYUS10Y-FDS^PCTCHG(FG_YIELD(0,,,,\"YTM\"),FG_YIELD(-1AM,,,,\"YTM\"))":11.822973,"TRYDE10Y-FDS^FG_YIELD(0,,,,\"YTM\")":2.264,"EWN^FMA_PE(NTMA,0,,,\"PORTAGG\",\"MEANR\")":15.1303784360714,"EWL^FMA_PE(LTM,0,,,\"PORTAGG\",\"MEANR\")":21.4532188141219,"ENZL^FMA_PE(LTM,0,,,\"PORTAGG\",\"MEANR\")":49.5584143587149,"TRYAE10Y-FDS^FG_YIELD(-10AY,0,Y,,\"YTM\")":[null,null,null,null,null,null,null,null,null,null],"TRYCH10Y-FDS^FG_YIELD(-10AY,0,Y,,\"YTM\")":[0.314,null,-0.12,-0.09,-0.176,-0.434,-0.49,-0.111,1.617,0.703],"EWU^FG_TOTAL_RETURNC(-10AY,0,AM)":[-8.833742,3.592813,-2.8901815,-2.937311,5.6281924,-2.4757743,2.8145552,5.4750443,-2.29007,-2.3140252,1.4115095,-8.993578,3.4117699,-3.2423198,-3.115821,-7.0393267,-4.1944084,6.8102837,1.0409832,2.1249175,-1.450187,-1.8592298,4.4756174,1.0869622,-1.7710328,-2.157116,2.5995374,0.70192814,2.776885,-0.5340874,2.2109985,4.944372,0.67726374,-0.8072138,1.3566494,1.8441439,2.6869059,-1.4789522,1.1836052,5.639529,-5.668688,2.304554,2.8229356,1.8302798,-0.78976154,-0.79703329999999994,-3.767699,-2.7965903,-0.78740716,-1.1599422,-7.535517,4.302168,3.6976457,1.8933415,4.6144247,-2.3090541,-0.60606,0.8776665,-6.726593,3.3233643,-1.1579335,6.085253,1.0122776,3.9137363,-2.6167154,-16.91603,-8.158761,1.4405727,8.441818,-3.8018525,2.341652,-3.4883738,2.4873734,6.674242,5.581236,6.4584613,-3.8067818,5.054879,1.6460896,5.636871,0.49051046,-1.0441601,0.6331086,-1.9173145,0.15271902,1.7383337,-0.8992791,5.301535,2.1841764,-8.405548,7.852423,-9.502924,1.6056299,-4.501295,6.035948,-6.2360106,-9.754437,12.585044,5.773747,2.6236653,1.6007423,-2.4714231,4.7513485,1.6026616,-2.4264097,-2.114427,3.7166476,-2.7565122,0.7874012,-2.9999971,4.9613476,3.0557513,-1.7367423,3.3488393,2.2802234,6.042826,-0.3596127,0.5713463,-0.3658831,3.1355858,0.19173622],"WL-FDS^FG_PRICE_CHANGE(0,-3AM)":1.59555396199356,"W-FDS^FG_PRICE_CHANGE(0,-1AM)":8.05369127516777,"TIOS-FDS^FG_PRICE_CHANGE(0,-1AY)":-9.87223168654174,"EWI^FG_PRICE_MAVG(0,,,,30)":38.287334,"EWJ^FG_TOTAL_RETURNC(0,-12AM)":20.067417,"EWI^P_PRICE(0)/P_PRICE_LOW_PR(0,,,,,,\"PRICE\",\"INTRA\",\"52W\")-1":0.31070137,"EWN^P_PRICE(0)/P_PRICE_LOW_PR(0,,,,,,\"PRICE\",\"INTRA\",\"52W\")-1":0.37255442,"EWU^P_PRICE(0)/P_PRICE_HIGH_PR(0,,,,,,\"PRICE\",\"INTRA\",\"52W\")":0.96568114,"EWC^FG_TOTAL_RETURNC(0,-6AM)":10.094822,"ENZL^FG_TOTAL_RETURNC(0,-6AM)":9.083343,"VWO^SIZE(FG_CONSTITUENTS)":4847,"SPY^SIZE(FG_CONSTITUENTS)":503,"EWD^FG_ROE(0)":16.9910738498694,"REFAUCASH-FDS^(SUBARRAY(NOT_NA(NO_REPEAT_F(FG_YIELD(NOW,-10AY,D))),0,1)-SUBARRAY(NOT_NA(NO_REPEAT_F(FG_YIELD(NOW,-10AY,D))),1,1))*100":25.0,"CAGDPY@NZ^EE_ACTUAL_ANNUAL(MED,+1)":-6.4,"USDSEK^FG_PRICE_CHANGE(0,-1AM)":0.06828308,"USDCHF^FG_COMPANY_NAME":"Swiss Franc per U.S. Dollar","USDCAD^FG_COMPANY_NAME":"Canad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C^FMA_DIV_YLD(NTMA,-10AY,0,AM,\"PORTAGG\",\"MEANR\")":[3.03806498908146,2.94863482948085,3.10312171248548,2.99801577403161,2.87283369872003,2.96751056205657,2.82223793524456,2.85973993690458,2.9272411722687,3.04958986768268,3.06229708123105,3.22956600579198,3.15505015639616,3.29254617173705,3.40364249197641,3.53317833530462,3.55953497912495,3.17153354331594,3.18185771764481,3.09916498883837,3.06615960829041,3.0471929614729,2.94107351961394,2.98454648841571,2.96412260895231,2.9317320380966,2.83367271891927,2.82753080577978,2.79808431904578,2.90463250433504,2.89283439920739,2.93129612943988,2.97693865529526,3.06120341425862,3.06052048842544,3.11659573652833,2.95637135250477,2.91112632064467,2.90883863902927,2.907233996228,3.17889950624327,3.13244549703684,3.21465922098897,3.08970783288023,3.06964682170452,3.02357625532379,3.08437433543814,3.16967804895126,3.29658704041375,3.36301143524639,3.49765419473409,3.46089505276092,3.32254664516206,3.29286346745808,3.22099516895155,3.27174218037938,3.34715542124579,3.2917819739968,3.39060779978917,3.35417838195371,3.3589893786423,3.24730872089119,3.25908424282869,3.22406403264517,3.19745739076246,3.88181946898813,4.04268867706469,3.72830652633023,3.48980812386288,3.4956179631902,3.3140288943547,3.40652487956793,3.34463738433563,3.31524182372516,3.0910503507162,3.00077173911449,2.92894085173843,2.85714025755682,2.75001157866635,2.72300715966256,2.57279361178683,2.69186035272091,2.663627579617,2.7326077534236,2.76926503884436,2.68214089632252,2.82636659525537,2.78940372518184,2.75260374402992,2.81993041454365,2.8333539020161,3.21120453361326,3.17291841368707,3.39053914851856,3.2772390495141,3.36405384350934,3.59865665470005,3.36696014723195,3.35369316470252,3.3625658320512,3.25304595791199,3.40237820223844,3.29461975637603,3.2347226242263,3.30509717513784,3.28136468958823,3.4158677096531,3.51368153478019,3.6349156612789,3.58373290880899,3.4530775259863,3.33238914256146,3.310952089909,3.18203021446102,3.07421746527063,3.05828426730743,3.30862180881688,3.28373366560053,3.29461985144327,3.18575434830863,3.04178556414175],"EWJ^FMA_PE(LTMA,-10AY,0,AM,\"PORTAGG\",\"MEANR\")":[14.6983497259631,15.573716325735,15.7756311700593,15.5625901440065,15.7797742780205,16.8815799195896,16.9086024667639,16.8777776509109,16.9198716175901,16.4777221502367,16.9741671900061,15.4762185986308,15.6083422029541,16.143891925367,15.6981773169069,14.6537577623645,13.0577527134387,13.8866797863329,13.6592564364196,13.8021037569469,14.0301570735055,13.4947671645532,14.087508674118,14.4021382193022,14.4025378268581,14.679718453244,16.4007547075462,16.5447843534361,16.3935407048128,15.9556360058039,15.6252086279238,15.7091419971373,15.6504208498473,15.488591276559,15.2972261395433,14.6839244666431,15.0548123884987,15.8660551661815,16.1865590581192,17.0872138283897,15.18742475902,14.3828924480937,14.2504158142024,14.2554139045951,14.168918215758,13.8285621298273,13.6898952277831,13.3387810091557,13.6365196819023,12.9243749325811,12.2713393270036,11.7032811427156,12.0513059519051,12.6477990488159,12.7306716655947,12.6222250240842,12.7944091789593,12.9610678336578,12.7371439939319,13.1898056315086,13.4080620763652,14.4146996756518,15.0752535564782,15.4591423949724,15.3594286204686,13.8027025416831,13.8930906113895,14.3956035170666,16.4457693085801,17.1175843952416,17.9482189969373,19.3973237115158,20.4710412079357,21.5507391219508,22.6436461199212,24.0322751757928,23.8266434692762,21.5581982402072,21.2109837965324,20.7394233055445,20.1424153272251,19.4675766054029,18.9566326296473,18.8208432070054,17.5499934700316,17.3698942032737,16.408090716447,16.1156952633967,15.4324395997728,14.5680887340422,14.485396262694,14.192583026893,14.2245684471313,13.8634267769985,13.8848143542087,13.7644463307152,13.2374895872141,13.2959369321125,13.374605207699,12.7309763735806,13.5554155690174,13.6807165090179,13.6048792999279,13.8326011587372,14.3042003846586,14.4489801859969,14.6675154877836,14.9024290877388,14.7741032389494,14.9993642753889,14.8946680684479,15.7837932044178,16.4645878200899,17.0551181097032,16.9330525354871,16.7404783256137,16.8107709908759,17.1040876148498,15.3810049731724,15.4540894936661,15.9927810441859],"BRENT-FDS^FG_PRICE(0)":85.86,"FC0000CH^FG_PRICE(0)":348.0219,"EWI^FG_PRICE_MAVG(0,,,,200)":36.6478,"QQQ^FG_PRICE(0)":492.59,"EWA^FG_PRICE_MAVG(0,,,,200)":24.5879,"FXI^FMA_PCT_ABOVE_MAVG(200,0,,,,\"PORTAGG\")":94.0,"URTH^FG_TOTAL_RETURNC(0,-6AM)":11.020994,"EWN^FMA_COS_DOWN(\"EPS\",\"1M\",+1,0,,,\"PORTAGG\",\"MEANR\")":24.0,"EWN^FG_ROE(0)":11.0123091640069,"CC_US^IMF_IFS_RCPI_Q(0)":null,"EWN^FMA_EVAL_EBIT(LTMA,NOW,NOW,M,\"PORTAGG\",\"MEANR\")":20.9818303262915,"SPY^FMA_PE(LTM,0,,,\"PORTAGG\",\"MEANR\")":26.9811170297105,"EWC^FMA_EVAL_EBITDA(NTMA,0,,,\"PORTAGG\",\"MEANR\")":10.0413837356436,"ENZL^JULIAN(FMA_DIV_YLD(NTMA,NOW,NOW,M,\"PORTAGG\",\"MEANR\").DATES)":45565,"EWJ^FG_TOTAL_RETURNC(0,-3AM)":-0.53310394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817,9.71471543630714,12.1997093940908,11.8187115519998,11.9387928650957],"EWQ^FG_TOTAL_RETURNC(-10AY,0,AM)":[-11.119157,2.9747367,0.1582861,-4.931408,7.589102,-1.9095838,6.277311,2.953279,-1.0167062,-1.4790416,3.9000392,-8.782798,2.716732,-1.4002264,-3.431958,-6.89342,-2.7741075,6.8387747,0.6782532,3.0315757,-2.2067785,-4.194522,7.2930574,0.7089257,-0.041407347,-0.9941995,2.2594213,2.2893906,0.08028746,3.4897685,1.8604755,9.436834,2.1557689,-0.2793491,1.8402815,2.8298616,3.2824874,-1.2841105,1.6910553,3.06257,-4.4817924,4.2033195,0.93808174,1.6109109,-1.6768277,-0.34846067,-3.3672154,-0.32873154,-3.1662226,-2.2820175,-6.4482393,2.2939086,1.57336,4.5389056,3.9972425,-0.76209307,1.4357209,3.255427,-4.3123126,2.6288748,-0.7984042,6.2374234,-0.1578331,3.0644178,-0.8300066,-16.893982,-9.026485,0.0,16.441166,-1.0123789,3.0075192,1.2165427,-0.10302663,9.040904,4.918027,4.0884256,-1.7116308,3.5714269,2.9353023,5.121827,3.5936952,-2.5449932,2.8752327,-0.9487152,-2.8475344,6.075144,-2.0095527,2.6346564,-1.1036992,-14.74176,3.987825,-7.0257607,1.4585495,-5.623001,9.715641,-6.695467,-9.887564,18.238533,4.4071913,5.5517673,2.9112458,-0.8239448,5.760169,2.0162344,-3.248763,1.7358303,2.9858828,-4.8666897,-3.1292558,0.42135715,7.1608424,0.6250262,1.4360309,5.2767158,-1.4425457,4.1925073,-2.5714338,-3.4031928,-2.640438,2.8981686,1.2144685],"PASP-FDS^MAX(FG_PRICE(0,-5AY))":3158.12,"CPALM-FDS^FG_PRICE_CHANGE(0,-1AY)":22.8466534877153,"VGK^PERCENT_CHANGE(FMA_EPS(+1,0,,,,\"PORTAGG\",\"MEAN\"),FMA_EPS(+1,-1AM,,,,\"PORTAGG\",\"MEAN\"))":0.0,"EWN^FG_TOTAL_RETURNC(0,-12AM)":32.011856,"SPY^FG_TOTAL_RETURNC(0,-3AM)":2.9537082,"EWU^PERCENT_CHANGE(FMA_EPS(+1,0,,,,\"PORTAGG\",\"MEAN\"),FMA_EPS(+1,-1AM,,,,\"PORTAGG\",\"MEAN\"))":-1.24561232644616,"EWG^P_PRICE(0)/P_PRICE_LOW_PR(0,,,,,,\"PRICE\",\"INTRA\",\"52W\")-1":0.33454776,"EWG^SIZE(FG_CONSTITUENTS)":57,"TRYDE10Y-FDS^FG_YIELD_NAME":"Germany Benchmark Bond - 10 Year","REFEUREFI-FDS^PROPER_NAME(0,,,\"SECURITY\",\"NAME\")":"Eurozone Main Refinancing Operations Minimum Bid Rate","TRYSE10Y-FDS^PCTCHG(FG_YIELD(0,,,,\"YTM\"),FG_YIELD(-3AM,,,,\"YTM\"))":-4.5617175,"TRYGB10Y-FDS^FG_YIELD(0,,,,\"YTM\")":4.219,"VGK^FMA_DIV_YLD(NTMA,NOW,NOW,M,\"PORTAGG\",\"MEANR\")":3.48221003272562,"EWL^FMA_PE(NTMA,0,,,\"PORTAGG\",\"MEANR\")":17.0969089519456,"EWC^FG_FCF_YIELD_NTM(0)":4.83495842277682,"CAGDPY@CH^EE_ACTUAL_ANNUAL(MED,+1)":8.0,"USDITL^FG_PRICE_CHANGE(0,-1AY)":-2.9799461,"USDCHF^FG_PRICE_CHANGE(0,-3AM)":-4.597253,"USDGBP^FG_PRICE_CHANGE(0,-1AY)":-6.0687304,"USDEUR^FG_PRICE_CHANGE(0,-1AM)":0.86972713,"USDNZD^FG_PRICE(0)":1.6456842,"EWG^P_PRICE_RETURNS_PR('52W',2,-10AY,0,AM)":[-6.987423,-5.2796783,-4.5348883,-11.25325,-4.3062267,-4.978365,1.0252237,-1.328069,-6.3177586,-3.9497554,4.459882,-7.519567,1.7742157,-0.48764944,-4.4511676,-8.271927,-17.61037,-13.918877,-15.909445,-12.630737,-13.44226,-10.312152,-7.271701,2.2338867,2.3909569,-0.8279383,1.2271881,13.137733,21.455013,18.521559,16.020702,19.117224,23.226082,31.046463,16.750288,20.886612,27.00224,30.579138,29.639471,29.261267,20.144033,20.593607,18.186724,11.876035,5.4806113,4.497361,1.0410666,-4.574937,-11.80616,-14.032518,-21.027946,-20.320827,-16.685766,-15.73059,-12.935209,-12.577545,-11.2302065,-7.888776,-11.941314,-4.957843,-2.7841568,8.458924,16.203033,15.860701,15.945137,-6.238097,-14.388919,-14.485491,3.4769416,2.245319,12.312592,12.017703,15.543151,3.5149574,9.454334,13.9072895,13.933134,37.880432,53.65143,52.345657,31.446802,29.494976,22.483194,17.926407,12.202013,17.736423,7.7617526,2.236247,1.6023517,-16.838747,-17.716902,-26.199223,-27.29029,-31.294144,-28.052557,-32.4842,-36.364227,-26.210857,-19.230175,-15.197879,-11.199135,5.011487,6.478572,19.25298,11.408985,26.558292,21.300566,27.932823,35.056423,12.240291,18.044817,11.586809,6.9153666,14.86361,11.304867,13.198757,14.559305,14.633381,9.67189,19.4813,28.362476],"SPY^FMA_DIV_YLD(NTMA,-10AY,0,AM,\"PORTAGG\",\"MEANR\")":[2.21104821185827,2.09079127852752,2.12313310007536,2.12001625623554,2.13005493265467,2.20128187751827,2.14719230192098,2.14514835657354,2.16580950447355,2.19483531868702,2.1961428597924,2.37819380733091,2.30970880384733,2.26633570891689,2.2948819424456,2.4661001995163,2.45182025901469,2.47519773454617,2.29179874134034,2.29270141173246,2.27710953304458,2.24878536754114,2.21101802325359,2.26317548959492,2.22682610860386,2.23654420929821,2.16289050591605,2.16371757435953,2.14117898857405,2.10103240225839,2.12354947062754,2.1008668567109,2.08510706554299,2.11420810894922,2.11791364212056,2.10693943410082,2.03924431061151,2.03271670486126,1.97191508709743,1.91434369753955,2.0390592771745,1.94003063748878,2.053374742463,2.02347832945027,1.99224838793558,2.00601993282709,1.99644665563204,1.97602446673339,2.05320575860491,2.06010003386089,2.19163510899924,2.24341770708218,2.16467488035224,2.14331927862373,2.05377837720632,2.07114797213146,2.08132500344487,2.01911759652023,2.07891802890822,2.04753068648026,2.08680681189318,1.99545314017903,1.98267270253531,1.91795072431875,1.8837595070544,2.20247613305754,2.22380563444685,2.06936120779924,1.88956848059068,1.87128167249452,1.77223883466253,1.78765208633167,1.71950351777053,1.69125749800731,1.63805907556735,1.55186866534433,1.53531653597693,1.54683368243085,1.46924650885387,1.45853030948102,1.45277843176525,1.42719595586763,1.41903082903887,1.42267114743918,1.4512169083604,1.38402649881819,1.37014221573707,1.38501752494538,1.45938263293174,1.5551906214505,1.47035958646825,1.65515184149661,1.71228908978932,1.72443049016468,1.61201624742671,1.68234629889463,1.89818104871423,1.74709971229639,1.7627742378175,1.77419985587075,1.71166533403682,1.82223431492589,1.71749361323769,1.70441118995623,1.65136605068747,1.61322855875168,1.60414699626462,1.61481720183842,1.66428279052136,1.64750707103226,1.58719571738998,1.53996077080565,1.48820222062877,1.46758391279619,1.45966048296737,1.46260857589067,1.43491705350784,1.36786885532676,1.44822037565643,1.41403998312591,1.34989472888965],"NI-FDS^FG_PRICE_MAVG(0,,,,30)":16529.166,"BRENT-FDS^MAX(FG_PRICE(0,-5AY))":140.85,"FC0000AU^FG_PRICE(0)":387.10303,"EWQ^FG_PRICE(0)":39.17,"EWG^FG_PRICE_MAVG(0,,,,60)":31.879333,"EWN^FG_COMPANY_NAME":"iShares MSCI Netherlands ETF","ENZL^PERCENT_CHANGE(FMA_EPS(+1,0,,,,\"PORTAGG\",\"MEAN\"),FMA_EPS(+1,-3AM,,,,\"PORTAGG\",\"MEAN\"))":8.30400514278604,"EWA^JULIAN(FMA_ROE(NTMA,-20AY,NOW,FY,\"PORTAGG\",\"MEANR\").DATES)":[38352,38716,39080,39447,39813,40178,40543,40907,41274,41639,42004,42369,42734,43098,43465,43830,44196,44561,44925,45289],"USDITL^STD(FG_PRICE_CHANGE(0,-3AY,M))":2.17172777170536,"USDCAD^STD(FG_PRICE_CHANGE(0,-3AY,M))":1.83419096764442,"EWA^FMA_PE(LTMA,-10AY,0,AM,\"PORTAGG\",\"MEANR\")":[14.5620837773082,15.2644850649474,14.2747695731991,14.9696334262436,15.8080126634055,16.1584198131118,16.3754703964034,16.171792662089,15.8979764963618,15.8603446039008,15.9455276565607,15.2955156862659,15.7686341041972,15.2086266545544,15.1676879722796,14.9852778490439,14.6077208414141,15.1352185038975,15.0440316161878,15.6374879586558,15.7523770220437,15.7579605937236,16.6173196049001,16.3410469681811,16.9088260910631,16.8326856184371,17.4724396473507,18.0154035312931,17.7663985794786,17.486200019872,17.3445372485045,17.1652127268185,16.7711077057384,16.7370000620707,16.7924216281726,16.4942940675246,16.390090446611,16.8909540358367,16.579253036847,16.844807942161,16.1209237484529,16.502246099838,16.3088876892402,16.3714390671943,16.1680603143844,16.3290413348526,16.3409066884196,15.9800259592153,15.7307771440575,15.4997242575337,14.5046646678403,15.0418256737628,15.7276475991797,15.9024796837006,15.8496689491003,15.8579948762101,16.0081192770267,16.290893907665,16.2636799741993,16.5706971680391,16.6637154334411,17.467570943009,17.5282871198111,18.3003286942208,18.4164117406629,16.7238547494824,16.7400888471021,17.3381584770993,18.8247917065048,18.5377595060374,19.417771952827,19.4308756087066,19.9101753459322,21.0641351018813,22.7146228161728,23.6619447046614,23.0200938421769,21.663507646003,21.3121881867965,21.0307063494818,20.5957927509283,19.6245206928943,19.2937259001608,18.7883007690196,18.5511302414868,18.4450228919933,17.8301644748902,17.7995435845418,16.3343984377434,15.7040421106737,15.7042078463781,15.077079535894,14.6351382967239,14.1187706241211,14.5324030444698,14.1354768263421,13.3606605461917,13.7864805201064,14.2912873801873,14.0632412119178,14.6603986014135,14.2048637400215,14.2655138649059,14.3837675934217,14.3828880541592,14.4215868297611,15.0596690783062,14.937382748301,14.7259231778248,14.8443256761663,15.3966710507424,16.1967791016468,16.5065933757993,16.6807587569704,16.6805970853786,16.6778123438373,16.846567641368,16.9511544073365,16.9882288153171,17.5437131938389,18.0143894427783],"TIOS-FDS^FG_PRICE_CHANGE(0,-6AM)":1.72082291866948,"SPY^FG_PRICE_MAVG(0,,,,30)":563.7783,"EWC^FG_PRICE_MAVG(0,,,,30)":40.824333,"EWQ^P_PRICE(0)/P_PRICE_LOW_PR(0,,,,,,\"PRICE\",\"INTRA\",\"52W\")-1":0.1636957,"EWC^PERCENT_CHANGE(FMA_EPS(+1,0,,,,\"PORTAGG\",\"MEAN\"),FMA_EPS(+1,-3AM,,,,\"PORTAGG\",\"MEAN\"))":-1.31059675956031,"EWD^FMA_COS_UP(\"EPS\",\"1M\",+1,0,,,\"PORTAGG\",\"MEANR\")":8.0,"REFEUREFI-FDS^(SUBARRAY(NOT_NA(NO_REPEAT_F(FG_YIELD(NOW,-10AY,D))),0,1)-SUBARRAY(NOT_NA(NO_REPEAT_F(FG_YIELD(NOW,-10AY,D))),1,1))*100":-60.0,"TRYIT10Y-FDS^FG_YIELD(0,,,,\"YTM\")":3.553,"EWD^FMA_EVAL_EBITDA(NTMA,0,,,\"PORTAGG\",\"MEANR\")":11.1896314234224,"EWJ^FG_TOTAL_RETURNC(0,-1AM)":2.5455594,"QQQ^FG_TOTAL_RETURNC(0,-1AM)":7.5481296,"TRYGR10Y-FDS^FG_YIELD(-10AY,0,Y,,\"YTM\")":[9.61,8.24,7.15,4.14,4.37,1.45,0.618,1.315,4.585,3.099],"USDCHF^FG_PRICE_CHANGE(0,-6AM)":-5.899769,"USDGBP^FG_COMPANY_NAME":"British Pounds per U.S. Dollar"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78672,1.85109750448731,2.46081748725315,2.80266519059803,2.92070467941154],"EWN^FG_TOTAL_RETURNC(-10AY,0,AM)":[-7.6954184,4.870546,2.3430943,-5.442148,4.5119405,3.0303001,4.8750997,1.8824458,0.5279064,-0.30215383,2.3601055,-9.669018,0.7410407,1.0625243,-3.0731916,-6.0171127,-2.6797593,8.857262,2.445197,1.3168812,-2.0308673,-4.1899977,7.5724244,0.14283657,1.4669895,-3.5742939,0.08330345,2.595234,2.7937531,6.5547585,0.3563404,7.7555656,2.428031,-0.11090636,4.392588,1.8080235,2.2602558,-1.2630224,0.9274006,2.9558182,-3.5592735,4.589224,0.061368942,-1.4106095,0.031101704,-1.3441086,-1.6655922,-1.7589629,-5.537134,1.1934042,-5.931318,0.9261966,4.69898,1.6129017,5.7971,0.65231323,0.097215176,2.0960808,-1.8843412,3.8410544,-0.8609712,5.210674,0.73372126,2.8182626,0.9484291,-14.122141,-5.7777824,4.753268,12.919974,5.01343,2.439034,-0.028693676,5.308473,2.3978233,7.2378874,6.998801,3.3038616,0.47297478,7.5543523,0.2292633,3.9904475,-2.9991984,5.4160595,3.9763808,-6.5884113,5.9586525,-5.6809425,-1.6225457,-3.8485408,-15.687543,4.594183,-11.810642,2.3743749,-5.175245,9.962463,-8.245808,-12.049228,19.134403,6.255126,5.40632,2.061355,-4.376054,5.6323767,-0.19042492,1.1324167,2.062714,1.6355157,-8.827585,-3.0635417,4.3308616,6.955874,1.7408729,9.325945,3.2094598,1.1047363,2.4888754,2.685082,1.6142249,-8.49598,-0.2300322,4.4016004],"EWD^FMA_PE(NTMA,-10AY,0,AM,\"PORTAGG\",\"MEANR\")":[13.5743584972697,15.3326609374659,15.5825459920662,15.4187242794354,16.4150500646503,16.8463429755199,17.1031650844149,15.7315857377599,16.0484940083623,15.9021586170153,16.3612502910431,14.8600467358236,15.0764009710019,15.4091374432706,14.7910334882814,13.9946447295889,14.3157263791125,15.307622548251,15.0505028049902,14.9799980427486,14.415651769368,14.555124475279,15.4638654511279,15.4947158805012,16.0481674804589,16.0902197827882,16.6507371174598,16.3776024338321,16.0535738459264,16.8527444954059,16.9774374608413,17.1978219189896,16.9129138384542,16.6226246505484,15.9093125938891,15.9137116015378,16.7308592219096,16.8997188487636,16.4656506946612,16.6220069049444,15.5817227402787,16.3812019920089,15.6670676913372,16.1376618859661,15.3909449207469,15.3898815442771,15.5691015985699,15.5182720487869,15.0707492940296,14.3961772472307,13.4268563149364,13.9894634231653,14.4528062223253,14.6442200593129,15.1549494805461,14.9813018503785,14.6304142432857,15.0577500212067,13.6686927913931,14.4038805197776,14.8590606991842,15.9927925048547,15.6944899163298,16.2701914172908,16.7273907692423,13.6755857482328,15.6842281394485,18.130961846091,19.39007571432,19.5199342534149,18.5704410556483,18.2876502520924,18.3378146547211,17.0926505649599,17.3091396976705,18.7644461856475,18.6365341320849,19.8067761223185,20.6106303205753,18.2804873750155,18.6591719351714,18.8861156616608,18.6207755186925,18.4758436647682,17.639819676489,18.6120492121414,18.999171537292,17.8265553853745,16.5939060528621,14.4850271446508,15.2781394116473,15.2591400029365,15.1929871014415,14.8292195315039,15.067287244511,14.1004127978362,12.9771523598712,13.1214247710445,13.2761821999965,13.4499386346611,13.9522418566358,13.7023566875891,13.4420181768294,13.3692678160838,13.7103782183028,13.1997510358161,13.2587708096914,12.9363772360661,13.1356181881994,12.7984855615799,15.1141086951576,15.2593178238203,15.6974883778289,16.5498012490015,16.3139449006091,16.4648553842574,16.1245573231807,15.8982773654117,15.3878653896494,15.5969102809326,16.3768621477604],"NI-FDS^FG_PRICE(0)/MAX(FG_PRICE(0,-1AY))":0.806110458284371,"W-FDS^MAX(FG_PRICE(0,-5AY))":14.2525,"URTH^FMA_PCT_ABOVE_MAVG(200,0,,,,\"PORTAGG\")":67.0931058990761,"EWI^FG_TOTAL_RETURNC(0,-3AM)":1.902461,"EWJ^P_PRICE(0)/P_PRICE_LOW_PR(0,,,,,,\"PRICE\",\"INTRA\",\"52W\")-1":0.23951054,"FXI^FMA_COS_UP(\"EPS\",\"1M\",+1,0,,,\"PORTAGG\",\"MEANR\")":26.0,"EWJ^FMA_COS_UP(\"EPS\",\"1M\",+1,0,,,\"PORTAGG\",\"MEANR\")":80.0,"QQQ^FG_ROE(0)":22.2707859793069,"TRYIT10Y-FDS^FG_YIELD_NAME":"Italy Benchmark Bond - 10 Year","TRYCA10Y-FDS^FG_YIELD_NAME":"Canada Benchmark Bond - 10 Year","SPY^FMA_EVAL_EBIT(LTMA,NOW,NOW,M,\"PORTAGG\",\"MEANR\")":21.5261618255531,"EWU^JULIAN(FMA_DIV_YLD(NTMA,NOW,NOW,M,\"PORTAGG\",\"MEANR\").DATES)":45565,"ENZL^FMA_PE(NTMA,0,,,\"PORTAGG\",\"MEANR\")":24.3092518302041,"USDITL^STD(FG_PRICE_CHANGE(0,-1AY,AM))":1.21308057096045,"USDCAD^STD(FG_PRICE_CHANGE(0,-1AY,AM))":1.16591727610545,"ENZL^JULIAN(FMA_DIV_YLD(LTMA,-10AY,0,AM,\"PORTAGG\",\"MEANR\"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3],"TIOS-FDS^FG_PRICE_CHANGE(0,-3AM)":-2.69450064373735,"EWC^FG_PRICE(0)":41.4,"EWQ^P_PRICE(0)/P_PRICE_HIGH_PR(0,,,,,,\"PRICE\",\"INTRA\",\"52W\")":0.91948354,"EWC^PERCENT_CHANGE(FMA_EPS(+1,0,,,,\"PORTAGG\",\"MEAN\"),FMA_EPS(+1,-1AM,,,,\"PORTAGG\",\"MEAN\"))":-1.78325435656252,"EWN^SIZE(FG_CONSTITUENTS)":54,"VWO^FMA_DIV_YLD(NTMA,NOW,NOW,M,\"PORTAGG\",\"MEANR\")":2.98151369325415,"EWD^FG_FCF_YIELD_NTM(0)":4.9445315159499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0728,8.94223448409827,12.253955548111,13.1534194530092,13.2312741384504],"CC_US^FG_COMPANY_NAME":"United States","USDNZD^STD(FG_PRICE_CHANGE(0,-1AY,AM))":2.0704493249158,"WL-FDS^FG_PRICE_CHANGE(0,-1AM)":9.27497107597377,"EWN^FG_PRICE_MAVG(0,,,,60)":49.321335,"EWJ^FG_PRICE_MAVG(0,,,,30)":70.755,"FXI^P_PRICE(0)/P_PRICE_HIGH_PR(0,,,,,,\"PRICE\",\"INTRA\",\"52W\")":0.8858667,"EWJ^PERCENT_CHANGE(FMA_EPS(+1,0,,,,\"PORTAGG\",\"MEAN\"),FMA_EPS(+1,-1AM,,,,\"PORTAGG\",\"MEAN\"))":-3.56054516221228,"EWD^FMA_PCT_ABOVE_MAVG(200,0,,,,\"PORTAGG\")":71.1111111111111,"SPY^PERCENT_CHANGE(FMA_EPS(+1,0,,,,\"PORTAGG\",\"MEAN\"),FMA_EPS(+1,-3AM,,,,\"PORTAGG\",\"MEAN\"))":-1.39572403423461,"EWL^P_PRICE(0)/P_PRICE_HIGH_PR(0,,,,,,\"PRICE\",\"INTRA\",\"52W\")":0.9620969,"EWU^SIZE(FG_CONSTITUENTS)":79,"EWJ^FMA_RBICS_REV_CURRENT(30, LOC, \"PORTAGG\")":18.3724552738071,"TRYAU10Y-FDS^PCTCHG(FG_YIELD(0,,,,\"YTM\"),FG_YIELD(-3AM,,,,\"YTM\"))":-3.3141446,"CC_CH^IMF_IFS_RCPI_Q(0)":null,"EWI^FMA_EVAL_EBIT(LTMA,NOW,NOW,M,\"PORTAGG\",\"MEANR\")":12.0294286641653,"EWQ^FMA_EVAL_EBIT(LTMA,NOW,NOW,M,\"PORTAGG\",\"MEANR\")":13.5836279614691,"USO^FG_TOTAL_RETURNC(0,-3AM)":-3.3673048,"EWI^FMA_EVAL_EBITDA(NTMA,0,,,\"PORTAGG\",\"MEANR\")":7.78769881701908,"QQQ^JULIAN(FMA_DIV_YLD(NTMA,NOW,NOW,M,\"PORTAGG\",\"MEANR\").DATES)":45565,"EWJ^FMA_PE(LTM,0,,,\"PORTAGG\",\"MEANR\")":17.5052357773996,"EWA^FMA_PE(NTMA,0,,,\"PORTAGG\",\"MEANR\")":18.1969661506315,"SPY^FG_TOTAL_RETURNC(0,-1AM)":5.3043485,"EWJ^FMA_PCT_ABOVE_MAVG(200,0,,,,\"PORTAGG\")":54.2713567839196,"EWG^FMA_RBICS_REV_CURRENT(30, LOC, \"PORTAGG\")":23.5276247083657,"TRYAU10Y-FDS^PCTCHG(FG_YIELD(0,,,,\"YTM\"),FG_YIELD(-1AM,,,,\"YTM\"))":7.469949,"CPALM-FDS^FG_PRICE_CHANGE(0,-6AM)":-3.697144122205,"EWG^FG_PRICE_MAVG(0,,,,200)":31.016,"VGK^PERCENT_CHANGE(FMA_EPS(+1,0,,,,\"PORTAGG\",\"MEAN\"),FMA_EPS(+1,-3AM,,,,\"PORTAGG\",\"MEAN\"))":-0.12778129280666,"EWG^FMA_PCT_ABOVE_MAVG(200,0,,,,\"PORTAGG\")":61.4035087719298,"EWL^SIZE(FG_CONSTITUENTS)":47,"TRYSE10Y-FDS^PCTCHG(FG_YIELD(0,,,,\"YTM\"),FG_YIELD(-1AM,,,,\"YTM\"))":9.604523,"EWU^FMA_EVAL_EBIT(LTMA,NOW,NOW,M,\"PORTAGG\",\"MEANR\")":10.9552698594165,"EWJ^JULIAN(FMA_DIV_YLD(NTMA,NOW,NOW,M,\"PORTAGG\",\"MEANR\").DATES)":45565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0637019,24.5344428355254,26.6372020899856,24.0483215664206,25.30628712435],"CC_GB^FG_COMPANY_NAME":"United Kingdom","USDANG^STD(FG_PRICE_CHANGE(0,-1AY,AM))":0.0,"USDJPY^FG_COMPANY_NAME":"Japanese Yen per U.S. Dollar","QQQ^P_PRICE_RETURNS_PR('52W',2,-10AY,0,AM)":[21.90807,25.34864,21.488785,19.731676,20.726347,17.974735,28.021503,27.077627,19.153595,14.942705,18.82701,6.0420156,11.173237,12.304258,10.954142,1.7165661,-6.438321,0.009334087,3.3273578,-0.1747191,0.58237314,5.1415205,5.7057858,11.274349,13.179183,3.3372998,7.053733,19.190098,33.212326,26.94229,22.365116,30.274464,28.341818,27.010775,22.180916,24.285793,25.045288,34.09926,31.77879,33.490635,24.073769,33.552193,23.17177,23.623169,22.55789,28.916191,29.037142,27.030586,17.242981,12.459528,6.2211156,0.29529333,10.786009,1.6327977,16.051079,10.01761,5.907893,9.547877,3.417647,5.829549,10.859299,16.382921,26.164043,36.549603,38.75097,20.225143,9.808922,22.07594,35.58445,38.187862,46.112705,44.005405,53.739834,41.89732,49.476624,47.96505,44.468666,53.39668,68.880775,45.776535,39.092743,38.476406,36.48051,39.063583,29.026115,38.167416,32.26881,19.7201,8.236957,7.0726633,4.701495,-7.2291193,-14.725161,-17.220234,-10.658968,-18.6249,-25.777424,-26.958597,-27.922894,-27.69611,-15.771079,-12.2559185,-8.262187,8.933449,19.309593,24.92919,13.896942,24.864506,39.296375,34.736073,39.10166,50.758564,45.87022,48.42684,38.826538,36.864864,31.995487,38.231705,23.267544,23.95203,34.556747],"QQQ^FMA_DIV_YLD(NTMA,-10AY,0,AM,\"PORTAGG\",\"MEANR\")":[1.29897661037713,1.22366838138129,1.22623807986593,1.21236066567382,1.24803456590193,1.27183132099998,1.25309261202606,1.24649478998341,1.24725496558472,1.26815330981798,1.26882441009771,1.35772959145788,1.3388914690956,1.27576661099773,1.28096173572442,1.35726598599402,1.48366894263127,1.39105833653301,1.33783201423562,1.37458797037491,1.3621594770997,1.33413857509111,1.28134829597656,1.31642251813892,1.25672448131047,1.31061534444846,1.28681401466482,1.25955369690347,1.24020759724841,1.21495280909675,1.21386416120544,1.17366575974008,1.17124959059601,1.20700512561027,1.19740964383957,1.17483955877134,1.14767088770192,1.11365373427376,1.11532720407803,1.06017185155135,1.12646340323705,1.03102296146111,1.12064091178921,1.0814173316236,1.05790094265532,1.04319997506312,1.07776980813142,1.08325414081924,1.15284102560343,1.16992239306012,1.25022938341034,1.26493093914656,1.22173269993305,1.19387034799096,1.10667217226569,1.11979029855516,1.14275821385244,1.08340815620794,1.12608320729144,1.1021226205753,1.11922436167052,1.06422596897747,1.08020808385588,1.02233115765905,0.969676780934846,1.10816612742478,1.12674411862397,0.988679043930705,0.900017578116796,0.840603776384703,0.823945521786598,0.820143735149547,0.78390557005588,0.797293475947841,0.750196587585636,0.751119558033648,0.730183834992441,0.786317331539021,0.726699135667858,0.757241303483347,0.730726514783542,0.692488929625651,0.70223933482524,0.687638193721029,0.718435713681039,0.673999779893564,0.665819303542866,0.701629118000674,0.754602226634831,0.82729229866048,0.787046742194073,0.917504247574146,0.965087856425396,0.949874643631306,0.864890644552667,0.926391440784431,1.0768808235862,1.02180970290287,1.02385475162122,1.01633989359965,0.937086733766827,0.980801381965047,0.89314777881118,0.858842116564423,0.795897268478469,0.771831642711692,0.892255359947336,0.887115397243058,0.921509819960739,0.904436821819121,0.886190241505206,0.917684361573455,0.880326777208827,0.887054134205284,0.898363272116911,0.912491973075561,0.872374808716635,0.804206734186383,0.881568331891127,0.86855006636682,0.8167341522645],"EWN^FMA_PE(LTMA,-10AY,0,AM,\"PORTAGG\",\"MEANR\")":[16.0456651431926,17.2393588249783,17.5260692426506,17.3169343985986,18.6415627926536,20.0689001227807,20.0273441554243,19.5978864355122,19.1655113019184,18.9438543334915,18.9504638728631,17.2485386317809,16.9663780479726,18.032020457143,17.156359877153,15.679078893842,14.9526258633836,16.353746166365,16.2752520365653,16.1993357630623,16.0153692848959,15.7503795083664,16.1348593844562,16.0420037505566,15.9455035121194,15.5741221798986,15.9210527944989,16.3611741980118,16.2040904439717,16.5042094847727,16.5283914901119,16.7595074488762,16.7603890824502,16.5539479542947,16.6547386300588,16.6293228876062,17.1538650108744,17.3375302328991,17.2449527384291,17.5515719914488,16.3813455423913,16.6808924860941,16.6024074231736,16.5789131963147,16.6498226664626,16.6265555465687,16.6306357218737,16.2951592263149,15.7162778047976,15.7089007227689,14.6232811006829,14.641800807678,15.4171253643713,16.0929839464726,16.2317889875452,16.1789465118486,16.2338894685554,16.4008697109093,16.1992289625717,16.8741864316647,16.9750923844681,17.8455861116162,18.2814301324308,18.7244527003207,19.6589932687401,17.0457980468986,17.2963780635682,17.9881101634764,19.22512214849,20.0651374562863,20.5891084641935,21.4666924276128,22.6340516466748,24.3459108725529,26.1802342740013,27.9165974287837,28.6858974634139,28.7907995036728,28.5639937360145,27.571399607591,26.9651047068585,26.364370449469,26.3616682285419,25.6665756104468,23.9698847894874,24.4228056653672,22.6955153336399,21.7052781279067,20.3326005798915,18.1515621304194,18.4442875259389,17.746306115016,18.2945889099334,18.2782894731762,19.6645871374359,18.7326434900248,17.0198088183221,18.262024722045,18.6015609825886,19.0522175639435,20.7077625373196,20.4921738468403,20.1744483864517,19.6826861526864,19.3305978661543,19.0035647064266,18.5242712965923,17.4369019843667,16.6558578573406,16.1277450085766,16.6234999261078,16.2777566068935,17.9718963683771,18.4980337955734,18.3908095632694,18.280058296497,18.5269343565263,18.5330336838309,17.3605635637173,17.179916594578,17.7860965902195],"CPALM-FDS^MAX(FG_PRICE(0,-5AY))":8163.0,"COPP-FDS^FG_PRICE_CHANGE(0,-6AM)":2.40541802895842,"VGK^FG_TOTAL_RETURNC(0,-1AM)":1.3719916,"EWG^PERCENT_CHANGE(FMA_EPS(+1,0,,,,\"PORTAGG\",\"MEAN\"),FMA_EPS(+1,-1AM,,,,\"PORTAGG\",\"MEAN\"))":-3.96766179973559,"ENZL^P_PRICE(0)/P_PRICE_HIGH_PR(0,,,,,,\"PRICE\",\"INTRA\",\"52W\")":0.96786356,"VGK^SIZE(FG_CONSTITUENTS)":1284,"REFGBBANK-FDS^FG_YIELD(NOW,,,0)":5.0,"TRYIT10Y-FDS^PCTCHG(FG_YIELD(0,,,,\"YTM\"),FG_YIELD(-1AM,,,,\"YTM\"))":0.5376359,"TRYCH10Y-FDS^FG_YIELD(0,,,,\"YTM\")":0.536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989718,17.2298191699104,20.6862842146994,20.5983105975852,20.344268503591],"USDUSD^FG_PRICE_CHANGE(0,-1AM)":0.0,"USDNZD^FG_PRICE_CHANGE(0,-1AM)":1.2013555,"WL-FDS^FG_PRICE_MAVG(0,,,,30)":560.11,"EWN^FG_PRICE_MAVG(0,,,,30)":49.66734,"FXI^FG_TOTAL_RETURNC(0,-6AM)":36.193,"EWN^P_PRICE(0)/P_PRICE_HIGH_PR(0,,,,,,\"PRICE\",\"INTRA\",\"52W\")":0.9392797,"EWL^FG_TOTAL_RETURNC(0,-6AM)":13.116741,"CC_JP^IMF_IFS_RCPI_Q(0)":null,"EWQ^FMA_EVAL_EBITDA(NTMA,0,,,\"PORTAGG\",\"MEANR\")":9.2479198333334,"DBA^P_PRICE(0)/P_PRICE_HIGH_PR(0,,,USD,,,\"PRICE\",\"INTRA\",\"52W\")":0.9505535,"TRYZA10Y-FDS^JULIAN(FG_YIELD(-10AY,0,CY,,\"YTM\").DATES)":[42004,42369,42734,43098,43465,43830,44196,44561,44925,45289],"USDANG^FG_PRICE_CHANGE(0,-1AY)":0.0,"USDEUR^STD(FG_PRICE_CHANGE(0,-3AY,M))":2.17172756290048,"EWU^FMA_DIV_YLD(NTMA,-10AY,0,AM,\"PORTAGG\",\"MEANR\")":[4.24200475035231,4.07147983248859,4.159228871541,4.22313167959041,4.01131564021935,4.04914124942475,3.89618276633237,3.86174263255781,3.98370147657785,4.1361340750538,4.05236755884572,4.45584698646085,4.21592468068719,4.29327102100837,4.37545159618937,4.56809558026564,4.72725493974712,4.45899209947492,4.36324498751506,4.35579812175895,4.38729510758901,4.24241830931427,4.07774007490573,4.16058799419207,4.17874907491409,4.39234313344354,4.32940806620778,4.23595776070842,4.2569869973864,4.3278016601037,4.34072374855664,4.2715239211092,4.25510615883469,4.33665016926443,4.31276231358863,4.3220849364429,4.24997917113504,4.34450700548192,4.36525188562309,4.1749112523377,4.52648762818742,4.46575346016303,4.42312565306326,4.28789536130481,4.34098741750988,4.37059045262182,4.45522852636632,4.65691175958218,4.71615620990949,4.82620639031375,5.22491534034977,5.16560205238544,5.0351069269838,5.02860546559306,4.82482645803744,4.98737567884278,4.80568988888853,4.78372767613542,5.07550436551132,4.99367654603621,5.038120975816,4.7982115115124,4.79378306655651,4.57563097979907,4.69435298184569,5.87072679988179,5.77015730723658,4.62309294229776,3.97425514393573,4.14735486496876,4.00621743324681,4.11086410614436,4.18285738166133,4.05065383579581,3.86218989415688,3.76272965461604,4.01954880843194,3.94980068581618,3.95501482384878,3.84117602870269,3.90808314896435,4.00761868165266,4.13854081142392,4.22587261858887,4.14433855023897,4.0115306305505,4.02187536273701,3.87929395461521,3.74763106516886,4.14429859210553,3.91396158283254,4.26895993463043,4.21958199394969,4.3020844354944,4.14568424972126,4.39745967313372,4.67409794807568,4.35462180183101,4.21983719331273,4.14524505589827,4.09582668076521,4.21533050911401,4.17134274959548,4.24863131524121,4.34248440551745,4.50723826893517,4.37005434305894,4.49560800777122,4.44108390348503,4.61686811429285,4.39817303099225,4.30198219214238,4.31565904364917,4.14450513341803,4.02199763214361,3.81852030072094,3.9233990115822,3.93447843707748,3.95805944550736,3.93899413338562,3.88809172188787],"EWQ^FMA_PE(LTMA,-10AY,0,AM,\"PORTAGG\",\"MEANR\")":[14.5261243865285,14.9274911253941,14.9891662355542,14.7245678776234,16.4713828124544,17.4792841226039,17.7251653235171,17.5264820946777,17.271593556404,17.0925287416513,17.307254383031,15.9675648532906,16.0780701715542,16.3909335150932,15.5650752746361,14.464777058505,14.2580445810801,15.1296309237894,15.0653239307366,15.0874741263005,14.9770349644531,14.6954175579069,15.0055924666958,15.0337553651864,14.9591353653568,14.8779574345367,15.4907924628096,15.8655658851675,15.447801357946,15.6137152627227,15.6458955797175,15.8648073964571,15.7555517255321,15.5911079908555,15.4930836098345,15.5319578332354,16.0575488126153,15.992135723025,16.2025184689695,16.4919966272737,15.3835866010904,15.5902164776156,15.5282511491088,15.6258859042955,15.3579321890648,15.300317312186,15.0933105345294,14.7620349483024,14.4409639318239,14.1703250775406,13.0920507749863,13.1902584279334,13.7060883241638,14.5387710563668,14.5952584391268,14.4692526783722,14.4989721226437,14.7245079979071,14.5334875112124,14.970443719027,15.0119797871969,15.9322164854472,16.0412050944027,16.636785137621,16.4560265146987,14.3356934754331,14.9613602887487,16.1595325225404,18.0023686815636,19.3073467690732,21.6619706260413,23.1220268150434,23.9538881525469,26.7754063022893,28.0455153151563,29.3587072238592,27.6145370408959,26.8668610318611,26.1105208067569,25.1682563319968,24.3745699620015,23.2889973460689,21.9995790690706,20.6916094948293,19.2800905517286,18.7193021778942,17.5094176617845,17.0107630144371,16.3966601732299,15.2510139964522,15.1084685661434,14.4108598903162,14.0425128583096,13.4449540070302,13.2670899110075,12.5202092680167,11.4385268126701,12.1493675465199,12.0529455452395,12.2216312276989,12.6108939270433,12.9104216247466,13.029473885903,13.1285215559449,13.0900082239653,13.0802418608297,13.4429188615529,13.1829646745048,13.0181369205798,12.8753542695564,13.8604980294369,13.869445532739,14.6913277732063,15.5038993333632,15.4340540880282,15.5339497477173,15.2551507040647,14.9384966979323,14.6754486020286,14.7499649251997,15.014570518903],"COPP-FDS^FG_PRICE_CHANGE(0,-3AM)":-4.8290830168204,"ENZL^FG_TOTAL_RETURNC(0,-3AM)":5.973065,"REFGBBANK-FDS^PROPER_NAME(0,,,\"SECURITY\",\"NAME\")":"UK Bank Rate","TRYCH10Y-FDS^FG_YIELD_NAME":"Treasury - Switzerland Benchmark Bond 10Y","EWI^FG_FCF_YIELD_NTM(0)":5.05471584666669,"EWA^FMA_PE(LTM,0,,,\"PORTAGG\",\"MEANR\")":19.2700842052309,"USDUSD^FG_COMPANY_NAME":"U.S. Dollar per U.S. Dollar","USDNZD^FG_PRICE_CHANGE(0,-1AY)":-0.82283616,"EWC^P_PRICE_RETURNS_PR('52W',2,-10AY,0,AM)":[4.855728,3.7947297,-1.2399316,-1.0877728,-0.5689621,-7.218462,-3.016603,-3.4409642,-8.306855,-17.612808,-17.003983,-25.457466,-14.33844,-20.053577,-19.149702,-26.546795,-26.023657,-11.958903,-14.276671,-14.419794,-8.393568,-2.807051,1.5663028,9.925008,4.171872,10.837257,24.650024,35.768806,40.505028,17.835342,17.396296,10.746622,5.9164166,11.172295,8.373666,10.67692,16.660141,18.012608,10.476136,14.030849,2.7895808,7.9732656,5.3943157,12.45544,12.793577,10.509718,8.134068,1.5433908,-3.5611928,-7.0441065,-10.526854,-11.555547,0.72500706,0.92998743,3.7273645,-1.2591004,-0.5169809,2.069676,-0.7489443,4.895973,5.6201696,11.904562,18.425774,19.079935,14.70077,-8.299356,-16.062647,-10.530925,-2.8934658,-7.5025854,2.2458434,-1.0617256,4.028034,0.47869682,9.680796,9.536755,10.829902,40.841354,54.99711,53.281128,45.5127,46.55806,36.195038,36.46822,34.98585,39.073837,22.643148,21.152473,21.08196,16.960918,16.290188,-2.650553,-2.3698807,-6.10224,-3.185916,-5.0531683,-16.487753,-10.331905,-9.262556,-9.24775,-6.794584,-13.22946,-11.418444,2.7948499,-5.598557,4.0944934,0.15915632,2.3947597,10.953569,-1.6509354,5.401218,10.063446,6.067121,13.561476,12.430037,10.58414,11.558223,13.784254,11.19939,18.98986,26.792622],"USDJPY^FG_PRICE(0)":148.725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767522,16.6617704734143,22.276701045882,22.9687105537545,24.3452681588177],"EWA^FG_TOTAL_RETURNC(-10AY,0,AM)":[-12.922615,7.765317,-9.527617,2.792585,1.9999981,-1.8736422,4.573703,-2.5902271,-4.228425,-3.4972906,-0.24155378,-11.0895815,6.971669,-7.637477,2.5909662,-6.763071,-0.59241056,14.839088,-3.4810662,6.4561963,-1.8686831,2.8793454,6.7478538,-6.0361204,6.1709642,-2.3820877,3.2210827,2.965176,3.0174494,0.9153247,1.5419483,-2.2778034,-1.4168143,2.009213,3.0190468,2.8403878,-1.7536163,3.3913493,-2.201122,5.8083653,-5.4700794,5.3797364,-3.6465049,1.8699884,0.043702126,2.6240706,-2.4305642,-3.8700998,-3.7019968,1.8741012,-5.4716945,4.740429,2.8203964,2.3099065,2.1166444,0.0,2.9479623,2.7276754,-4.4888916,3.769195,-1.8834114,4.0676475,-1.2736082,3.6780477,-0.7877469,-16.453463,-12.196416,1.7438412,20.035458,-1.9152582,4.992366,-3.202331,4.3609023,5.811727,8.306849,4.948485,0.36246777,0.32103062,2.0799994,5.1332235,2.074027,-3.295076,0.99539757,-2.1986365,-1.279068,1.9238353,-2.7734935,0.31832457,-2.169466,3.0962348,7.711041,-12.170315,-0.88790655,-4.73637,7.9737425,-2.9105127,-10.961973,12.211061,3.7617564,1.2906313,4.9045086,-7.9437313,3.5955071,0.8242965,-1.9679666,-1.6547441,2.0463824,-3.2976806,0.13824701,-1.6106784,6.7352653,5.9066057,-0.12668967,4.735732,-1.9378245,0.7822037,1.1846423,3.471446,-3.3810616,4.7756314,3.4184575],"EWD^FMA_PE(LTMA,-10AY,0,AM,\"PORTAGG\",\"MEANR\")":[15.2323805172852,16.7233134729438,17.3797919077946,17.3501845842365,19.3358713404512,20.1125428278243,19.9010533588037,19.1411090214752,19.0084892999092,18.6423040518817,18.6836323004186,17.3316614985971,17.0746739120283,16.8393016892132,16.2050472199253,14.8563815503764,14.4464739713237,15.6091010779806,15.5686234328624,15.5531685821421,15.3255573180106,15.3556729210987,15.9913716974725,16.0850630095338,16.754415460986,17.1610395037911,18.0715369323263,18.0791770345623,18.4676890876899,17.5196757699805,17.5706381610115,17.7015126971353,17.6468614598417,17.6230661296214,16.953164817806,16.9373572160079,17.6819620632191,18.2248621997234,18.06014548616,18.4960878496154,16.1654813673167,16.9807111730829,16.7681942801864,16.8708034690009,16.5264792034606,16.4837405245619,16.597937316627,16.5849253047937,16.0940275532863,15.2068225607652,14.0464110236644,14.4584575356618,16.7663383199979,18.0503338996137,17.8469135607043,17.5561521936487,17.122381126201,17.0859837165597,15.9687518732497,16.1652450431526,16.2745683201974,17.0774526031342,15.8308210529004,16.3580854696463,14.146785937785,12.7022997369848,13.6224721458717,15.2015097159135,16.5240214461572,17.6676947285208,17.4142134780182,17.6344506739838,18.3095364822575,16.3553044082186,17.1515749497676,18.6284057512762,17.4075673359079,17.8400230423181,18.3501237515266,17.6095707640296,17.8859982036906,18.1301508587298,17.6001870791877,17.4599766898171,16.8632438762756,16.6774614613555,16.5781978280861,16.2866720489075,12.4533906292859,11.6614977839828,12.1996974972683,12.9676400548861,13.4548493770405,13.8570141274191,14.7916013868585,14.7549938375366,14.419985801571,14.1324393585979,15.7272486297867,16.383504793673,25.9090195943243,25.2303229068894,23.9689672954906,22.8218587185415,21.7633408983041,20.3170521587026,19.0885364799849,17.6059596496524,16.4945356656416,15.5916466989067,17.8226707577583,17.2729583179599,15.0839530821309,15.8668053311477,15.9316113548681,16.108731808758,16.068710046833,16.0550484008057,16.0308890887697,16.6748527578312,17.5212535900999],"FXI^FG_TOTAL_RETURNC(0,-12AM)":27.222204,"EWD^FG_TOTAL_RETURNC(0,-12AM)":27.183104,"EWJ^FG_ROE(0)":8.69987460221687,"REFCHMPR-FDS^FG_YIELD(NOW,,,0)":1.0,"TRYUS10Y-FDS^PCTCHG(FG_YIELD(0,,,,\"YTM\"),FG_YIELD(-3AM,,,,\"YTM\"))":-4.815847,"EWI^FMA_PE(LTM,0,,,\"PORTAGG\",\"MEANR\")":11.1517799427447,"SPY^FG_FCF_YIELD_NTM(0)":3.97071442455423,"EWJ^FMA_EVAL_EBIT(LTMA,NOW,NOW,M,\"PORTAGG\",\"MEANR\")":16.8117668391272,"TLT^FG_TOTAL_RETURNC(0,-6AM)":6.3589334,"TRYMX10Y-FDS^FG_YIELD(-10AY,0,Y,,\"YTM\")":[5.8237,6.2537,7.5651,7.6401,8.7069,6.8373,5.552,7.558,9.0223,8.95],"CAGDPY@SE^EE_ACTUAL_ANNUAL(MED,+1)":6.3,"USDITL^FG_PRICE_CHANGE(0,-1AM)":0.86972713,"USDEUR^STD(FG_PRICE_CHANGE(0,-1AY,AM))":1.21308000708563,"NI-FDS^MAX(FG_PRICE(0,-5AY))":48241.0,"BRENT-FDS^FG_PRICE(0)/MAX(FG_PRICE(0,-1AY))":0.887441860465116,"QQQ^FG_PRICE_MAVG(0,,,,30)":476.70468,"EWD^P_PRICE(0)/P_PRICE_LOW_PR(0,,,,,,\"PRICE\",\"INTRA\",\"52W\")-1":0.34430504,"SPY^FG_TOTAL_RETURNC(0,-12AM)":34.38171,"EWL^FG_TOTAL_RETURNC(0,-1AM)":-0.37102103,"EWC^FMA_PCT_ABOVE_MAVG(200,0,,,,\"PORTAGG\")":79.0697674418605,"URTH^SIZE(FG_CONSTITUENTS)":1412,"QQQ^FMA_COS_UP(\"EPS\",\"1M\",+1,0,,,\"PORTAGG\",\"MEANR\")":31.0,"TRYFR10Y-FDS^FG_YIELD(0,,,,\"YTM\")":3.035,"EWA^FMA_DIV_YLD(NTMA,NOW,NOW,M,\"PORTAGG\",\"MEANR\")":3.56202135203691,"SPY^P_PRICE(0)/P_PRICE_HIGH_PR(0,,,USD,,,\"PRICE\",\"INTRA\",\"52W\")":0.99726504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47054007,3.67789556950636,4.61613869576068,4.46089556091596,4.56673202880816],"ENZL^FG_TOTAL_RETURNC(-10AY,0,AM)":[-5.6720552,5.4330707,0.8961916,2.1203876,-1.3164401,-1.3088346,3.6304474,-2.2678256,-2.346903,-8.787685,0.7540703,-8.094996,5.801213,4.055667,3.7268758,-2.4763763,0.6878853,8.198118,6.34017,2.301097,4.5223713,5.387616,2.9683232,2.8719425,-7.283795,-5.3656282,1.9019246,0.042188168,4.200053,-3.4715712,1.9551039,2.9592752,3.8399577,3.0630946,1.7947078,1.1610389,-0.7013798,-3.6065936,2.2093892,5.995095,-2.4441183,6.1670303,1.9160867,-4.136157,4.6862125,-1.8859386,-4.128349,0.6608486,-3.388399,4.1210055,0.52632093,1.0524511,2.2362828,3.3429742,1.6573429,2.042818,-1.4629483,7.381654,-1.1080384,2.2408962,-4.3287635,0.34364462,7.515216,3.4685254,-2.0611346,-5.8855,-11.9007,8.213377,10.597837,3.7724972,2.5632143,-0.9010494,5.283916,4.611373,5.1246166,4.9918175,-5.781591,-4.742426,0.34992695,2.7421117,-3.3914685,-0.12891293,-0.8228421,3.09093,-2.445954,1.0837913,-5.6409063,-0.9737253,-4.707527,0.013327599,-0.14595985,-15.165359,-0.4413545,-0.4574418,9.872473,-4.1825113,-15.5179615,11.075401,10.349441,1.2955427,3.1212568,-7.217699,4.056883,2.7130246,-5.920047,3.5756826,-3.853178,-6.8340063,2.3771882,-3.3613443,7.185352,4.0860057,-2.5335014,-0.75187683,-2.4458885,0.46594143,1.5569806,0.886786,0.5212784,6.093347,-0.6313622],"NI-FDS^FG_PRICE_CHANGE(0,-1AY)":-6.07886089813801,"FXI^FG_TOTAL_RETURNC(0,-3AM)":25.928747,"URTH^PERCENT_CHANGE(FMA_EPS(+1,0,,,,\"PORTAGG\",\"MEAN\"),FMA_EPS(+1,-1AM,,,,\"PORTAGG\",\"MEAN\"))":-0.399781047023017,"EWA^FG_TOTAL_RETURNC(0,-12AM)":26.02725,"EWG^FG_ROE(0)":10.8278116952907,"CC_GB^IMF_IFS_RCPI_Q(0)":null,"EWI^JULIAN(FMA_DIV_YLD(NTMA,NOW,NOW,M,\"PORTAGG\",\"MEANR\").DATES)":45565,"EWJ^FMA_EVAL_EBITDA(NTMA,0,,,\"PORTAGG\",\"MEANR\")":10.2480997007273,"EWA^JULIAN(FMA_DIV_YLD(NTMA,NOW,NOW,M,\"PORTAGG\",\"MEANR\").DATES)":45565,"TLT^FG_TOTAL_RETURNC(0,-3AM)":2.5436163,"CAGDPY@NL^EE_ACTUAL_ANNUAL(MED,+1)":9.5,"USDEUR^FG_PRICE_CHANGE(0,-3AM)":-0.9063482,"EWL^FMA_PE(LTMA,-10AY,0,AM,\"PORTAGG\",\"MEANR\")":[16.6282282876558,17.4012906098669,17.3235007052512,17.2204408039944,17.1686723756655,17.9292361183327,18.2018605615944,18.0196715327428,18.0074443180353,17.9707290652863,18.1571970944613,17.3164403180175,17.4293642447104,17.5017194326887,17.2359502287562,16.2936364564364,16.2005664573677,16.6152143764842,16.6813078872549,16.83825791371,16.9699568280293,17.1371365275191,17.7935742735886,18.0029716744111,18.0236938738767,17.7204735477161,17.8654886768,18.6661285538005,18.6964860850329,19.6418627422661,19.4015320134476,19.5426019726249,19.4440607452971,19.3357310769279,19.1911858194587,19.1658699407373,19.6405692396344,20.0782577995439,20.401859905778,21.0355596416062,19.9728933721012,21.0915390608396,20.5575420568145,20.2220686755539,19.5314046073055,19.3167512224927,19.0094286970982,18.5915769611907,17.9813704300545,17.9999144029141,16.7635491891213,16.935503008506,17.4627090387171,18.2758895569975,18.3032498719632,18.096693669386,18.2275633901932,18.359684234629,18.1917427011976,18.4248559200741,18.2654742692996,18.8488744264966,19.0199812068288,19.6126700682027,20.0900775232363,17.809973086162,18.1273033007994,18.6801216841589,19.4130809673854,19.87898308013,20.1565235342168,20.8512349070214,20.9920117800959,20.9890204376373,21.1037064200534,22.137803175261,21.4066311193451,20.488227619463,20.6298686066957,20.481798874859,20.8612222934184,20.894420909583,21.0801067237514,20.8101064904038,20.2022687336845,20.9352085247045,21.0987971381865,20.8721740856081,18.7982396065152,18.3258616910058,18.7001617053983,18.1323016970936,17.7423271552821,17.7575105135131,18.3722544516236,17.9840443064741,16.8051600472668,19.5365755362395,20.350156298494,20.9808912090627,21.1586703077434,20.5237710255832,20.3746926094991,20.1940917200113,19.4821536798564,19.0052808982269,19.0359804983443,18.625915673489,18.4360210669924,17.6171861317345,18.2128083911326,18.4705943446422,18.6877126428436,19.2261238662099,18.9951638725181,18.8839493121671,18.9159056910181,18.8425014355962,18.5710067126387,18.5776319996273,18.5695714220574],"BRENT-FDS^FG_PRICE_CHANGE(0,-1AY)":-7.65756076575608,"EWU^FG_PRICE_MAVG(0,,,,200)":34.8417,"VWO^P_PRICE(0)/P_PRICE_LOW_PR(0,,,,,,\"PRICE\",\"INTRA\",\"52W\")-1":0.27646506,"EWD^FG_TOTAL_RETURNC(0,-6AM)":5.366218,"URTH^FMA_COS_DOWN(\"EPS\",\"1M\",+1,0,,,\"PORTAGG\",\"MEANR\")":565.0,"REFJPTON-FDS^(SUBARRAY(NOT_NA(NO_REPEAT_F(FG_YIELD(NOW,-10AY,D))),0,1)-SUBARRAY(NOT_NA(NO_REPEAT_F(FG_YIELD(NOW,-10AY,D))),1,1))*100":15.0,"TRYUS10Y-FDS^FG_YIELD(0,,,,\"YTM\")":4.0755,"SPY^FMA_PE(NTMA,0,,,\"PORTAGG\",\"MEANR\")":21.570619563489,"TRYQA10Y-FDS^FG_YIELD(-10AY,0,Y,,\"YTM\")":[null,null,null,null,null,null,null,null,null,null],"USDITL^FG_PRICE(0)":1772.654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97001,1.98003612030208,2.44944590598376,2.36386840125656,2.65636172824176],"ENZL^JULIAN(FG_TOTAL_RETURNC(-10AY,0,AM).DATES)":[41922,41953,41983,42013,42045,42073,42104,42132,42165,42195,42226,42257,42286,42318,42348,42377,42410,42439,42468,42500,42531,42559,42592,42622,42653,42684,42713,42745,42776,42804,42835,42865,42895,42926,42957,42986,43018,43049,43077,43110,43140,43168,43200,43230,43259,43291,43322,43353,43383,43413,43444,43475,43504,43532,43565,43595,43626,43656,43686,43718,43748,43777,43809,43840,43871,43900,43930,43959,43992,44022,44053,44084,44113,44145,44175,44204,44237,44265,44295,44326,44357,44386,44418,44449,44477,44510,44540,44571,44602,44630,44659,44691,44722,44750,44783,44813,44844,44875,44904,44936,44967,44995,45026,45056,45086,45117,45148,45177,45209,45240,45268,45301,45331,45359,45392,45422,45453,45483,45513,45545,45575],"NI-FDS^FG_PRICE_CHANGE(0,-6AM)":-7.72128060263654,"FXI^PERCENT_CHANGE(FMA_EPS(+1,0,,,,\"PORTAGG\",\"MEAN\"),FMA_EPS(+1,-3AM,,,,\"PORTAGG\",\"MEAN\"))":3.98108785600752,"EWA^P_PRICE(0)/P_PRICE_LOW_PR(0,,,,,,\"PRICE\",\"INTRA\",\"52W\")-1":0.2864126,"EWL^FMA_COS_DOWN(\"EPS\",\"1M\",+1,0,,,\"PORTAGG\",\"MEANR\")":28.0,"EWC^FG_ROE(0)":10.7746299545691,"TRYGB10Y-FDS^PCTCHG(FG_YIELD(0,,,,\"YTM\"),FG_YIELD(-3AM,,,,\"YTM\"))":2.2292225,"CC_DE^IMF_IFS_RCPI_Q(0)":null,"EWD^FMA_EVAL_EBIT(LTMA,NOW,NOW,M,\"PORTAGG\",\"MEANR\")":16.3848982998981,"EWJ^FG_FCF_YIELD_NTM(0)":4.19010525265888,"TLT^FG_TOTAL_RETURNC(0,-1AM)":-6.2651515,"VWO^FG_TOTAL_RETURNC(0,-6AM)":13.854778,"CAGDPY@FR^EE_ACTUAL_ANNUAL(MED,0)":-1.01851779779094,"USDUSD^STD(FG_PRICE_CHANGE(0,-1AY,AM))":0.0,"EWN^FMA_DIV_YLD(NTMA,-10AY,0,AM,\"PORTAGG\",\"MEANR\")":[3.17750860434438,3.09337213089655,3.05303064014128,3.13375663660281,2.90132679985404,2.69233941433434,2.58310347872124,2.74308993914674,2.90301813356943,2.92066189862663,3.01573246100988,3.45677340934576,3.46208639246176,3.18713642959754,3.31603019282455,3.33034751755042,3.61427746793388,3.37150763903849,3.37669772482865,3.38107009698861,3.2714917012433,3.35386268223975,3.15996090774538,3.15535955984215,3.0996177957562,3.18026900044491,3.04139651137152,2.95718109789035,2.915858114188,2.77039631952978,2.77118667090137,2.69064199766024,2.70111645765119,2.80965258103376,2.78796218209206,2.87125936927571,2.77266747017675,2.80115736908361,2.82185326854052,2.7916311140405,2.99428155186221,2.90740052526616,2.93984529197824,2.90221969567313,2.87028654803631,2.93194499626634,2.90400840329892,3.02938326996796,3.16112823293073,3.1656999123636,3.4110619147704,3.39810648815077,3.22128660039107,3.15724848194982,3.01332501797127,3.05710668139763,3.09011087386555,2.99043056489699,3.03754782768631,2.88655083830224,2.79729013007261,2.65550877340647,2.64349567728135,2.57652895081943,2.52785888725597,3.16175788108818,2.8833964806587,2.64932175362849,2.40758757670786,2.32345436308004,2.38053951739588,2.32938336202576,2.27544631956116,2.21172330571213,2.06267522394209,1.92727039383469,1.92511845706284,2.02969939822245,1.90472064936588,1.96103095109799,1.99471632744488,2.02574283996592,1.89752047246591,1.85198660892642,1.9842497175398,1.8582559584268,1.9770197803366,2.02692271781322,2.18074420490119,2.45972648534006,2.29944399687645,2.66211742094126,2.64469720276448,3.35687439105119,3.08611033660124,3.67773049128445,3.07850427929858,2.74486090298105,2.64607514561409,2.61557931298847,2.58519450278685,2.72543759070081,2.67776125237901,2.69551150586662,2.6816749498208,2.7402987825312,2.72533044578919,2.95769710003352,2.98591651939419,2.91257420792312,2.72909087771923,2.72971061599483,2.47229034478904,2.56827217125521,2.51734957692911,2.46556235600193,2.41943689596561,2.44159962802335,2.67270415758778,2.75135226992118,2.60901443508295],"EWG^FMA_PE(LTMA,-10AY,0,AM,\"PORTAGG\",\"MEANR\")":[13.2688778334265,13.7736439463303,14.3185857588188,14.0789368329184,15.5307254768009,16.4628273565906,16.646122667963,16.2211010336008,15.7431464532222,15.5554574828692,15.5544534236072,14.2789617138508,13.9774515135673,14.4369272692036,14.0307707655437,12.8407409301555,11.9640017683158,12.6363150314532,12.6768696427742,12.8442611240172,12.7200029920131,12.6206342876968,13.3834389510508,13.5332344123155,13.7114014743591,13.6520576827131,14.3636267024595,14.8889003771866,14.9245788584118,14.9697675917959,14.9185666000797,14.9404741215434,14.8163297120057,14.5424832449412,14.148096896456,14.2073531703741,14.7253611853854,15.2540062124712,15.4888879527074,15.6091637023245,14.0776883634533,14.229153280713,14.139155638959,14.2354617258418,14.1196296975432,14.0667581632572,13.9825843129578,13.7498031183616,13.4143917234303,13.1517536795005,12.2488921903192,12.47694484853,12.6318446564247,13.1967730997372,13.249700055405,13.2771545266368,13.1821021361834,13.5173127466227,13.3144695032251,13.9455702542618,13.9016769578068,15.1694182595225,15.141784690349,15.7657294560425,15.5501724610897,13.7366134476458,14.2755371447749,15.2582534608364,17.2279519768765,18.4257868448707,19.1655117792265,20.4567843304227,20.6697172440498,20.3869870155489,20.9595620659785,22.3778802773774,21.2378971225286,20.2515462624353,19.9978889789909,19.1875270447972,18.7119468645825,18.1967916758844,17.3526349030299,16.620089408538,15.8636020501288,15.4334790938274,14.382121099526,13.9714910154924,13.5099659807709,12.3413183254683,12.3990685325358,11.9683411922673,11.8684936581831,11.4581765417236,11.3030930641877,10.8861633435855,10.0654127640999,10.9427132468282,10.8304330094286,11.1409201267487,11.5528098847402,11.3525927837404,11.3720208059723,11.3543554253988,11.232146150223,11.1153029141009,11.2895271259519,11.1951347308791,11.0782689072825,10.9770353651854,11.9231253787269,11.8885656600897,12.0273123054048,12.529621998841,12.5546326740262,12.6228355646793,12.5369221158547,12.5270491213926,12.3077672313687,12.7639111167391,13.5627497044331],"BRENT-FDS^FG_PRICE_CHANGE(0,-6AM)":0.0,"EWU^FG_PRICE_MAVG(0,,,,60)":36.52133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5667646,7.43859925247352,9.22076555096594,9.2254454729258,9.29976861764374],"TRYTR7Y-FDS^FG_YIELD(-10AY,0,Y,,\"YTM\")":[7.979133,10.679033,11.110786,11.586128,15.896213,12.034795,12.534946,23.870693,7.323803,21.984322],"WL-FDS^FG_PRICE(0)/MAX(FG_PRICE(0,-1AY))":0.742336913806655,"CPALM-FDS^FG_PRICE_CHANGE(0,-3AM)":8.80440220110055,"EWG^FG_PRICE(0)":32.97,"EWA^FMA_COS_UP(\"EPS\",\"1M\",+1,0,,,\"PORTAGG\",\"MEANR\")":20.0,"REFNZOCR-FDS^(SUBARRAY(NOT_NA(NO_REPEAT_F(FG_YIELD(NOW,-10AY,D))),0,1)-SUBARRAY(NOT_NA(NO_REPEAT_F(FG_YIELD(NOW,-10AY,D))),1,1))*100":-50.0,"TRYNZ10Y-FDS^PCTCHG(FG_YIELD(0,,,,\"YTM\"),FG_YIELD(-1AM,,,,\"YTM\"))":3.5143187,"VGK^FMA_EVAL_EBITDA(NTMA,0,,,\"PORTAGG\",\"MEANR\")":9.05765139470749,"EWJ^P_PRICE(0)/P_PRICE_HIGH_PR(0,,,USD,,,\"PRICE\",\"INTRA\",\"52W\")":0.9680503,"UUP^FG_TOTAL_RETURNC(0,-6AM)":0.76949596,"CAGDPY@CA^EE_ACTUAL_ANNUAL(MED,+1)":-1.0,"USDCHF^STD(FG_PRICE_CHANGE(0,-3AY,M))":2.45675419118825,"USDAUD^FG_PRICE_CHANGE(0,-1AM)":-1.0934174,"EWI^FG_TOTAL_RETURNC(-10AY,0,AM)":[-11.33005,-0.4166603,-0.9762943,-8.807219,8.63142,1.5748024,6.3424945,3.5785317,0.83173513,-1.2084305,3.7908435,-6.171286,2.2147655,-5.1214695,-3.1833887,-7.512653,-14.031005,8.746624,-2.487564,3.401363,-4.194081,-6.8619013,5.971563,2.0572424,-2.9798448,0.1355052,5.9539914,5.0472736,-3.1901896,4.267001,1.9043684,9.940362,2.0976543,2.0725489,5.0530076,3.0945182,1.3376832,-0.9014785,1.8518567,2.9251814,-1.2153327,2.7129412,2.3341417,0.2701044,-11.433702,3.1496048,-6.5005064,0.79250336,-6.325948,-2.8996527,-2.946955,5.501163,-0.54410696,4.7284007,4.925382,-2.7382672,-0.25594234,7.8421474,-8.793527,6.67181,-1.1207521,7.861054,-2.3389876,3.66714,0.7417321,-21.82061,-7.962328,-3.3023238,19.480515,1.1682391,2.8950572,-0.42985678,-0.9419143,6.7353487,8.537483,4.7569156,0.6583333,2.1909714,1.4080048,3.1555653,4.0988564,-4.1939316,2.9493928,-2.5934875,0.0,4.4891715,-3.4666598,2.9493093,-0.423342,-17.309444,7.0510507,-8.850771,-2.0122647,-6.1757684,5.527425,-4.7581015,-8.648193,22.977936,2.242148,7.328284,4.6664357,-2.1136105,4.352236,2.1661878,-1.9556761,4.3981433,1.9005299,-3.2639027,-2.3457646,2.5008202,7.126808,2.778864,0.20667315,8.043612,0.0,4.145074,0.1832962,-0.04118681,-4.715967,6.074238,0.82184076],"EWU^FMA_PE(NTMA,-10AY,0,AM,\"PORTAGG\",\"MEANR\")":[12.5069967406504,13.3682344024729,13.5265707874392,13.6574947514962,15.3690601617816,15.1393209975142,16.0803042769955,16.2399889226508,15.7210204279185,15.2118083680274,15.5322420518789,14.4025204648939,15.3093024904814,15.1305052727044,14.7860678665746,14.478192346495,14.7119954605602,15.685658567719,16.0768219390082,15.7799322127151,15.456618916032,15.8228981691241,16.2776280479523,15.7862466416168,15.6705292023807,14.5623518042711,14.4597164461922,14.4474256147103,14.5121104342617,14.3415333034341,14.4291196560243,14.6170322513567,14.7216397543999,14.4585460696683,14.6019277354142,14.5765965968323,14.6916617327664,14.3707702445482,14.248657304744,14.7831147352284,13.3277442334801,13.5669654160062,13.6285716562774,13.9432307864985,13.5361006103721,13.3537578674707,13.0323955034441,12.3787043064998,12.1807669923902,11.9317973522365,11.2012308328073,11.8911622682551,12.2460325682825,12.2764524275068,12.7722280718299,12.2672687034365,12.4824945027772,12.6253394094744,11.9980783945234,12.2337518635949,12.1319707275001,12.7834153666917,12.8551510883482,13.4535379660483,13.328649125926,10.9425650971771,13.2236845097982,15.1768329097885,16.6396832914669,15.6095062152737,15.4936604818005,15.06665929625,14.5756987535701,14.6897471213869,15.0428599376001,14.9625544765662,13.9497860023055,14.0687064162883,13.537777806701,13.531039130924,13.1455983827677,12.6535282981421,12.3308975946805,11.9751124005448,12.0657503984046,12.173651326979,11.9361464382373,12.3270580458184,12.4356130015112,11.2040346836649,11.3087864202269,10.0359817564934,9.98760131497984,9.52811548800769,9.92052047632204,9.31061818701549,8.62906101253465,9.43595809484935,9.94070450189598,10.1764661231911,10.5505285596105,10.3250423823631,10.5313128713114,10.5722062792296,10.296002146607,10.0559596361743,10.6240948144414,10.3378585775952,10.4725629140785,10.0694553593659,10.5578903094804,11.0197159235901,11.0042132630958,11.2962107557855,11.5005249173868,11.9264296934798,11.5530658362075,11.483708085937,11.3503517855252,11.4680706068349,11.7662455304602],"TIOS-FDS^FG_PRICE_CHANGE(0,-1AM)":15.9180543382997,"EWD^FG_PRICE(0)":41.25,"VGK^FMA_PCT_ABOVE_MAVG(200,0,,,,\"PORTAGG\")":63.370253164557,"EWU^FG_TOTAL_RETURNC(0,-6AM)":9.405589,"ENZL^PERCENT_CHANGE(FMA_EPS(+1,0,,,,\"PORTAGG\",\"MEAN\"),FMA_EPS(+1,-1AM,,,,\"PORTAGG\",\"MEAN\"))":-2.39118700679648,"EWQ^SIZE(FG_CONSTITUENTS)":61,"EWC^FMA_RBICS_REV_CURRENT(30, LOC, \"PORTAGG\")":42.35939599541,"TRYAU10Y-FDS^FG_YIELD_NAME":"Australia Benchmark Bond - 10 Year","EWU^FMA_PE(NTMA,0,,,\"PORTAGG\",\"MEANR\")":11.7662455304602,"EWC^FMA_DIV_YLD(NTMA,NOW,NOW,M,\"PORTAGG\",\"MEANR\")":3.05959736796896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57277563434,11.1869789498459,14.1059285156531,14.0067090394672,13.1479323697033],"WL-FDS^FG_PRICE_CHANGE(0,-1AY)":-21.2588578574406,"CPALM-FDS^FG_PRICE_CHANGE(0,-1AM)":9.26902788244159,"TIOS-FDS^FG_PRICE_MAVG(0,,,,30)":97.17067,"EWC^FG_PRICE_MAVG(0,,,,60)":39.703835,"EWQ^FG_TOTAL_RETURNC(0,-6AM)":-0.57070255,"EWU^FG_TOTAL_RETURNC(0,-3AM)":2.955258,"REFNZOCR-FDS^FG_YIELD(NOW,,,0)":4.75,"TRYNZ10Y-FDS^FG_YIELD(0,,,,\"YTM\")":4.3564,"VGK^FG_FCF_YIELD_NTM(0)":5.28323894400439,"EWQ^FG_FCF_YIELD_NTM(0)":5.79507333912418,"UUP^FG_TOTAL_RETURNC(0,-3AM)":-0.4492104,"CAGDPY@AU^EE_ACTUAL_ANNUAL(MED,0)":0.252467670960909,"USDCHF^STD(FG_PRICE_CHANGE(0,-1AY,AM))":2.33315713376982,"USDAUD^FG_COMPANY_NAME":"Australian Dollar per U.S. Dollar","EWD^FG_TOTAL_RETURNC(-10AY,0,AM)":[-8.830553,7.2316766,0.33566952,-5.8526278,7.7448726,-0.84566474,2.314949,2.4709702,0.08716583,-2.8519332,-0.46396852,-4.692358,1.4020205,-4.4051466,-2.522707,-6.3697042,-2.9878318,8.326996,3.6855102,-0.47394037,-3.0952394,-2.3171425,7.2469115,0.4179716,1.6302466,-4.914671,3.3022285,-0.121968985,6.158662,0.8521795,0.81248283,8.123791,2.265942,2.3009896,-1.1367023,2.9481173,4.1523457,-3.959304,-2.8056085,4.7792315,-5.16752,3.1736493,-3.1050503,3.174603,-4.1509447,-0.6968677,-0.60644746,1.1560678,-3.2698452,-2.5927126,-5.525607,5.0555825,-0.10190606,0.0,8.568514,-3.883493,-0.35842657,3.2015562,-7.1615458,4.0507317,-1.8618882,11.107278,-0.40359497,2.8632164,3.0070543,-14.26869,-7.539958,4.284096,15.17117,1.8837929,8.009863,0.7986307,3.282404,4.164386,4.2609096,6.5686345,0.739336,4.9479127,6.226027,1.8262863,3.0329466,-2.091962,1.9462585,-1.1620641,-5.6686997,6.721568,-3.4202278,-0.37494302,-6.215066,-13.921332,8.69565,-15.133757,3.018105,-6.776607,9.456408,-9.491623,-12.305194,22.325062,2.6331663,2.6774526,0.924325,-4.092729,4.2972326,3.6623716,-2.5945306,-2.0544112,0.3616333,-5.707693,3.2406092,-2.4578094,13.721919,3.2900572,-0.31779408,7.9702497,-2.1161437,2.6897907,2.2031903,-1.7959893,-3.469634,3.1322122,2.6885748],"EWJ^FMA_PE(NTMA,-10AY,0,AM,\"PORTAGG\",\"MEANR\")":[13.1596564540028,14.2348501942781,14.3515045209307,13.9224536986246,14.1759531701167,15.0907442056912,15.6172877626872,15.6655521225723,15.7111346986389,14.9094105664143,15.7302822678771,13.6711587563328,14.0086136298185,14.6770749080851,14.1073430395091,13.0983679938856,11.6158548247573,12.8786262943877,12.2559847001336,12.9012524133861,13.3577855484663,12.3165579992413,13.3602050472577,13.6231945826808,13.5033881848967,13.6532610901625,14.9883334209233,14.7820907026508,14.4869528859572,14.403819184986,13.6272017892668,14.3133403420407,14.354416422436,14.2478179376808,14.0537503239473,13.4253563579144,14.0863461659261,14.8770236369231,14.6920993836785,15.4347957727105,13.7244013862978,12.8410379803821,12.8749093218365,13.204714784503,13.1813628221858,12.6940026336606,12.6502865565222,12.3222871711925,12.8739052819073,12.1830320458456,11.7242302959575,11.3728932215834,11.7839178368175,12.2742177536373,12.6209077557948,12.2375211438426,12.60878723247,12.8918913879648,12.3916945396858,13.005077038184,13.1436641591845,14.1530596557073,14.519836871723,14.6490002560617,14.470356953469,12.1975827091651,12.8765983326473,14.1449653118645,17.6494059989912,17.4938275640481,17.5389163926897,18.248791972295,18.2031708163965,18.2222250597988,18.4423464930611,18.7375307412026,18.94610995967,17.6926798300769,17.4869290977317,17.0465354769301,16.5219742734506,15.8682683562565,15.683768596583,16.123061930533,14.9001993999562,15.1456646567666,14.5322838142895,14.5282574032674,13.9360191654003,12.5678715681522,12.8972630022551,12.5257431740914,12.9388348699746,12.4498842631036,12.7066666920002,12.8495887410578,12.3257235383455,12.5806909278066,12.7492761601255,12.2009900492721,13.0462940553299,13.2766270515348,12.9856037968699,13.6469971423368,14.5563966304962,14.4979469564559,14.5508512128072,14.6696799136915,14.2647832911644,14.2218300733146,13.8724791178044,14.4292071881691,15.0151267428909,15.7410850725616,15.6331983994444,15.3196723341446,15.6251234781144,16.1976720999962,13.4280572021481,13.7924225587945,14.6427122957341],"EWN^FG_PRICE(0)":49.81,"EWI^FG_TOTAL_RETURNC(0,-12AM)":29.85685,"EWG^PERCENT_CHANGE(FMA_EPS(+1,0,,,,\"PORTAGG\",\"MEAN\"),FMA_EPS(+1,-3AM,,,,\"PORTAGG\",\"MEAN\"))":-5.43731706655441,"ENZL^FMA_PCT_ABOVE_MAVG(200,0,,,,\"PORTAGG\")":46.1538461538462,"EWQ^FMA_COS_DOWN(\"EPS\",\"1M\",+1,0,,,\"PORTAGG\",\"MEANR\")":33.0,"ENZL^FMA_COS_DOWN(\"EPS\",\"1M\",+1,0,,,\"PORTAGG\",\"MEANR\")":9.0,"REFFFUND-FDS^FG_YIELD(NOW,,,0)":5.0,"EWL^FMA_EVAL_EBIT(LTMA,NOW,NOW,M,\"PORTAGG\",\"MEANR\")":16.9517241256236,"EWC^FMA_PE(NTMA,0,,,\"PORTAGG\",\"MEANR\")":15.1541694550378,"TRYTW10Y-FDS^FG_YIELD(-10AY,0,Y,,\"YTM\")":[1.6015,1.015,1.2037,0.9478,0.8648,0.672,0.315,0.7413,1.2812,1.211],"USDJPY^STD(FG_PRICE_CHANGE(0,-3AY,M))":3.37764504980135,"SPY^FG_TOTAL_RETURNC(-10AY,0,AM)":[-4.317677,7.0536375,-0.40194988,1.0889769,1.2533665,-0.8848727,2.9218316,0.75223446,-0.316602,-1.1643529,1.4893055,-6.990552,3.3416033,3.5911202,-1.2897968,-6.2099876,-3.466493,7.702267,3.011644,1.9319296,0.77717304,1.7567635,2.3465872,-2.0033062,1.864326,0.35158396,4.420984,0.5683303,2.2299647,2.6694298,-0.55713654,1.9248724,1.4757991,0.05824566,0.573504,1.1568785,3.7721992,1.3628125,2.8749704,3.7662983,-4.603821,6.642449,-4.539543,2.59099,2.268219,0.70581436,1.5274286,1.7445922,-2.9640436,-0.19402504,-4.928714,-1.3807595,4.4769764,1.475203,5.4994345,-0.065904856,0.30198097,3.8391829,-2.3408413,2.2323608,-1.1839747,5.3539753,1.4857292,4.3933153,2.753985,-13.82215,-2.9508948,5.1186204,9.082198,-0.0012993813,5.661392,-0.5006373,4.3022633,2.0729423,3.5843372,4.406965,2.3133755,-0.12817979,5.9705377,1.567483,1.3566494,3.1524777,1.6440153,0.6234765,-1.3836563,5.8831573,1.5357375,-0.75912476,-3.4779072,-5.3057966,5.515027,-10.831827,-2.3277998,0.13986826,8.058238,-3.188169,-11.089367,9.630024,-0.35724044,-0.22494197,4.470277,-5.423486,6.5512657,0.7910013,4.129827,2.6515841,1.4215589,-0.087463856,-2.116263,1.3968706,4.446113,3.9755344,5.170393,2.0989656,0.7833123,1.3070941,2.8453946,5.1288724,-5.047035,2.9644012,5.3043485],"WL-FDS^FG_PRICE_CHANGE(0,-6AM)":-10.403162055336,"CPALM-FDS^FG_PRICE_MAVG(0,,,,30)":4101.1,"TIOS-FDS^FG_PRICE(0)":105.81,"EWQ^FG_TOTAL_RETURNC(0,-3AM)":1.397872,"EWC^FG_TOTAL_RETURNC(0,-12AM)":26.792622,"ENZL^FMA_COS_UP(\"EPS\",\"1M\",+1,0,,,\"PORTAGG\",\"MEANR\")":6.0,"ENZL^FMA_RBICS_REV_CURRENT(30, LOC, \"PORTAGG\")":25.6286998493894,"REFNZOCR-FDS^PROPER_NAME(0,,,\"SECURITY\",\"NAME\")":"New Zealand Official Cash Rate","CC_IT^IMF_IFS_RCPI_Q(0)":null,"VGK^FG_PE_NTM(0,,,90,0)":13.3519132854373,"EWQ^FMA_DIV_YLD(NTMA,NOW,NOW,M,\"PORTAGG\",\"MEANR\")":3.3334973095883,"UUP^FG_TOTAL_RETURNC(0,-1AM)":1.7661572,"EWA^JULIAN(FMA_EPS(NTMA,-20AY,0,CY,,\"PORTAGG\",\"MEANR\").DATES)":[38352,38716,39080,39447,39813,40178,40543,40907,41274,41639,42004,42369,42734,43098,43465,43830,44196,44561,44925,45289],"QQQ^FMA_PE(NTMA,-10AY,0,AM,\"PORTAGG\",\"MEANR\")":[16.5901439608725,17.7542634818969,17.7157118459008,17.3055562398709,17.4618490885612,17.5616234018456,17.9983431695291,17.9212162539688,17.8939772916578,17.511051871763,18.5317018966568,17.3173277196674,17.5754550150943,18.6062006333666,18.5253809263405,17.1676831615518,16.036064303295,17.1494882371007,17.8141347752068,17.6951421334751,17.7249180260534,18.0707212014765,18.7743464120286,18.0902057284532,18.667457270171,17.9481401275038,18.283669809778,18.625242175816,19.7525406103705,20.1288580166441,20.0312069924662,20.7036815632882,20.6409360776652,20.1562729470282,20.2349447714514,20.3825895832153,20.5715336803528,20.8736426741464,20.7410190621417,21.4900796357237,19.6565314103086,21.4751158155038,19.8141075187075,20.2538161366082,20.533937046742,20.7299839734026,20.58621890021,20.469385006738,19.2509187775619,19.046710566254,18.0603638148176,18.1895434987969,19.1144461451171,19.4137676772964,20.9203269834761,20.7155399203374,20.3100710610695,21.354296505445,20.4747554945385,20.7085666850997,20.3407458145719,21.5592615953269,21.7903131284707,23.2526541301789,24.1190824985422,21.1630242391824,22.2789830535801,26.4652694783612,28.6885403006824,30.0704990253564,29.1158354530695,28.8384015044785,29.8249898283859,28.5007802372487,29.7320869680613,30.4213250733489,29.979607517192,27.3462694567649,29.4433189404585,26.5919889068204,27.3373692792006,28.7357353794872,27.8780198151389,28.255653540649,27.2112019988192,29.0169090333466,29.1991785879014,27.803756632249,25.8754439120398,23.5540193912305,24.6582484833749,21.4400118889892,20.3747036709115,21.0093636070233,23.8638720348001,22.3201814697857,19.4732403811371,21.6202133886292,21.4621614337919,21.3687634427487,23.7901628041199,22.621173889249,24.7309578560297,24.647090059938,26.0804306599118,26.4252102467692,24.6262468442585,24.227072319739,23.7248790045432,23.9881125280385,24.3238824355007,24.9423846835608,26.3882214354545,26.06590558511,25.7336665498792,25.6603157991357,26.3280817844768,28.1265258742724,25.201484433206,25.0808556463801,26.6065593247422],"QQQ^P_PRICE(0)/P_PRICE_LOW_PR(0,,,,,,\"PRICE\",\"INTRA\",\"52W\")-1":0.4388491,"EWG^P_PRICE(0)/P_PRICE_HIGH_PR(0,,,,,,\"PRICE\",\"INTRA\",\"52W\")":0.9662955,"URTH^FMA_COS_UP(\"EPS\",\"1M\",+1,0,,,\"PORTAGG\",\"MEANR\")":461.0,"EWC^FMA_COS_UP(\"EPS\",\"1M\",+1,0,,,\"PORTAGG\",\"MEANR\")":17.0,"REFSEREPO-FDS^PROPER_NAME(0,,,\"SECURITY\",\"NAME\")":"Sweden Repo Rate","TRYFR10Y-FDS^PCTCHG(FG_YIELD(0,,,,\"YTM\"),FG_YIELD(-3AM,,,,\"YTM\"))":-4.5297203,"VGK^FG_PE(0)":15.5204531278484,"TIPSCL10Y-FDS^FG_YIELD(-10AY,0,Y,,\"YTM\")":[null,null,null,null,null,null,null,null,null,null],"USDSEK^STD(FG_PRICE_CHANGE(0,-3AY,M))":3.09688558121638,"EWG^FMA_PE(NTMA,-10AY,0,AM,\"PORTAGG\",\"MEANR\")":[11.6096709554332,12.3322228696792,12.8673341128946,12.6855910791261,14.0119793969656,14.9152380634161,15.90603691566,14.6688245783557,13.8215909352669,13.7483321944471,14.0351103746554,12.3840701168731,12.4114362948476,13.3922846500725,13.2191283003824,12.2409557785978,11.4376041952361,12.1193977217236,12.2846244642165,12.614360605848,12.1514418532897,11.9039448117217,13.0817964837037,12.9826707681633,12.9825574645606,12.776257625875,13.3932021891696,13.7269771511453,13.6297623685621,13.8574938465021,13.9147520356091,14.1207003881358,13.8798517892156,13.4189719808436,12.9212402320784,13.1499492739105,13.7727249913494,13.9711759856291,14.0260587045394,14.085503635684,12.8299170612557,13.0889529675841,13.0286778422922,13.4574494409853,13.2196760785122,13.0568403837525,12.8581373553285,12.4493361990123,12.0630522753752,11.8044807401602,11.017072992491,11.3461000411944,11.5165417422748,12.092177694284,12.5255092790734,12.5783091446634,12.3245450903022,12.8429912687792,12.3727481152197,13.0068305893212,12.7660276084239,13.9046102450747,13.9097997195863,14.3552463434219,14.2846625665125,11.2975790141452,13.5012910233363,15.4067254308842,18.1082310982423,18.3088966874919,17.7846211514635,17.8125197431535,16.9529287792555,16.0988856790401,15.9091754496083,16.325465735516,15.7293981969273,15.9451270949455,16.2404691146104,15.0228168277239,14.906025225215,14.7022818048261,14.3035767612305,14.027002608384,13.4697489292329,13.7975803239446,13.2990535872434,13.2489271858406,12.8811534980349,10.9197567392477,11.4808807463767,10.4462636436047,10.4900520455481,9.9710957874304,10.2816269863541,9.81141012351717,9.09004240353661,10.6158473128396,10.7051481635387,11.1723573388769,11.6378150501039,11.4717203195541,11.3051289608862,11.1204686685577,10.7653955714364,10.4800260548622,10.7618871847397,10.5586058455335,10.3307907506891,10.2565263951604,11.2520710888988,11.1056645261025,11.5231804189401,12.1052798238637,12.1244358058902,12.2298676344571,11.9094761336316,11.8197673018375,11.3643988686421,11.9026416758248,12.7094869372742],"ENZL^FG_PRICE_MAVG(0,,,,60)":48.112865,"EWI^P_PRICE(0)/P_PRICE_HIGH_PR(0,,,,,,\"PRICE\",\"INTRA\",\"52W\")":0.9596265,"EWL^FG_ROE(0)":18.7237416047353,"TRYJP10Y-FDS^FG_YIELD(0,,,,\"YTM\")":0.9448,"QQQ^FMA_DIV_YLD(NTMA,NOW,NOW,M,\"PORTAGG\",\"MEANR\")":0.817342229199014,"EWC^FMA_PE(LTM,0,,,\"PORTAGG\",\"MEANR\")":18.9730944971374,"VWO^FG_TOTAL_RETURNC(0,-3AM)":6.4887404,"EWD^P_PRICE_RETURNS_PR('52W',2,-10AY,0,AM)":[-6.553382,0.68012476,1.4394879,-8.944845,-1.9768178,-7.257408,-2.75082,-2.3932338,-3.6008537,-1.910758,0.4997015,-4.587573,4.783976,-5.3951025,-8.090221,-8.713836,-17.700077,-10.08659,-9.555304,-11.500782,-14.314735,-8.942324,-7.168621,-1.2248933,-1.9709349,-2.4934292,2.0305753,10.228443,20.621014,12.297869,9.186184,18.61844,20.242893,31.09907,20.850908,21.659327,26.97053,28.246271,21.465492,26.584768,13.227749,16.135132,11.18685,6.09746,-0.2399087,-3.473872,-2.956158,-4.645419,-11.440664,-10.334551,-12.694132,-12.463856,-7.2045383,-9.733838,0.14320612,-6.7075253,-3.016156,0.7912159,-8.0124855,-3.1620622,-1.7525375,11.129546,18.141354,15.675902,19.275892,2.2567868,-12.200266,-5.6687713,9.2108135,7.8163147,25.435375,21.514904,29.537846,19.893288,25.50838,27.832962,27.166916,55.671276,78.84852,74.63334,56.228233,51.862846,41.70352,38.947166,27.569199,30.020596,20.441675,12.594199,4.8214197,-14.025092,-11.348539,-26.679062,-26.68963,-29.345364,-25.055134,-31.514894,-36.19936,-26.871227,-22.220505,-19.90667,-13.809562,-3.968203,-7.85417,12.55424,3.5046816,11.812819,2.522254,10.318589,25.742554,0.267303,11.825943,11.76331,8.219683,19.631077,16.630436,15.536189,21.226942,21.546782,17.075527,27.866804,27.183104],"PLATI-FDS^MAX(FG_PRICE(0,-5AY))":1272.59,"ENZL^FG_PRICE_MAVG(0,,,,30)":49.2245,"QQQ^P_PRICE(0)/P_PRICE_HIGH_PR(0,,,,,,\"PRICE\",\"INTRA\",\"52W\")":0.9782928,"EWG^FG_TOTAL_RETURNC(0,-6AM)":9.083748,"VWO^FMA_COS_DOWN(\"EPS\",\"1M\",+1,0,,,\"PORTAGG\",\"MEANR\")":1673.0,"EWA^SIZE(FG_CONSTITUENTS)":58,"TRYFR10Y-FDS^PCTCHG(FG_YIELD(0,,,,\"YTM\"),FG_YIELD(-1AM,,,,\"YTM\"))":5.2357845,"TRYPL10Y-FDS^FG_YIELD(-10AY,0,Y,,\"YTM\")":[2.5048,2.9303,3.6245,3.292,2.8144,2.1086,1.235,3.6216,6.8411,5.1912],"USDSEK^STD(FG_PRICE_CHANGE(0,-1AY,AM))":2.50056184817487,"USDJPY^STD(FG_PRICE_CHANGE(0,-1AY,AM))":3.81529190459367,"EWC^FMA_PE(NTMA,-10AY,0,AM,\"PORTAGG\",\"MEANR\")":[13.7566973440183,14.4961538297778,14.163553278652,15.3149830697429,17.1668296670561,16.7952980664127,17.3889493103798,17.1771213709161,16.3827491163269,15.6507552079045,15.6626179360086,14.7188560537906,15.2171116414363,14.6794671900369,14.1293784432487,13.5282801551715,13.8693354854468,15.5426313059011,15.8352969578041,16.3319031122379,16.5638660182303,16.4029094886006,16.5680291866617,16.10554107775,15.9399348352821,15.8670374170439,15.9969482324079,15.858563549602,16.2379249672495,15.9114596927576,15.9971221015344,15.7027537348644,15.5265470273275,15.2055743308275,15.4971021786761,15.1299249058398,15.8466197926337,15.9309487680888,15.9796193354354,15.8240900131907,14.2710920811937,14.4567043259723,14.0264182832337,14.3031467433876,14.3269042801475,14.3670195530267,14.0206898622599,13.5688684543185,13.0040120982706,12.6934806330384,12.4344308084367,12.8895885173287,13.7901929408963,14.0913009231824,14.2561660236706,13.600233920858,13.5133292787628,13.7470011066811,13.5866796270719,13.8140448100549,13.7808432945878,14.3355643494388,14.3092439021199,14.4889496441341,14.8852713026777,12.8963119213779,14.739156522208,17.5154752031938,18.3914770846797,17.6472966748418,17.7624349433124,16.748064497538,16.5473284371172,16.0641053060908,16.3205097610856,16.3437249867352,16.3449151169686,15.5920370517961,15.6409555612935,15.5574822964608,15.5579459665104,15.5617168209765,15.1139027426649,14.8977069740418,14.6150248342319,15.0012347867152,14.2429091366219,14.2930664774868,14.407609947282,13.6329563434892,13.495896714076,11.9674306529634,12.0821571333851,11.279735166765,11.7123333279419,11.6474776765777,10.8650297917191,11.9041280729635,12.18361533525,12.3352943063707,12.9065813934905,12.496565070677,12.8255412911427,13.0190594790966,12.8811052985638,12.797823432768,13.2642290132814,13.0281649025912,12.5605926312051,12.5111284538912,13.1980148696957,13.685874922948,13.9234353852866,14.4847162392186,14.6071454725791,14.4697108219788,14.1141082299651,14.1450539545351,13.9518396610339,14.3662828622184,15.1541694550378],"EWI^FG_TOTAL_RETURNC(0,-6AM)":6.277144,"EWA^FG_ROE(0)":13.1041761514924,"TRYJP10Y-FDS^FG_YIELD_NAME":"Japan Benchmark Bond - 10 Year","EWI^FMA_DIV_YLD(NTMA,NOW,NOW,M,\"PORTAGG\",\"MEANR\")":5.3259539231314,"QQQ^FMA_PE(NTMA,0,,,\"PORTAGG\",\"MEANR\")":26.6065593247422,"EWC^JULIAN(FMA_DIV_YLD(NTMA,NOW,NOW,M,\"PORTAGG\",\"MEANR\").DATES)":45565,"VWO^FG_TOTAL_RETURNC(0,-1AM)":9.729695,"EWN^P_PRICE_RETURNS_PR('52W',2,-10AY,0,AM)":[-2.4849296,-1.330167,0.53493977,-8.207637,-1.375562,-1.1589408,3.0173182,5.2827597,3.6243558,7.196021,15.481461,-0.12072921,7.2202563,5.049777,-0.5097449,-2.1757126,-7.919222,-2.7115166,-4.965651,-5.4931936,-7.898712,-5.3663254,-6.9832745,3.6751628,3.8633943,-0.9019315,1.5625954,11.702108,17.984486,15.488922,13.134098,20.323765,21.517765,31.156015,27.279043,26.156734,30.40707,33.53286,35.27832,35.132336,26.326252,26.626896,24.076271,13.521803,10.677874,9.496557,3.142178,-0.47155023,-8.060646,-5.803454,-12.176681,-13.907999,-6.189698,-8.77577,-3.9905488,-1.9816041,-1.9168258,1.503396,-1.450938,7.050717,12.350023,17.135239,25.086546,27.43156,22.866678,3.8404346,-7.4298024,-3.877008,8.577192,11.679733,16.600777,12.255526,20.052124,16.053247,23.546553,28.189968,31.56984,53.93039,75.71104,68.12257,54.8277,44.11527,47.170403,53.066372,38.260616,40.49567,23.57031,13.613737,5.747509,-11.261392,-13.505405,-24.06993,-25.249928,-25.740265,-23.775303,-32.93848,-36.667614,-28.79235,-19.519901,-14.04956,-8.766669,3.4733295,4.500413,18.269836,13.539516,25.753033,16.230345,19.212364,27.293003,11.475682,12.038064,8.308804,14.585436,22.209942,19.854128,23.071516,24.960995,24.411892,12.735594,22.57247,32.011856],"PLATI-FDS^FG_PRICE_CHANGE(0,-6AM)":-1.43737166324436,"QQQ^FG_TOTAL_RETURNC(0,-6AM)":12.706804,"VWO^FMA_COS_UP(\"EPS\",\"1M\",+1,0,,,\"PORTAGG\",\"MEANR\")":1023.0,"EWA^FMA_COS_DOWN(\"EPS\",\"1M\",+1,0,,,\"PORTAGG\",\"MEANR\")":21.0,"TRYZA10Y-FDS^FG_YIELD(-10AY,0,Y,,\"YTM\")":[7.9537,9.7513,8.9047,8.58389,9.37766,9.011772,9.174469,9.791837,10.764477,11.358896],"USDSEK^FG_PRICE_CHANGE(0,-3AM)":-1.3379812,"USDJPY^FG_PRICE_CHANGE(0,-1AM)":4.218495,"EWA^FMA_PE(NTMA,-10AY,0,AM,\"PORTAGG\",\"MEANR\")":[13.6405203794069,14.529828862178,13.8925110949012,14.7910246106693,15.8678252016966,15.9332707117885,16.5830151988825,15.7971097554148,15.1096914407228,15.1095200696876,15.2705616668897,14.3888205600947,15.1554685743865,14.6490035125322,14.7222252919837,14.7537417655739,14.634864082599,16.0386380993704,15.180061713093,16.5048115340846,16.2466950378194,15.8447968025185,16.8205787757673,16.0677382127277,16.3508186620603,15.7552767289479,15.902515362013,16.0346676788765,15.8687074156165,15.8277049015119,15.86670887229,15.7162903584114,15.1595002902089,15.4125797310084,15.7335522429332,15.4872101366758,15.5026492649646,16.131743422553,15.8265540934873,16.0678956809964,15.1562252732907,15.4056068152723,15.0185315281788,15.5050758409514,15.1273524531377,15.5889312015321,15.6011103556455,15.1368618157131,14.7915732256755,14.647037538523,13.7525711148668,14.4589771833495,15.1140590559393,15.3585800957746,15.2907990340283,15.3891090344512,15.7152381166912,16.2097583359711,15.9716847105929,16.3792181469808,16.3432771261366,17.1427874278303,17.0762344788642,17.697331403597,17.8650604446792,15.3669756657172,15.7640648566904,17.2274025715214,20.0862533019999,18.816503994584,19.4039736882239,18.76139342823,18.7865480733202,18.9931715955601,19.5435602018833,19.5204763641,19.1321302553531,17.9858568569926,18.0821954365405,18.3177047158715,18.1539880325078,17.0199912323442,17.1944690428751,17.0164735625138,17.2444094765758,17.5434208886583,17.2270474759571,17.4472078546057,16.1968657372221,15.7181026865518,15.8310059309749,14.0792301557747,13.4533685306735,12.8841516760802,13.9733215717494,13.6558920110344,12.9164373293252,13.7926379894771,14.4531920800488,14.1149120716356,14.8224426982472,14.1321606836372,14.3884451329306,14.6961351592795,14.5726792864749,14.5302908587397,15.4728930189153,15.2086868676319,14.7586350456813,14.7527074569694,15.4203288241175,16.0791192881205,16.435808331911,16.9445942902939,16.760596456496,16.6287835251922,16.9405763039269,16.9986811156462,16.9487955831258,17.7765765058159,18.1969661506315],"EWD^FG_PRICE_MAVG(0,,,,200)":40.017124,"EWC^P_PRICE(0)/P_PRICE_HIGH_PR(0,,,,,,\"PRICE\",\"INTRA\",\"52W\")":0.98877484,"ENZL^FG_ROE(0)":3.39126779548087,"TRYGB10Y-FDS^PCTCHG(FG_YIELD(0,,,,\"YTM\"),FG_YIELD(-1AM,,,,\"YTM\"))":9.612884,"QQQ^FMA_PE(LTM,0,,,\"PORTAGG\",\"MEANR\")":36.6356675136186,"EWA^FMA_EVAL_EBIT(LTMA,NOW,NOW,M,\"PORTAGG\",\"MEANR\")":13.4359801799229,"EWQ^P_PRICE_RETURNS_PR('52W',2,-10AY,0,AM)":[-8.188361,-5.3881702,-4.3302655,-11.251509,-4.5852365,-11.245501,-5.641806,-5.5715857,-7.9715014,-4.019189,4.732573,-6.9917736,6.060374,2.91996,-0.7692754,-3.585267,-12.17804,-4.3454885,-9.249199,-9.315986,-10.406274,-6.3892245,-10.030514,0.49573183,-3.3358693,-2.9378116,2.5731921,12.919831,16.234982,12.591446,13.9135475,20.99532,22.35366,31.55806,24.8721,24.966372,31.741714,31.355953,31.001068,31.613232,25.613749,28.06828,25.334513,16.371738,12.005782,11.928165,6.2048435,2.942574,-3.4849226,-4.584712,-12.10751,-12.763035,-7.1420727,-6.4367175,-4.1135073,-6.352818,-3.3882976,0.10564327,-3.6295772,2.0680428,4.563844,13.088882,21.323967,22.237814,19.345497,-5.123085,-16.645605,-16.311407,-3.9954662,-7.963562,-0.9230375,-2.2864878,-0.4329145,0.9950757,6.129539,6.790054,6.231129,32.391262,49.79892,57.47136,40.096832,39.72875,37.750603,34.803783,32.328487,27.534521,19.113613,17.449987,18.176437,-2.719164,-1.3968766,-13.080907,-14.872372,-15.783858,-12.079483,-17.54331,-23.181862,-14.373308,-8.508194,-6.173098,-2.363956,13.574446,15.510189,26.743853,17.667925,30.287434,22.295834,27.994287,34.044624,13.845646,16.570997,11.394215,8.98918,14.646471,8.613777,10.930788,11.707377,6.0646534,1.3192773,8.454275,13.317394],"ENZL^FMA_PE(NTMA,-10AY,0,AM,\"PORTAGG\",\"MEANR\")":[17.079922742083,17.9284463649596,18.013107100137,18.4251532652318,19.0743101823589,19.1933078575612,18.4018745260032,18.2364671207994,18.1037823076556,17.8056121259202,18.1968001669793,17.3921074247149,17.0316120615796,18.0015323600065,17.9565394283864,17.749291676187,16.9843738965377,18.1442493352523,18.4723575618665,19.1610300664082,19.3258585251587,19.2810162965941,20.3008347245186,20.985895910256,19.5096399391348,18.264994340144,18.5969651239115,18.9155692890661,19.171644371051,18.9561938524949,19.1779182884055,19.6059878020635,19.3419452657852,19.3421576049715,19.976157618326,19.9748460346356,19.9670588424685,20.02579298852,20.5147144500842,20.7334709122722,19.1829856079539,20.3239563604608,20.2984942748553,20.436252994294,21.1911624078075,21.2245446805702,21.2686264981258,21.1806421935364,20.8612352120807,20.5368053214283,19.7622650587516,20.2745386369263,20.9242564049207,21.8522360985045,21.9440770549042,22.8659273154711,22.5763601983674,24.220375822534,24.6598040535111,26.4929679044123,25.1949700576282,24.8369854156497,25.5720576727919,25.7807703686487,26.3756505013,25.0192459164821,26.4067437939331,29.7969378497088,30.5842442946973,31.4972711657885,32.2422522750058,32.2896940394105,33.1656202757666,32.788782496693,33.0539739559193,35.3643675205113,32.2589239519234,31.8117425163276,32.257058263545,32.9558412741025,33.0225074668534,34.3236054717804,33.9553603883965,34.6885775552922,33.8363378355434,33.4591046684763,32.4370503836375,31.7471396551661,30.5812861001173,28.8733017538761,28.4642253279567,27.8155802998363,26.0250260937824,26.0828800049688,26.5856785112617,27.022048757648,23.6492215527289,23.146715637028,23.2466483856347,23.5849608796631,24.4308322764228,23.1128694543275,23.3548997675075,23.6407131541149,20.6862262987814,20.8914227190908,20.481382357411,20.3350384798704,19.9247964050872,20.0927423564838,21.8316271348768,22.8009870852403,22.2274988740798,24.931681453583,25.1503750000708,25.2242642830646,24.1449198876235,24.4996234991979,25.3761682307825,24.1978563828697,24.3092518302041],"PLATI-FDS^FG_PRICE_CHANGE(0,-3AM)":-4.09590409590409,"EWI^PERCENT_CHANGE(FMA_EPS(+1,0,,,,\"PORTAGG\",\"MEAN\"),FMA_EPS(+1,-1AM,,,,\"PORTAGG\",\"MEAN\"))":-4.42238251139005,"QQQ^FG_TOTAL_RETURNC(0,-3AM)":-1.9245565,"EWI^SIZE(FG_CONSTITUENTS)":26,"EWU^FMA_EVAL_EBITDA(NTMA,0,,,\"PORTAGG\",\"MEANR\")":7.66374602451794,"EWA^FMA_EVAL_EBITDA(NTMA,0,,,\"PORTAGG\",\"MEANR\")":9.15844600731366,"TRYMY10Y-FDS^FG_YIELD(-10AY,0,Y,,\"YTM\")":[4.131911,4.345605,4.195897,3.902544,4.235642,3.300551,2.804181,3.573893,4.131847,3.727505],"USDAUD^FG_PRICE_CHANGE(0,-6AM)":-2.9157937,"EWQ^FMA_DIV_YLD(NTMA,-10AY,0,AM,\"PORTAGG\",\"MEANR\")":[3.84671942820626,3.70413509300872,3.67415759998822,3.71383695470491,3.29562221462506,3.27474651055289,3.08495761012866,3.2307337248358,3.33930767748942,3.37716442667806,3.23958369447769,3.65979584842759,3.56337293234251,3.44070884342444,3.60096755734525,3.84302898174464,4.07638927627383,3.80810869696324,3.83920868258253,3.78900316654646,3.8509698530239,3.94870658377101,3.72293329679567,3.68553962811231,3.72156432087701,3.71015485861812,3.53873590391365,3.44809446712035,3.50448723331954,3.42744830382001,3.36423115165076,3.20125900135579,3.25906833707337,3.37415596108265,3.4099270786764,3.40099711373585,3.28481860517193,3.30597966187697,3.26624281764129,3.2187383959938,3.50067759329645,3.38318623993438,3.38886207040098,3.28278236488136,3.37560058025769,3.39307228810328,3.44521810088229,3.54314547802014,3.63294686957116,3.70226286608094,3.992230350605,3.93567782767515,3.829945530741,3.66181039562826,3.54431599249646,3.63304435327109,3.61322862193551,3.52319987804609,3.68507378399032,3.53434621201795,3.56463656527963,3.37822424682637,3.41447520311934,3.32799839455302,3.32764024256597,4.206171490144,3.95122385520085,3.49143199433732,3.08309368902129,3.12527476477278,3.15891123450294,3.11697882179062,3.18530839879111,2.94226949134756,2.90921750574572,2.87822690543195,2.92488082052775,2.76041589189127,2.71755704110516,2.68560185539568,2.66247056571643,2.70365670126018,2.69226522350666,2.77701218879333,2.87193293537483,2.73777141942638,2.78956507322071,2.75995359519924,2.85007133010687,3.31587972007263,3.14470782938027,3.38955883516555,3.37047968869736,3.48308365265845,3.26062104610036,3.46855720561615,3.73144878189735,3.34620210694449,3.28547292879144,3.20451572332275,3.16616049447705,3.20161135951967,3.18133216120285,3.20152713577589,3.28922014012573,3.35502037385431,3.25719919636684,3.35941515192993,3.41545890464566,3.46079179368663,3.24831437504092,3.28079928579982,3.20116719422219,3.09916174735809,3.12007009851053,3.05459863147502,3.21386010263894,3.35150782491053,3.49188321778531,3.44158631755887,3.38267475871349],"FC0000GB^FG_PRICE(0)":131.75851,"EWL^FG_PRICE_MAVG(0,,,,200)":48.63085,"EWN^PERCENT_CHANGE(FMA_EPS(+1,0,,,,\"PORTAGG\",\"MEAN\"),FMA_EPS(+1,-3AM,,,,\"PORTAGG\",\"MEAN\"))":-0.342328905404288,"EWL^FMA_PCT_ABOVE_MAVG(200,0,,,,\"PORTAGG\")":67.3913043478261,"SPY^FMA_RBICS_REV_CURRENT(30, LOC, \"PORTAGG\")":12.4668204376818,"TRYSE10Y-FDS^FG_YIELD(0,,,,\"YTM\")":2.134,"EWN^FMA_PE(LTM,0,,,\"PORTAGG\",\"MEANR\")":21.4558119714235,"CAGDPY@DE^EE_ACTUAL_ANNUAL(MED,+1)":7.0,"WL-FDS^MAX(FG_PRICE(0,-5AY))":763.4,"BRENT-FDS^FG_PRICE_MAVG(0,,,,30)":85.86,"ENZL^P_PRICE(0)/P_PRICE_LOW_PR(0,,,,,,\"PRICE\",\"INTRA\",\"52W\")-1":0.18912697,"QQQ^FMA_COS_DOWN(\"EPS\",\"1M\",+1,0,,,\"PORTAGG\",\"MEANR\")":34.0,"REFCATARG-FDS^FG_YIELD(NOW,,,0)":4.25,"VWO^FMA_EVAL_EBIT(LTMA,NOW,NOW,M,\"PORTAGG\",\"MEANR\")":14.5160233239417,"USDAUD^FG_PRICE_CHANGE(0,-3AM)":0.3124118,"EWL^FMA_DIV_YLD(NTMA,-10AY,0,AM,\"PORTAGG\",\"MEANR\")":[3.50999395957838,3.30390970008705,3.27835326027416,3.29647717954121,3.29076115286176,3.21269595367634,3.02364388819327,3.11886578770728,3.15121320693936,3.18474821005041,3.1003882435669,3.34466811475525,3.34018456735464,3.28540960258225,3.334257153179,3.48936491368698,3.61159322738379,3.52470663453574,3.53921875150355,3.5360280913439,3.54851094591252,3.56238703219561,3.45259947100382,3.4483318970418,3.50313031898292,3.60741732630655,3.59783374026028,3.47098098897923,3.41928802360108,3.34952494544337,3.43954866538144,3.30267359641494,3.35235274576484,3.29151610783265,3.31940807023084,3.31057960077694,3.23708035137689,3.28859251217393,3.24156310316238,3.1761817412688,3.46585499246936,3.41710619370605,3.48222097964041,3.4349554899338,3.5836375954796,3.4926363994603,3.42229033877822,3.43800102069537,3.54311597624095,3.49377293801998,3.7052928135121,3.54770126789004,3.46786595566671,3.39760579154675,3.25882727232996,3.34472369712065,3.26574617859283,3.2290418395655,3.26597630324671,3.19561861078958,3.25476926046509,3.13649568964204,3.11933332487707,3.03730209591308,2.95059998558438,3.48064148943738,3.40426873881295,3.25785004849009,3.06056357570198,3.0151502831315,2.98076077571987,2.910326944126,2.92820217542626,2.91999900217771,2.90586246245744,2.81034229137688,2.81814755237546,2.83861841114919,2.73982619625331,2.7572251708218,2.62852719524279,2.62181296988257,2.57213318422266,2.63048266198272,2.74251032303678,2.58649583781304,2.58037771128618,2.62350667982259,2.73429339347959,2.95566279904506,2.73365907952224,3.01409661216463,3.12948282029368,3.14052766549575,3.05472565305302,3.17956822285297,3.44339300976931,3.13280687291294,3.12580928770435,3.09847165234006,3.09347390411903,3.24720786632931,3.14323282660241,3.07627284195551,3.17702424337124,3.25975092306725,3.19219445270145,3.30147702000454,3.34239657086057,3.49294969427173,3.33329702069226,3.27295595593395,3.39995777583724,3.24294977013595,3.33075229209832,3.27276741095793,3.18959758803818,3.19624324955313,3.23326409372822,3.20018062541412,3.19626655238317],"EWL^FG_PRICE(0)":51.02,"EWN^PERCENT_CHANGE(FMA_EPS(+1,0,,,,\"PORTAGG\",\"MEAN\"),FMA_EPS(+1,-1AM,,,,\"PORTAGG\",\"MEAN\"))":-1.47012682505014,"QQQ^FMA_RBICS_REV_CURRENT(30, LOC, \"PORTAGG\")":0.944515959592101,"VWO^FMA_EVAL_EBITDA(NTMA,0,,,\"PORTAGG\",\"MEANR\")":8.91761531837544,"TRYPH10Y-FDS^FG_YIELD(-10AY,0,Y,,\"YTM\")":[3.8633,4.1,4.6281,5.6986,7.1730304,4.847582,3.4208684,4.796723,6.9293385,6.0028777],"CAGDPY@DE^EE_ACTUAL_ANNUAL(MED,0)":5.88214213185842,"WL-FDS^FG_PRICE(0)":566.7,"COPP-FDS^MAX(FG_PRICE(0,-5AY))":5.119,"EWQ^FG_TOTAL_RETURNC(0,-1AM)":1.2144685,"ENZL^FG_TOTAL_RETURNC(0,-1AM)":-0.6313622,"EWL^FMA_COS_UP(\"EPS\",\"1M\",+1,0,,,\"PORTAGG\",\"MEANR\")":13.0,"REFCATARG-FDS^PROPER_NAME(0,,,\"SECURITY\",\"NAME\")":"Canada Target Rate","EWQ^FMA_PE(LTM,0,,,\"PORTAGG\",\"MEANR\")":16.6930921467649,"EWG^FMA_EVAL_EBITDA(NTMA,0,,,\"PORTAGG\",\"MEANR\")":8.87160695093588,"UUP^P_PRICE(0)/P_PRICE_HIGH_PR(0,,,USD,,,\"PRICE\",\"INTRA\",\"52W\")":0.95508033,"TRYGB10Y-FDS^FG_YIELD(-10AY,0,Y,,\"YTM\")":[1.8155,2.0248,1.2817,1.2536,1.3339,0.822,0.197,0.966,3.662,3.534],"USDGBP^STD(FG_PRICE_CHANGE(0,-3AY,M))":2.39047188640175,"EWJ^FMA_DIV_YLD(NTMA,-10AY,0,AM,\"PORTAGG\",\"MEANR\")":[2.16223506059452,1.9867487395726,1.9705877621457,2.02456223817472,1.99390093274596,1.88938357434887,1.84121609437922,1.8762165620882,1.90612334020298,1.98190899374002,1.8748430963635,2.14911931726949,2.10330704758935,2.01447528203665,2.09038055350337,2.25240336398616,2.57886058806214,2.37922811147866,2.50648084240464,2.40250337454201,2.37928286589849,2.60836017181605,2.39453698337785,2.34644872613198,2.36148360400478,2.33825125172536,2.10087054762229,2.10051950940497,2.12416716336401,2.11971840524454,2.24323117157073,2.14721818403958,2.17547450532924,2.16736321587469,2.18665268344729,2.25204996512068,2.13998073767033,2.03834834585761,2.06481417274468,1.97648666026182,2.19981080208256,2.2567325470921,2.25399986073541,2.21309958395388,2.23228407234798,2.31881767808412,2.32917541421516,2.38586308248289,2.28786303541258,2.43389557508879,2.57369740835312,2.71083919373429,2.68350858947802,2.61965015606886,2.57938791997265,2.67362095415688,2.68463071363157,2.65424083310568,2.77226268401635,2.66455051611351,2.64017107712935,2.4606935789789,2.44509317369216,2.42976303372641,2.44990246292569,2.95852869932896,2.91891282587931,2.80723047507654,2.43577067207266,2.54244675738332,2.50925190366868,2.37738464203635,2.36562253559559,2.29101646603958,2.16565407009932,2.08596785802137,2.02901757470973,2.08771873840472,2.06618045747716,2.11645543272914,2.15949043288454,2.23588969425504,2.24158559513494,2.12996403110456,2.28802042072701,2.25409268895622,2.31946225628918,2.31627611262438,2.41163532306179,2.65408362434568,2.58321612312222,2.65716348512509,2.58655470012318,2.68127828862839,2.62228862162552,2.59604918893741,2.71537942588731,2.65877721247959,2.64604139247002,2.76259396613215,2.60908509372626,2.57555412693267,2.66583096435625,2.53422718225135,2.377677772244,2.39019872561737,2.36410916640558,2.33074977297507,2.39933427171191,2.40106171583008,2.45849601114841,2.35299554522663,2.27353239538893,2.16146533102749,2.18410577559569,2.23121208233526,2.22273637180511,2.15086375207173,2.58207555036346,2.51923839526904,2.37309157570138],"EWJ^FG_PRICE_MAVG(0,,,,200)":68.5729,"EWU^FMA_RBICS_REV_CURRENT(30, LOC, \"PORTAGG\")":19.9116441469538,"CC_CH^FG_COMPANY_NAME":"Switzerland","USDNZD^FG_COMPANY_NAME":"New Zealand Dollar per U.S. Dollar","PASP-FDS^FG_PRICE_CHANGE(0,-6AM)":0.187441424554824,"COPP-FDS^FG_PRICE_CHANGE(0,-1AM)":8.52617250340304,"EWQ^PERCENT_CHANGE(FMA_EPS(+1,0,,,,\"PORTAGG\",\"MEAN\"),FMA_EPS(+1,-3AM,,,,\"PORTAGG\",\"MEAN\"))":-2.05489445253581,"REFAUCASH-FDS^FG_YIELD(NOW,,,0)":4.35,"TRYNL10Y-FDS^FG_YIELD_NAME":"Netherlands Benchmark Bond - 10 Year","VWO^FG_PE(0)":15.2576029382882,"EWQ^JULIAN(FMA_DIV_YLD(NTMA,NOW,NOW,M,\"PORTAGG\",\"MEANR\").DATES)":45565,"EWG^FG_FCF_YIELD_NTM(0)":5.73018034672334,"TRYJP10Y-FDS^FG_YIELD(-10AY,0,Y,,\"YTM\")":[0.3138,0.2604,0.0315,0.0465,-0.0051,-0.0208,0.0201,0.0672,0.4224,0.6127],"USDGBP^STD(FG_PRICE_CHANGE(0,-1AY,AM))":1.63153969450195,"EWG^FMA_DIV_YLD(NTMA,-10AY,0,AM,\"PORTAGG\",\"MEANR\")":[3.44366313081434,3.29585830557033,3.18928746294965,3.23809334138701,2.94496892999418,2.76313909030505,2.60633719784107,2.8329193735967,2.99102155997049,2.99985936476937,2.94359928810526,3.343111623197,3.30474400999604,3.00032626362474,3.07012411834341,3.3108190546449,3.63871955376704,3.45919079955665,3.4090693814605,3.31883053831315,3.4186106729556,3.50170641485408,3.16275818557483,3.18462599176139,3.12828759445677,3.18836971710037,3.0388274934947,2.9541613662984,2.97462062373004,2.95471489324386,2.92020080163717,2.85630924288704,2.9050955420522,3.01152340088058,3.12978035366598,3.09927304887004,2.96197927930236,2.92047883043325,2.89667658692454,2.87840060362024,3.19950504726284,3.14791412114316,3.19340987263596,3.09227887653838,3.15228694046349,3.19752621078419,3.25195249270802,3.36559511593465,3.48700832473386,3.58925817903421,3.90761449684245,3.8146562521221,3.80292451831539,3.63406054587297,3.51492198693213,3.50930678667879,3.58732470568788,3.49146832238947,3.6003553181979,3.41403468427776,3.47247285471704,3.15304535990835,3.13868078980713,3.05129721228659,3.06806569223662,3.88985251209319,3.58605127018635,3.31824950431472,2.85555224805911,2.85308277595171,2.86795945200563,2.78303208423916,2.81433848698402,2.86599826189832,2.78185580533929,2.6900125049038,2.75565793425193,2.74095164120862,2.68523749582644,2.79536901001492,2.80019331574588,2.79885024823141,2.84612216034367,2.87354650222325,2.99396107680846,2.93034013359363,3.05881481150264,3.09239753101574,3.18907906751566,3.74888867691234,3.56860471719382,3.94782832340048,3.91619842455652,4.12030169900356,3.94049608029492,4.11303520794007,4.42422211286947,3.8452930187588,3.74349959783665,3.61124253300234,3.48208167722459,3.53772356850636,3.55141960549415,3.56448513396766,3.64751341293101,3.75508304542084,3.67862713532638,3.75855272364857,3.84772408517862,3.88352137955856,3.54227933929578,3.59193424970798,3.53877334220308,3.32734915148276,3.31914139193739,3.28456189540082,3.37050091585634,3.39902047369185,3.55358780914171,3.40767241788121,3.14612743751079],"EWJ^FG_PRICE_MAVG(0,,,,60)":69.642,"VGK^FG_TOTAL_RETURNC(0,-12AM)":22.228027,"EWL^FMA_RBICS_REV_CURRENT(30, LOC, \"PORTAGG\")":18.3792371327833,"SPY^FMA_EVAL_EBITDA(NTMA,0,,,\"PORTAGG\",\"MEANR\")":14.8354041590595,"GLD^P_PRICE(0)/P_PRICE_HIGH_PR(0,,,USD,,,\"PRICE\",\"INTRA\",\"52W\")":0.98160654,"CC_JP^FG_COMPANY_NAME":"Japan"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PASP-FDS^FG_PRICE_CHANGE(0,-1AM)":10.2061855670103,"EWQ^PERCENT_CHANGE(FMA_EPS(+1,0,,,,\"PORTAGG\",\"MEAN\"),FMA_EPS(+1,-1AM,,,,\"PORTAGG\",\"MEAN\"))":-1.72226581538622,"SPY^FMA_COS_DOWN(\"EPS\",\"1M\",+1,0,,,\"PORTAGG\",\"MEANR\")":194.0,"EWJ^FMA_COS_DOWN(\"EPS\",\"1M\",+1,0,,,\"PORTAGG\",\"MEANR\")":80.0,"REFAUCASH-FDS^PROPER_NAME(0,,,\"SECURITY\",\"NAME\")":"Australia Target Cash Rate","VWO^JULIAN(FMA_DIV_YLD(NTMA,NOW,NOW,M,\"PORTAGG\",\"MEANR\").DATES)":45534,"EWG^FMA_DIV_YLD(NTMA,NOW,NOW,M,\"PORTAGG\",\"MEANR\")":3.18327234619462,"TRYAU10Y-FDS^FG_YIELD(-10AY,0,Y,,\"YTM\")":[2.81,2.88,2.76,2.63,2.315,1.375,0.972,1.671,4.051,3.955],"USDGBP^FG_PRICE_CHANGE(0,-1AM)":0.038313866,"USDSEK^FG_COMPANY_NAME":"Swedish Krona per U.S. Dollar","TRYAU10Y-FDS^FG_YIELD(0,,,,\"YTM\")":4.201,"QQQ^FG_FCF_YIELD_NTM(0)":3.52257129615917,"QQQ^PERCENT_CHANGE(FMA_EPS(+1,0,,,,\"PORTAGG\",\"MEAN\"),FMA_EPS(+1,-3AM,,,,\"PORTAGG\",\"MEAN\"))":-2.53825415888506,"EWI^FG_ROE(0)":13.4012788616542,"TRYSA10Y-FDS^FG_YIELD(-10AY,0,Y,,\"YTM\")":[null,null,3.8912454,3.7299898,4.5715504,2.8775356,2.0844028,2.5113702,4.613973,4.608568]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SPY^P_PRICE_RETURNS_PR('52W',2,-10AY,0,AM)":[14.820421,17.289639,14.582003,13.39469,17.131256,11.066246,16.917372,14.959824,9.952831,7.747948,11.106896,-0.18791556,6.57146,4.3152213,3.3853292,-4.8481045,-8.55071,-0.6277263,0.44652224,0.6235242,1.7276287,6.244838,5.618918,11.88786,9.691513,6.2612057,12.698973,20.532763,27.64542,21.680677,17.465103,17.45696,17.150318,16.297066,14.282298,15.144121,20.177137,21.38815,20.31331,23.393785,15.599644,20.020163,14.811361,15.561687,16.287338,17.21785,18.329657,19.017136,11.291289,9.5479965,1.2694955,-3.7537098,6.9914103,2.0460606,10.84857,7.9778314,5.9018016,9.19683,4.33259,5.539894,7.4759603,12.342119,21.104801,28.195381,26.081253,7.074535,-1.1659801,3.8134575,12.677706,8.51034,17.401718,14.263189,21.422768,16.850985,19.267345,19.746172,18.771458,37.644672,50.297928,45.22053,34.935547,40.612377,33.89895,35.41169,29.17322,32.809044,30.182457,23.740982,16.736816,10.684883,11.010349,-3.245145,-6.7623196,-8.519136,-3.773445,-8.148503,-16.5303,-13.576579,-14.389431,-14.7313,-7.7097774,-7.8244867,-6.9192705,5.2135468,8.917332,14.983213,7.921207,13.108004,22.61827,13.409721,17.988693,23.881376,25.002611,30.240177,27.342915,27.994955,26.41617,29.466974,21.253181,24.912071,34.38171],"NI-FDS^FG_PRICE_CHANGE(0,-1AM)":9.86547085201794,"EWA^PERCENT_CHANGE(FMA_EPS(+1,0,,,,\"PORTAGG\",\"MEAN\"),FMA_EPS(+1,-3AM,,,,\"PORTAGG\",\"MEAN\"))":-2.07901201344056,"REFFFUND-FDS^PROPER_NAME(0,,,\"SECURITY\",\"NAME\")":"US Federal Funds Target Rate","GLD^FG_TOTAL_RETURNC(0,-6AM)":12.620008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USDANG^STD(FG_PRICE_CHANGE(0,-3AY,M))":0.0594600681310969,"EWN^FG_TOTAL_RETURNC(0,-1AM)":4.4016004,"EWA^PERCENT_CHANGE(FMA_EPS(+1,0,,,,\"PORTAGG\",\"MEAN\"),FMA_EPS(+1,-1AM,,,,\"PORTAGG\",\"MEAN\"))":0.625279310005583,"CC_SE^IMF_IFS_RCPI_Q(0)":null,"EWU^FG_FCF_YIELD_NTM(0)":6.18620808139003,"USDANG^FG_PRICE(0)":1.79,"EWA^P_PRICE_RETURNS_PR('52W',2,-10AY,0,AM)":[-5.645293,-2.765745,-3.9117396,-2.1942973,1.0612369,-6.229973,-6.5098467,-9.548182,-13.85898,-16.6708,-16.073395,-27.06238,-12.988639,-23.205208,-12.918705,-20.269691,-23.021334,-9.910452,-16.884882,-9.12742,-6.8883896,1.4700413,6.218946,12.747455,11.415911,17.75545,18.542385,30.840635,35.59195,19.151974,25.35287,15.06852,12.69828,14.620674,10.616863,17.212809,12.030161,18.655968,12.689376,15.527332,7.4350357,11.661029,5.042529,9.5010395,11.020374,11.7931,5.8793545,-1.0294318,-2.992177,-4.4157386,-7.6122465,-8.544737,0.7514119,-1.6926289,2.3548245,0.47593117,3.3927321,3.4971237,-0.3267944,9.364986,11.430347,12.871325,18.884922,17.679083,13.54953,-7.275164,-19.717138,-17.706411,-5.4172935,-9.692097,-0.72736144,-7.3967934,-0.68635345,0.14734268,9.865689,11.848295,12.501287,35.089325,57.05415,62.28608,38.002514,37.603317,30.881428,32.238533,25.877953,20.495665,8.16834,3.3961177,0.78765154,3.575766,9.460902,-8.698261,-11.347616,-11.172563,-6.634694,-7.991868,-16.405237,-7.9679728,-1.625973,-0.8299172,6.340921,-5.046499,-8.674585,4.837227,0.85567236,7.0491195,1.1725307,3.9791942,13.331783,-0.6279826,2.0875454,6.878054,1.2912035,12.38302,9.583688,9.537947,13.06057,18.953812,12.576938,22.029924,26.02725],"PLATI-FDS^FG_PRICE_CHANGE(0,-1AM)":0.734522560335771,"FXI^PERCENT_CHANGE(FMA_EPS(+1,0,,,,\"PORTAGG\",\"MEAN\"),FMA_EPS(+1,-1AM,,,,\"PORTAGG\",\"MEAN\"))":0.866947197169589,"EWD^FMA_RBICS_REV_CURRENT(30, LOC, \"PORTAGG\")":26.7323231015912,"REFGBBANK-FDS^(SUBARRAY(NOT_NA(NO_REPEAT_F(FG_YIELD(NOW,-10AY,D))),0,1)-SUBARRAY(NOT_NA(NO_REPEAT_F(FG_YIELD(NOW,-10AY,D))),1,1))*100":-25.0,"GLD^FG_TOTAL_RETURNC(0,-3AM)":10.694754,"EWD^FG_PRICE_MAVG(0,,,,60)":40.9205,"REFJPTON-FDS^FG_YIELD(NOW,,,0)":0.25,"CC_NL^IMF_IFS_RCPI_Q(0)":null,"EWU^FMA_DIV_YLD(NTMA,NOW,NOW,M,\"PORTAGG\",\"MEANR\")":3.87280755498331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USDANG^FG_COMPANY_NAME":"Netherlands Antilles Guilder per U.S. Dollar","EWQ^FMA_PCT_ABOVE_MAVG(200,0,,,,\"PORTAGG\")":49.1803278688525,"ENZL^FG_TOTAL_RETURNC(0,-12AM)":10.984015,"EWN^FMA_RBICS_REV_CURRENT(30, LOC, \"PORTAGG\")":26.6800733680609,"EWL^FMA_EVAL_EBITDA(NTMA,0,,,\"PORTAGG\",\"MEANR\")":13.1059321814945,"QQQ^FG_TOTAL_RETURNC(-10AY,0,AM)":[-5.401593,7.9627275,1.3240457,-0.29956698,1.7345548,1.2643695,2.1531224,0.8723974,0.7360339,-1.4531195,3.6414266,-5.897647,1.7172456,6.336248,0.105929375,-7.9945445,-7.0377827,8.242834,4.455006,-1.5321076,1.5000463,1.5209317,5.7298303,-2.0065188,4.584098,-2.9105842,3.239739,2.8986216,3.898859,3.148067,0.68867207,4.8325896,1.1416197,-0.67165494,1.7092109,2.2548437,2.575338,4.1192293,0.66372156,5.0528526,-3.7489116,10.928893,-6.7470493,5.2167892,2.8416514,1.8689156,1.8046498,0.66474676,-5.3280115,-0.12227893,-4.9265385,-0.8077979,4.5138836,1.5484095,8.551132,-0.25340915,-1.000005,5.3700805,-3.1522572,2.2253156,-0.8285403,6.651473,1.3268352,7.357502,6.1987877,-12.010175,-1.3828933,11.948622,9.49924,7.3933363,2.401781,0.7509947,5.061555,-0.80150366,6.739104,5.6491256,4.3005347,-6.572503,8.571649,-3.3668458,4.4787526,6.1924458,1.6149044,2.6578307,-3.9887488,7.849705,2.1822333,-4.3741045,-5.7036104,-7.577491,5.527985,-13.859367,-3.9632976,2.4456978,10.353815,-5.780381,-13.092357,6.1334014,-0.25110245,-3.030461,9.848631,-3.7203968,10.331178,2.2871017,9.029949,3.4875035,0.60869455,1.0825038,-0.9279728,2.6587844,3.6417484,4.4255614,6.9889784,0.45075417,-0.017172098,0.84176064,5.1508784,8.376848,-10.448146,1.8316627,7.5481296],"EWD^FG_PRICE_MAVG(0,,,,30)":41.855667,"REFJPTON-FDS^PROPER_NAME(0,,,\"SECURITY\",\"NAME\")":"Japan Policy Rate","CC_FR^IMF_IFS_RCPI_Q(0)":null,"EWL^FG_FCF_YIELD_NTM(0)":4.73444517227012,"TRYVN10Y-FDS^FG_YIELD(-10AY,0,Y,,\"YTM\")":[7.3,6.277413,7.1117578,5.6717234,4.738006,3.5404546,2.4877946,2.059403,4.687226,2.9473283],"CPALM-FDS^FG_PRICE(0)":4350.0,"EWQ^FG_PRICE_MAVG(0,,,,200)":39.654,"EWL^FG_TOTAL_RETURNC(-10AY,0,AM)":[-8.353292,5.4884076,0.49550533,-2.6502311,3.7670135,-2.0439208,7.162881,2.092421,0.056934357,-0.9614527,-0.44118166,-6.4697146,0.7264614,-2.4145484,-0.7390797,-5.373907,-3.6948323,3.943169,2.6999235,0.6655574,-0.09917617,-0.46325922,3.6177516,0.23056269,-0.8215606,-2.6838958,-0.81716776,3.9096355,1.9173503,2.238083,0.7931471,6.893289,1.3545275,1.2478709,-0.08792281,1.7013788,1.7594457,-3.202939,2.0204902,3.5591364,-3.991139,1.2702107,-1.7103851,-0.34802556,-2.2700787,1.7750025,2.0695806,0.9697437,-3.987193,1.2124777,-3.953278,2.4633646,1.0955572,3.160739,3.9976597,0.28059483,4.644656,1.4819384,0.56467056,0.85561275,-1.6171813,4.015088,1.2435317,3.3520937,3.6890388,-10.410696,-3.3049107,2.6736498,6.872487,2.6471496,2.0392895,1.803565,1.1252165,-0.54451823,3.5229802,4.584396,-0.7479131,-2.6374102,5.2128434,1.7957568,7.3642135,-0.6451607,1.9886374,-1.7309964,-3.5634696,6.3195467,1.184833,-0.8977413,-3.5250068,-6.634009,8.963704,-12.479937,-3.784579,0.6564617,5.6280136,-4.7107277,-10.727138,12.9838705,1.7844439,3.1790614,0.43045282,-3.3386052,7.7012897,4.810393,-3.4623384,-1.0948122,3.14368,-3.36982,-1.8436313,-2.5345087,6.6867948,4.33079,-3.254062,3.9672256,-4.5002103,4.104233,4.109311,0.21574497,1.5921593,2.8933048,-0.37102103],"W-FDS^FG_PRICE_CHANGE(0,-6AM)":8.10205908683974,"CAGDPY@US^EE_ACTUAL_ANNUAL(MED,+1)":-3.3,"EWA^FG_PRICE(0)":26.32,"EWL^FG_TOTAL_RETURNC(0,-3AM)":4.143703,"TRYDE10Y-FDS^PCTCHG(FG_YIELD(0,,,,\"YTM\"),FG_YIELD(-3AM,,,,\"YTM\"))":-10.372133,"EWD^FMA_PE(LTM,0,,,\"PORTAGG\",\"MEANR\")":14.811449684523,"USDCAD^FG_PRICE_CHANGE(0,-1AY)":1.1619806,"VGK^P_PRICE(0)/P_PRICE_HIGH_PR(0,,,,,,\"PRICE\",\"INTRA\",\"52W\")":0.9605993,"ENZL^FG_FCF_YIELD_NTM(0)":1.97446643246985,"TLT^P_PRICE(0)/P_PRICE_HIGH_PR(0,,,USD,,,\"PRICE\",\"INTRA\",\"52W\")":0.92561984,"DDR3512M-FDS^MAX(FG_PRICE(0,-5AY))":3.3053632,"TRYDE10Y-FDS^PCTCHG(FG_YIELD(0,,,,\"YTM\"),FG_YIELD(-1AM,,,,\"YTM\"))":4.717854,"EWD^JULIAN(FMA_DIV_YLD(NTMA,NOW,NOW,M,\"PORTAGG\",\"MEANR\").DATES)":45565,"CAGDPY@GB^EE_ACTUAL_ANNUAL(MED,+1)":-2.9,"USDCAD^FG_PRICE(0)":1.37555,"EWG^FMA_COS_DOWN(\"EPS\",\"1M\",+1,0,,,\"PORTAGG\",\"MEANR\")":22.0,"TRYCA10Y-FDS^PCTCHG(FG_YIELD(0,,,,\"YTM\"),FG_YIELD(-3AM,,,,\"YTM\"))":-6.896352,"ENZL^FMA_DIV_YLD(NTMA,NOW,NOW,M,\"PORTAGG\",\"MEANR\")":3.10558619759125,"DDR3512M-FDS^FG_PRICE_CHANGE(0,-6AM)":-9.92579114161791,"EWD^FG_TOTAL_RETURNC(0,-3AM)":2.2304893,"TRYNZ10Y-FDS^PCTCHG(FG_YIELD(0,,,,\"YTM\"),FG_YIELD(-3AM,,,,\"YTM\"))":-4.8176713,"USO^P_PRICE(0)/P_PRICE_HIGH_PR(0,,,USD,,,\"PRICE\",\"INTRA\",\"52W\")":0.9323821,"CAGDPY@GB^EE_ACTUAL_ANNUAL(MED,0)":-3.3,"USDAUD^STD(FG_PRICE_CHANGE(0,-3AY,M))":3.161718116431,"EWC^FG_TOTAL_RETURNC(0,-3AM)":8.60442,"EWG^FMA_COS_UP(\"EPS\",\"1M\",+1,0,,,\"PORTAGG\",\"MEANR\")":24.0,"EWN^FG_FCF_YIELD_NTM(0)":4.03947875422778,"DDR3512M-FDS^FG_PRICE_CHANGE(0,-3AM)":-5.60604674929366,"EWD^FG_TOTAL_RETURNC(0,-1AM)":2.6885748,"EWC^FG_TOTAL_RETURNC(0,-1AM)":4.6776295,"REFSEREPO-FDS^(SUBARRAY(NOT_NA(NO_REPEAT_F(FG_YIELD(NOW,-10AY,D))),0,1)-SUBARRAY(NOT_NA(NO_REPEAT_F(FG_YIELD(NOW,-10AY,D))),1,1))*100":-25.0,"USO^FG_TOTAL_RETURNC(0,-6AM)":-5.262518,"USDAUD^STD(FG_PRICE_CHANGE(0,-1AY,AM))":1.88352599088792,"REFSEREPO-FDS^FG_YIELD(NOW,,,0)":3.25,"EWN^FMA_DIV_YLD(NTMA,NOW,NOW,M,\"PORTAGG\",\"MEANR\")":2.60530924746925,"CAGDPY@CH^EE_ACTUAL_ANNUAL(MED,0)":6.51381088906606,"DDR3512M-FDS^FG_PRICE_CHANGE(0,-1AM)":-1.11606975156329,"EWD^PERCENT_CHANGE(FMA_EPS(+1,0,,,,\"PORTAGG\",\"MEAN\"),FMA_EPS(+1,-3AM,,,,\"PORTAGG\",\"MEAN\"))":-5.69776994116028,"DBA^FG_TOTAL_RETURNC(0,-6AM)":1.9794106,"CC_NZ^FG_COMPANY_NAME":"New Zealand"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EWA^FG_TOTAL_RETURNC(0,-3AM)":4.693711,"SPY^JULIAN(FMA_DIV_YLD(NTMA,NOW,NOW,M,\"PORTAGG\",\"MEANR\").DATES)":45565,"ENZL^FMA_EPS(NTMA,-20AY,0,CY,,\"PORTAGG\",\"MEANR\")":[null,null,null,null,null,null,2.40890596176463,2.24117429803946,2.40285148565594,2.31210808961864,2.19492193820354,2.04943671601749,2.14962845087329,2.26706810161072,2.29721148308571,2.24732563529813,1.98522616654652,1.82093690891181,2.11037843374038,2.11106619444845],"EWD^PERCENT_CHANGE(FMA_EPS(+1,0,,,,\"PORTAGG\",\"MEAN\"),FMA_EPS(+1,-1AM,,,,\"PORTAGG\",\"MEAN\"))":-1.22745811887267,"NI-FDS^FG_PRICE_CHANGE(0,-3AM)":2.38805970149254,"URTH^FG_TOTAL_RETURNC(0,-1AM)":4.6079874,"SPY^FG_ROE(0)":18.6244017960308,"EWD^FMA_DIV_YLD(NTMA,NOW,NOW,M,\"PORTAGG\",\"MEANR\")":3.12328948102814,"TRYID10Y-FDS^FG_YIELD(-10AY,0,Y,,\"YTM\")":[7.922017,8.942368,7.89735,6.462641,8.148183,7.263584,5.902206,6.458283,6.936579,6.498571],"VWO^P_PRICE(0)/P_PRICE_HIGH_PR(0,,,,,,\"PRICE\",\"INTRA\",\"52W\")":0.9644947,"EWU^FG_ROE(0)":13.8261325277146,"W-FDS^FG_PRICE_CHANGE(0,-3AM)":11.0855565777369,"EWD^FMA_PE(NTMA,0,,,\"PORTAGG\",\"MEANR\")":16.3768621477604,"VGK^P_PRICE(0)/P_PRICE_LOW_PR(0,,,,,,\"PRICE\",\"INTRA\",\"52W\")-1":0.25753713,"TRYPE10Y-FDS^FG_YIELD(-10AY,0,Y,,\"YTM\")":[5.681629,7.426917,6.415413,5.167133,5.645114,4.243226,3.535983,5.889906,7.923381,6.6087],"QQQ^FMA_EVAL_EBIT(LTMA,NOW,NOW,M,\"PORTAGG\",\"MEANR\")":25.1711968245089,"TRYEU10Y-FDS^FG_YIELD(-10AY,0,Y,,\"YTM\")":[0.5475,0.636,0.2082,0.4294,0.239,-0.189,-0.575,-0.181,2.533,2.004],"QQQ^PERCENT_CHANGE(FMA_EPS(+1,0,,,,\"PORTAGG\",\"MEAN\"),FMA_EPS(+1,-1AM,,,,\"PORTAGG\",\"MEAN\"))":0.0152389138775051,"BRENT-FDS^FG_PRICE_CHANGE(0,-1AM)":0.0,"TIOS-FDS^MAX(FG_PRICE(0,-5AY))":219.77,"EWL^JULIAN(FMA_DIV_YLD(NTMA,NOW,NOW,M,\"PORTAGG\",\"MEANR\").DATES)":45565,"TIOS-FDS^FG_PRICE(0)/MAX(FG_PRICE(0,-1AY))":0.733976137624861,"EWU^P_PRICE(0)/P_PRICE_LOW_PR(0,,,,,,\"PRICE\",\"INTRA\",\"52W\")-1":0.21366966,"USDITL^FG_COMPANY_NAME":"Italian Lira per U.S. Dollar","EWU^PERCENT_CHANGE(FMA_EPS(+1,0,,,,\"PORTAGG\",\"MEAN\"),FMA_EPS(+1,-3AM,,,,\"PORTAGG\",\"MEAN\"))":0.0971836162232341,"EWJ^FMA_DIV_YLD(NTMA,NOW,NOW,M,\"PORTAGG\",\"MEANR\")":2.46283559316199,"EWG^FMA_PE(NTMA,0,,,\"PORTAGG\",\"MEANR\")":12.7094869372742,"EWU^FMA_PCT_ABOVE_MAVG(200,0,,,,\"PORTAGG\")":60.2564102564103,"REFCATARG-FDS^(SUBARRAY(NOT_NA(NO_REPEAT_F(FG_YIELD(NOW,-10AY,D))),0,1)-SUBARRAY(NOT_NA(NO_REPEAT_F(FG_YIELD(NOW,-10AY,D))),1,1))*100":-25.0,"EWG^JULIAN(FMA_DIV_YLD(NTMA,NOW,NOW,M,\"PORTAGG\",\"MEANR\").DATES)":45565,"SPY^FG_PRICE_MAVG(0,,,,200)":526.03314,"TRYNL10Y-FDS^PCTCHG(FG_YIELD(0,,,,\"YTM\"),FG_YIELD(-3AM,,,,\"YTM\"))":-8.974361,"EWC^FMA_EVAL_EBIT(LTMA,NOW,NOW,M,\"PORTAGG\",\"MEANR\")":16.2947016357705,"SPY^FG_PRICE_MAVG(0,,,,60)":554.7865,"ENZL^FMA_EVAL_EBITDA(NTMA,0,,,\"PORTAGG\",\"MEANR\")":12.8163170503874,"USDJPY^FG_PRICE_CHANGE(0,-1AY)":-0.07390976,"EWA^FG_TOTAL_RETURNC(0,-1AM)":3.4184575,"TRYCH10Y-FDS^PCTCHG(FG_YIELD(0,,,,\"YTM\"),FG_YIELD(-3AM,,,,\"YTM\"))":-11.696867,"USDEUR^FG_COMPANY_NAME":"Euro per U.S. Dollar","EWU^FG_PRICE_MAVG(0,,,,30)":37.044334,"EWI^FMA_COS_DOWN(\"EPS\",\"1M\",+1,0,,,\"PORTAGG\",\"MEANR\")":11.0,"TRYCH10Y-FDS^PCTCHG(FG_YIELD(0,,,,\"YTM\"),FG_YIELD(-1AM,,,,\"YTM\"))":18.322296,"EWI^FMA_COS_UP(\"EPS\",\"1M\",+1,0,,,\"PORTAGG\",\"MEANR\")":7.0,"EWJ^FG_TOTAL_RETURNC(-10AY,0,AM)":[-7.0826235,5.8076143,-1.886797,-2.1372557,5.0314426,3.4217358,7.0305943,1.5455961,-1.2937605,-1.8976688,3.7124872,-10.662609,3.1543136,3.1404853,-2.2435904,-5.5468616,-7.954544,6.6476703,0.89046955,4.324794,-1.4382422,0.10136366,6.309426,0.2439022,1.2976527,-1.0608435,3.6819696,-0.663048,2.1065235,-0.07785559,-0.7596433,2.8066754,3.264606,-1.6816497,2.4791837,1.5143156,2.710569,4.64046,0.88015795,6.1427116,-5.9993625,2.623999,-0.23094416,0.56216717,0.032889843,-4.3023825,-0.46737194,-1.2173951,1.4788747,-4.406661,-3.575313,1.4015079,-1.3655066,1.175797,2.9990673,-1.6014576,1.0357022,1.535964,-2.5468469,3.3227563,1.9873619,6.1647415,0.60070753,-0.10475516,-0.20161271,-13.451183,-2.003497,3.890431,9.992361,-2.314949,0.8603692,2.7190328,2.8719664,6.104946,4.3112993,5.7005286,2.0926476,-3.3361614,1.8865228,-1.0765016,0.52939653,-0.5088687,-0.8914232,7.3577046,-6.7985115,1.208365,-0.36400557,-1.5152812,-3.052169,-7.7233315,-0.11764765,-7.1681023,0.2828002,-1.9529104,4.8213005,-5.753863,-6.519687,8.586979,2.580285,-0.68457127,6.135869,-2.3055732,1.6026735,3.5534859,4.8865914,-1.0768294,-0.12997389,0.22774935,-2.0775855,0.2320528,3.8200736,5.350864,2.1619081,6.828761,-2.5288045,-2.0611107,2.0456195,3.5660744,-8.291239,5.7671666,2.5455594],"EWG^FG_PRICE_MAVG(0,,,,30)":32.711,"EWD^SIZE(FG_CONSTITUENTS)":46,"TRYJP10Y-FDS^PCTCHG(FG_YIELD(0,,,,\"YTM\"),FG_YIELD(-1AM,,,,\"YTM\"))":6.145379,"EWI^FMA_PE(NTMA,-10AY,0,AM,\"PORTAGG\",\"MEANR\")":[12.5150407256355,12.6206693180333,12.5740286976033,11.756665961576,14.2153473112465,15.339468296974,16.2389306829032,15.9223150080423,15.3733418065792,14.9774261091662,15.7992185551422,14.428303296298,14.5971735812116,14.8362245018059,14.108721556386,13.4042798846598,12.0181966782888,13.0957963399957,12.6813197580793,13.2900939188617,12.4906733518375,11.7116234840266,12.6702263143593,12.4798024463263,11.8635518850828,11.9012482434409,12.8113917756079,13.4584972360424,13.0473965591938,13.2863042680179,13.2603834923378,13.8730257202493,13.3966175320939,13.3365664558014,13.3510423507991,13.2217932020195,13.5257799418181,13.4460005963658,13.6153240806097,13.5474293552179,12.426312143247,12.717101374817,12.8063517598911,12.9554181077193,11.2683715804612,11.5525665236616,11.0899770874372,10.7713033877376,10.1207189686206,9.83250022460173,9.16166130077935,9.69762440188321,9.99092706255107,10.3975860967619,10.8644073661267,10.3914402393696,10.0853939624569,10.858635052776,10.0179679863687,10.7312262641165,10.667464951275,11.4298489679783,11.2100286920671,11.6285504676505,11.7226772500211,8.66438396476684,10.5489472602225,14.9309526958178,17.8769843180657,17.324407478027,16.3781761402296,15.7540571093249,14.8153885346636,14.8575584806386,14.9854578151455,15.0167002089039,14.2696095258758,13.9279661520855,13.8515871782921,13.4786441963724,13.7923914123513,13.1343794703468,12.2973172087964,11.7191175863183,11.7237165099123,11.7733899670364,10.8563034542595,11.120055439398,10.7669794571868,9.09409105980042,9.73151016829227,8.87093755375707,8.16454429223532,7.85446561093793,7.74322753573649,7.64621193624032,7.29609550588043,8.26876834268669,7.79105088578293,8.09774903377811,8.40013224155108,8.55951059201857,8.56086607716784,8.35698049009702,8.5631520822216,8.65492703274962,8.36623676477381,8.36290335027775,8.23813107292956,8.0912472326038,8.8204313965182,8.95543076948979,9.00917528445175,9.46602074492989,9.57716578150729,9.77203719387444,9.69590950910731,9.63753141840578,9.22560607350545,9.82493409721451,10.2748890249973],"CC_AU^IMF_IFS_RCPI_Q(0)":null,"EWN^FMA_COS_UP(\"EPS\",\"1M\",+1,0,,,\"PORTAGG\",\"MEANR\")":18.0,"SPY^FMA_PE(NTMA,-10AY,0,AM,\"PORTAGG\",\"MEANR\")":[14.5264828399597,15.6212778680375,15.6155042719028,16.0157856576161,16.6247760315643,16.3764422177725,16.7506179803448,16.7257895760468,16.4871849853125,16.1845842710819,16.4216608838767,15.2122024744462,15.7512636421626,16.3183756139558,16.0241529691063,15.0775332321664,15.5099438140132,15.5167363536305,16.5004635460184,16.5226770167304,16.5332547025517,16.7435056681132,16.9375795704724,16.443516067559,16.5862620304792,16.5555804623253,17.0817729331739,16.9697942058087,17.3573135161618,17.6868555093764,17.4133914599075,17.4991173197885,17.5892922074256,17.4054344167655,17.3585222613669,17.3913767300967,17.9049788451276,17.9158166017304,18.2138627069661,18.2066242672741,16.4319397139113,17.2975432074564,16.3543796742198,16.445288692128,16.579407296592,16.5174561345802,16.5026574691152,16.6127008066782,15.9889105023371,15.8933845224029,15.0512357818536,15.0717494759239,15.786380009013,15.9448451738587,16.7361052706907,16.5132645539269,16.4266641680095,17.0071386208079,16.601354704461,16.8300053213468,16.6013462529069,17.4711852419174,17.6288362573753,18.3089395926131,18.8023521518898,16.2441362433905,17.9658546080439,20.8324333324618,22.5302593444178,22.1798912175079,22.3244027680686,21.6561091950012,22.0771933526329,21.6796888124153,21.8890668448574,22.6648417034255,22.1471863308564,21.7140187031758,22.5068848175504,21.4554074202869,21.2886401150931,21.6116832703184,21.0067404332848,20.8570525158343,20.4286052971141,21.2133088077846,21.1865450500441,20.8037721495824,19.8006163597755,18.4764914353391,19.1826565700465,16.9094236391646,16.2978507752518,16.2598100435205,17.7721786920235,17.0970348879824,15.281105498801,17.1426121988291,17.0290960219473,17.0313266829904,18.0460421434362,16.9569489529705,18.0740779492456,18.0057784218825,18.5012320794574,18.9424911783569,18.9300794464222,18.6015436929568,18.1019953386936,18.2559215576943,18.8376900569584,19.549420270733,20.3932552278047,20.5164977181422,20.4813574406354,20.4735204537044,20.7079510457922,21.5925551738265,20.3055888112466,20.5896848339831,21.570619563489],"EWQ^FMA_COS_UP(\"EPS\",\"1M\",+1,0,,,\"PORTAGG\",\"MEANR\")":18.0,"CC_NZ^IMF_IFS_RCPI_Q(0)":null,"URTH^P_PRICE(0)/P_PRICE_HIGH_PR(0,,,,,,\"PRICE\",\"INTRA\",\"52W\")":0.99526644,"VGK^FMA_EVAL_EBIT(LTMA,NOW,NOW,M,\"PORTAGG\",\"MEANR\")":13.5324814293996,"DBA^FG_TOTAL_RETURNC(0,-3AM)":7.0656776,"EWC^FMA_PE(LTMA,-10AY,0,AM,\"PORTAGG\",\"MEANR\")":[15.3566460622082,15.7213730404476,14.9300895619825,15.3376035407089,16.384985326369,16.9429131013332,17.2093417824561,17.3372816239292,17.1939253543029,16.9457934484426,17.0648662388392,16.4906200851584,17.0482870791567,16.708975438587,16.1558928770575,15.0505927050366,14.6632515914446,15.8580821507662,16.0124165674239,16.3699182297237,16.7352595149435,16.9398702942232,17.451736514453,17.5260598080156,17.8640168342934,18.3822413818129,19.1512962673975,19.4707394068165,19.8096750901768,19.3120615915666,19.0621228821075,18.7017736379147,18.3731674506928,17.9607493604994,17.7950302782118,17.3049876506492,17.6530263793447,17.4332531234355,17.3250294085497,17.2261274591593,15.7055638038075,15.8189162920825,15.6121989436434,15.6196487480347,15.5753314974297,15.5636912429196,15.3916115569486,15.0576434606227,14.6152684528601,14.1939020728361,13.6252766030966,13.7032780287191,14.6401791659123,14.7133223918647,14.7586327092801,14.510113844369,14.4242793561761,14.5208312258634,14.3899521995027,14.5348723493515,14.56074008688,15.0753348769341,15.1124317749259,15.4060748744998,15.781458086879,14.2105318935418,14.7431067081696,16.18864441677,17.348201618184,17.6097279377752,18.3152279830657,18.2056572013001,18.9068628674954,19.1199399833006,20.3227332099497,21.4404368605852,21.5037971268607,19.9668528688852,19.5942202240691,19.1861196484461,18.7220895058038,18.3582062524394,17.6542080703226,17.069186582347,16.5516939882521,16.6126418475339,15.5837416242614,15.3485962922363,15.6952584639682,15.176332530601,15.0103600521514,14.3040128306745,14.076152828962,13.4333809043909,13.3007760143107,12.9420678195138,12.1378834254551,12.6716415435481,12.5625790620668,12.3690929246929,12.8700460311236,12.5713877310329,12.7003086644226,12.8403498427864,12.9014976550509,12.9868427093078,13.4989847632542,13.4981964986573,13.28371047384,13.4089520375742,14.0322535262684,14.6427910859628,14.6630217271397,14.9455339498832,15.0012569904677,15.0066238477104,14.8996926909317,14.9814593966913,14.9413464739181,15.3186264783085,16.0595248517058],"URTH^FG_TOTAL_RETURNC(0,-3AM)":3.039074,"DBA^FG_TOTAL_RETURNC(0,-1AM)":5.185795,"EWL^P_PRICE(0)/P_PRICE_LOW_PR(0,,,,,,\"PRICE\",\"INTRA\",\"52W\")-1":0.22791815,"QQQ^FG_PRICE_MAVG(0,,,,200)":451.53854,"DUMMY^ECON_DATE(45454,,, 'MM/YYYY')":"06/2024","DUMMY^ECON_DATE(45546,,, 'MM/YYYY')":"09/2024","CC_US^IMF_IFS_RCPI_Q(-1AM)":3.19889,"CC_NZ^IMF_IFS_RCPI_Q(-1AM)":3.330626,"CC_AU^IMF_IFS_RCPI_Q(-1AM)":3.81451,"CC_CA^IMF_IFS_RCPI_Q(-1AM)":2.7411842,"CC_DE^IMF_IFS_RCPI_Q(-1AM)":2.2863681,"CC_JP^IMF_IFS_RCPI_Q(-1AM)":2.7266946,"CC_CH^IMF_IFS_RCPI_Q(-1AM)":1.3619826,"CC_GB^IMF_IFS_RCPI_Q(-1AM)":2.8697004,"CC_FR^IMF_IFS_RCPI_Q(-1AM)":2.2093682,"CC_NL^IMF_IFS_RCPI_Q(-1AM)":2.888117,"CC_SE^IMF_IFS_RCPI_Q(-1AM)":3.39215,"CC_IT^IMF_IFS_RCPI_Q(-1AM)":0.80847347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DUMMY^ECON_EXPR_DATA('FDS_ECON[NTCPMIMFGSA@NZ]',09/2024,,Q)":45.848022,"DUMMY^ECON_EXPR_DATA('FDS_ECON[NTCPMIMFGSA@NZ]',06/2024,,Q)":45.54339,"DUMMY^ECON_EXPR_DATA('FDS_ECON[NTCPMIMFGSA@AU]',09/2024,,Q)":47.56789,"DUMMY^ECON_EXPR_DATA('FDS_ECON[NTCPMIMFGSA@AU]',06/2024,,Q)":48.811333,"DUMMY^ECON_EXPR_DATA('FDS_ECON[NTCPMIMFGSA@CA]',09/2024,,Q)":49.193687,"DUMMY^ECON_EXPR_DATA('FDS_ECON[NTCPMIMFGSA@CA]',06/2024,,Q)":49.331886,"DUMMY^ECON_EXPR_DATA('FDS_ECON[NTCPMIMFGSA@DE]',09/2024,,Q)":42.06591,"DUMMY^ECON_EXPR_DATA('FDS_ECON[NTCPMIMFGSA@DE]',06/2024,,Q)":43.782,"DUMMY^ECON_EXPR_DATA('FDS_ECON[NTCPMIMFGSA@JP]',09/2024,,Q)":49.560066,"DUMMY^ECON_EXPR_DATA('FDS_ECON[NTCPMIMFGSA@JP]',06/2024,,Q)":49.991356,"DUMMY^ECON_EXPR_DATA('FDS_ECON[NTCPMIMFGSA@CH]',09/2024,,Q)":47.458324,"DUMMY^ECON_EXPR_DATA('FDS_ECON[NTCPMIMFGSA@CH]',06/2024,,Q)":43.896877,"DUMMY^ECON_EXPR_DATA('FDS_ECON[NTCPMIMFGSA@GB]',09/2024,,Q)":52.055466,"DUMMY^ECON_EXPR_DATA('FDS_ECON[NTCPMIMFGSA@GB]',06/2024,,Q)":50.395269999999996,"DUMMY^ECON_EXPR_DATA('FDS_ECON[NTCPMIMFGMESA@US]',09/2024,,Q)":48.26175,"DUMMY^ECON_EXPR_DATA('FDS_ECON[NTCPMIMFGMESA@US]',06/2024,,Q)":50.939392,"DUMMY^ECON_EXPR_DATA('FDS_ECON[NTCPMIMFGSA@FR]',09/2024,,Q)":44.15712,"DUMMY^ECON_EXPR_DATA('FDS_ECON[NTCPMIMFGSA@FR]',06/2024,,Q)":45.684513,"DUMMY^ECON_EXPR_DATA('FDS_ECON[NTCPMIMFGSA@NL]',09/2024,,Q)":48.353455,"DUMMY^ECON_EXPR_DATA('FDS_ECON[NTCPMIMFGSA@NL]',06/2024,,Q)":51.49388,"DUMMY^ECON_EXPR_DATA('FDS_ECON[]',09/2024,,Q)":null,"DUMMY^ECON_EXPR_DATA('FDS_ECON[]',06/2024,,Q)":null,"DUMMY^ECON_EXPR_DATA('FDS_ECON[NTCPMIMFGSA@IT]',09/2024,,Q)":48.375774,"DUMMY^ECON_EXPR_DATA('FDS_ECON[NTCPMIMFGSA@IT]',06/2024,,Q)":46.215786}]]></FdsFormulaCache>
</file>

<file path=customXml/itemProps1.xml><?xml version="1.0" encoding="utf-8"?>
<ds:datastoreItem xmlns:ds="http://schemas.openxmlformats.org/officeDocument/2006/customXml" ds:itemID="{ECDB62CC-D11E-4898-8EE2-943116E4CFD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2024-10-11T07:12:58Z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